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educacionbogota-my.sharepoint.com/personal/lgamboab_educacionbogota_gov_co/Documents/SED - DSA- 2024/Secretaria de educación/GPS/2026/3ro_final/"/>
    </mc:Choice>
  </mc:AlternateContent>
  <xr:revisionPtr revIDLastSave="0" documentId="8_{CAB320DC-3A9F-4386-AFBA-60A5CD5DBDA4}" xr6:coauthVersionLast="47" xr6:coauthVersionMax="47" xr10:uidLastSave="{00000000-0000-0000-0000-000000000000}"/>
  <bookViews>
    <workbookView xWindow="-120" yWindow="-120" windowWidth="29040" windowHeight="15720" xr2:uid="{00000000-000D-0000-FFFF-FFFF00000000}"/>
  </bookViews>
  <sheets>
    <sheet name="Estudio_de_Mercado" sheetId="25" r:id="rId1"/>
    <sheet name="Hoja6" sheetId="26" state="hidden" r:id="rId2"/>
    <sheet name="Hoja7" sheetId="27" state="hidden" r:id="rId3"/>
    <sheet name="Estimación presupuesto_PERT" sheetId="10" state="hidden" r:id="rId4"/>
    <sheet name="Valores Atipicos" sheetId="14" state="hidden" r:id="rId5"/>
    <sheet name="Hoja3" sheetId="23" state="hidden" r:id="rId6"/>
    <sheet name="Hoja2" sheetId="17" state="hidden" r:id="rId7"/>
    <sheet name="Hoja5" sheetId="20" state="hidden" r:id="rId8"/>
    <sheet name="CONSOLIDADO O.C" sheetId="21" state="hidden" r:id="rId9"/>
    <sheet name="Hoja4" sheetId="22" state="hidden" r:id="rId10"/>
    <sheet name="Hoja1" sheetId="16" state="hidden" r:id="rId11"/>
    <sheet name="CONSOLIDADO_COT_INICIAL" sheetId="1" state="hidden" r:id="rId12"/>
    <sheet name="02.ANÁLISIS SIN TUNEL" sheetId="6" state="hidden" r:id="rId13"/>
    <sheet name="03.INDEXACIÓN DE PRECIOS" sheetId="7" state="hidden" r:id="rId14"/>
  </sheets>
  <definedNames>
    <definedName name="_xlnm._FilterDatabase" localSheetId="12" hidden="1">'02.ANÁLISIS SIN TUNEL'!$A$6:$J$6</definedName>
    <definedName name="_xlnm._FilterDatabase" localSheetId="13" hidden="1">'03.INDEXACIÓN DE PRECIOS'!$A$6:$G$6</definedName>
    <definedName name="_xlnm._FilterDatabase" localSheetId="11" hidden="1">CONSOLIDADO_COT_INICIAL!$A$6:$AS$6</definedName>
    <definedName name="_xlnm._FilterDatabase" localSheetId="0" hidden="1">Estudio_de_Mercado!$A$6:$AE$8</definedName>
    <definedName name="_xlnm._FilterDatabase" localSheetId="4" hidden="1">'Valores Atipicos'!$A$6:$AG$39</definedName>
    <definedName name="_xlnm.Print_Area" localSheetId="12">'02.ANÁLISIS SIN TUNEL'!$A$5:$J$31</definedName>
    <definedName name="_xlnm.Print_Area" localSheetId="13">'03.INDEXACIÓN DE PRECIOS'!$A$5:$G$31</definedName>
    <definedName name="_xlnm.Print_Area" localSheetId="11">CONSOLIDADO_COT_INICIAL!$A$5:$AL$48</definedName>
    <definedName name="_xlnm.Print_Titles" localSheetId="12">'02.ANÁLISIS SIN TUNEL'!$6:$6</definedName>
    <definedName name="_xlnm.Print_Titles" localSheetId="13">'03.INDEXACIÓN DE PRECIOS'!$6:$6</definedName>
    <definedName name="_xlnm.Print_Titles" localSheetId="11">CONSOLIDADO_COT_INICIAL!$6:$6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7" i="25" l="1"/>
  <c r="AW7" i="25"/>
  <c r="AV7" i="25"/>
  <c r="AU7" i="25"/>
  <c r="BE7" i="25"/>
  <c r="BD7" i="25"/>
  <c r="BC7" i="25"/>
  <c r="BB7" i="25"/>
  <c r="BA7" i="25"/>
  <c r="AZ7" i="25"/>
  <c r="AT7" i="25"/>
  <c r="AS7" i="25"/>
  <c r="AR7" i="25"/>
  <c r="AQ7" i="25"/>
  <c r="AP7" i="25"/>
  <c r="AA7" i="25"/>
  <c r="AH7" i="25"/>
  <c r="AI7" i="25"/>
  <c r="S7" i="25"/>
  <c r="Q7" i="25"/>
  <c r="BG7" i="25" l="1"/>
  <c r="BH7" i="25" s="1"/>
  <c r="F2" i="27"/>
  <c r="G2" i="27" s="1"/>
  <c r="W7" i="25" l="1"/>
  <c r="CU7" i="25" s="1"/>
  <c r="F2" i="26" s="1"/>
  <c r="G2" i="26" s="1"/>
  <c r="H2" i="26" s="1"/>
  <c r="I2" i="26" s="1"/>
  <c r="X7" i="25"/>
  <c r="U7" i="25"/>
  <c r="V7" i="25"/>
  <c r="CU10" i="25" l="1"/>
  <c r="CV7" i="25"/>
  <c r="CW7" i="25" s="1"/>
  <c r="AB7" i="25"/>
  <c r="CQ7" i="25"/>
  <c r="CR7" i="25" s="1"/>
  <c r="CS7" i="25" s="1"/>
  <c r="CZ7" i="25"/>
  <c r="Y7" i="25"/>
  <c r="AF7" i="25" s="1"/>
  <c r="L7" i="25"/>
  <c r="M7" i="25" s="1"/>
  <c r="K8" i="25" l="1"/>
  <c r="AG7" i="25" l="1"/>
  <c r="AM7" i="25" l="1"/>
  <c r="AK7" i="25"/>
  <c r="AL7" i="25"/>
  <c r="AJ7" i="25"/>
  <c r="AN7" i="25"/>
  <c r="R7" i="25"/>
  <c r="O7" i="25"/>
  <c r="P7" i="25" s="1"/>
  <c r="I7" i="25" l="1"/>
  <c r="F7" i="25" l="1"/>
  <c r="G7" i="25" s="1"/>
  <c r="BI7" i="25" l="1"/>
  <c r="BI8" i="25" s="1"/>
  <c r="C8" i="25"/>
  <c r="E8" i="25" l="1"/>
  <c r="E7" i="22"/>
  <c r="N8" i="25" l="1"/>
  <c r="W38" i="10" l="1"/>
  <c r="W36" i="10"/>
  <c r="W35" i="10"/>
  <c r="W34" i="10"/>
  <c r="W33" i="10"/>
  <c r="AF33" i="10" s="1"/>
  <c r="W32" i="10"/>
  <c r="W31" i="10"/>
  <c r="W30" i="10"/>
  <c r="W29" i="10"/>
  <c r="W28" i="10"/>
  <c r="W27" i="10"/>
  <c r="W26" i="10"/>
  <c r="W25" i="10"/>
  <c r="W24" i="10"/>
  <c r="W21" i="10"/>
  <c r="W11" i="10"/>
  <c r="V38" i="10"/>
  <c r="V37" i="10"/>
  <c r="V36" i="10"/>
  <c r="V35" i="10"/>
  <c r="V34" i="10"/>
  <c r="V33" i="10"/>
  <c r="V32" i="10"/>
  <c r="V31" i="10"/>
  <c r="V30" i="10"/>
  <c r="V29" i="10"/>
  <c r="V28" i="10"/>
  <c r="V27" i="10"/>
  <c r="V26" i="10"/>
  <c r="V25" i="10"/>
  <c r="V24" i="10"/>
  <c r="V21" i="10"/>
  <c r="V11" i="10"/>
  <c r="Z38" i="10"/>
  <c r="Z37" i="10"/>
  <c r="Z36" i="10"/>
  <c r="Z35" i="10"/>
  <c r="Z34" i="10"/>
  <c r="Z33" i="10"/>
  <c r="Z32" i="10"/>
  <c r="Z31" i="10"/>
  <c r="Z30" i="10"/>
  <c r="Z29" i="10"/>
  <c r="Z28" i="10"/>
  <c r="Z27" i="10"/>
  <c r="Z26" i="10"/>
  <c r="Z25" i="10"/>
  <c r="Z24" i="10"/>
  <c r="Z21" i="10"/>
  <c r="Z11" i="10"/>
  <c r="Y38" i="10"/>
  <c r="Y37" i="10"/>
  <c r="Y36" i="10"/>
  <c r="Y35" i="10"/>
  <c r="Y34" i="10"/>
  <c r="Y33" i="10"/>
  <c r="Y32" i="10"/>
  <c r="Y31" i="10"/>
  <c r="Y30" i="10"/>
  <c r="Y29" i="10"/>
  <c r="Y28" i="10"/>
  <c r="Y27" i="10"/>
  <c r="Y26" i="10"/>
  <c r="Y25" i="10"/>
  <c r="Y24" i="10"/>
  <c r="Y21" i="10"/>
  <c r="Y11" i="10"/>
  <c r="X38" i="10"/>
  <c r="X37" i="10"/>
  <c r="X36" i="10"/>
  <c r="X35" i="10"/>
  <c r="X34" i="10"/>
  <c r="X33" i="10"/>
  <c r="X32" i="10"/>
  <c r="X31" i="10"/>
  <c r="X30" i="10"/>
  <c r="X29" i="10"/>
  <c r="X28" i="10"/>
  <c r="X27" i="10"/>
  <c r="X26" i="10"/>
  <c r="X25" i="10"/>
  <c r="X24" i="10"/>
  <c r="X21" i="10"/>
  <c r="X11" i="10"/>
  <c r="W37" i="10"/>
  <c r="X24" i="14"/>
  <c r="W24" i="14"/>
  <c r="S38" i="10"/>
  <c r="T38" i="10" s="1"/>
  <c r="P38" i="10"/>
  <c r="Q38" i="10" s="1"/>
  <c r="M38" i="10"/>
  <c r="N38" i="10" s="1"/>
  <c r="J38" i="10"/>
  <c r="K38" i="10" s="1"/>
  <c r="G38" i="10"/>
  <c r="H38" i="10" s="1"/>
  <c r="S37" i="10"/>
  <c r="T37" i="10" s="1"/>
  <c r="P37" i="10"/>
  <c r="Q37" i="10" s="1"/>
  <c r="M37" i="10"/>
  <c r="N37" i="10" s="1"/>
  <c r="J37" i="10"/>
  <c r="K37" i="10" s="1"/>
  <c r="G37" i="10"/>
  <c r="H37" i="10" s="1"/>
  <c r="S36" i="10"/>
  <c r="T36" i="10" s="1"/>
  <c r="P36" i="10"/>
  <c r="Q36" i="10" s="1"/>
  <c r="M36" i="10"/>
  <c r="N36" i="10" s="1"/>
  <c r="J36" i="10"/>
  <c r="K36" i="10" s="1"/>
  <c r="G36" i="10"/>
  <c r="H36" i="10" s="1"/>
  <c r="S35" i="10"/>
  <c r="T35" i="10" s="1"/>
  <c r="P35" i="10"/>
  <c r="Q35" i="10" s="1"/>
  <c r="M35" i="10"/>
  <c r="N35" i="10" s="1"/>
  <c r="J35" i="10"/>
  <c r="K35" i="10" s="1"/>
  <c r="G35" i="10"/>
  <c r="H35" i="10" s="1"/>
  <c r="S34" i="10"/>
  <c r="T34" i="10" s="1"/>
  <c r="P34" i="10"/>
  <c r="Q34" i="10" s="1"/>
  <c r="M34" i="10"/>
  <c r="N34" i="10" s="1"/>
  <c r="J34" i="10"/>
  <c r="K34" i="10" s="1"/>
  <c r="G34" i="10"/>
  <c r="H34" i="10" s="1"/>
  <c r="S33" i="10"/>
  <c r="T33" i="10" s="1"/>
  <c r="P33" i="10"/>
  <c r="Q33" i="10" s="1"/>
  <c r="M33" i="10"/>
  <c r="N33" i="10" s="1"/>
  <c r="J33" i="10"/>
  <c r="K33" i="10" s="1"/>
  <c r="G33" i="10"/>
  <c r="H33" i="10" s="1"/>
  <c r="S32" i="10"/>
  <c r="T32" i="10" s="1"/>
  <c r="P32" i="10"/>
  <c r="Q32" i="10" s="1"/>
  <c r="M32" i="10"/>
  <c r="N32" i="10" s="1"/>
  <c r="J32" i="10"/>
  <c r="K32" i="10" s="1"/>
  <c r="G32" i="10"/>
  <c r="H32" i="10" s="1"/>
  <c r="S31" i="10"/>
  <c r="T31" i="10" s="1"/>
  <c r="P31" i="10"/>
  <c r="Q31" i="10" s="1"/>
  <c r="M31" i="10"/>
  <c r="N31" i="10" s="1"/>
  <c r="J31" i="10"/>
  <c r="K31" i="10" s="1"/>
  <c r="G31" i="10"/>
  <c r="H31" i="10" s="1"/>
  <c r="S30" i="10"/>
  <c r="T30" i="10" s="1"/>
  <c r="P30" i="10"/>
  <c r="Q30" i="10" s="1"/>
  <c r="M30" i="10"/>
  <c r="N30" i="10" s="1"/>
  <c r="J30" i="10"/>
  <c r="K30" i="10" s="1"/>
  <c r="G30" i="10"/>
  <c r="H30" i="10" s="1"/>
  <c r="S29" i="10"/>
  <c r="T29" i="10" s="1"/>
  <c r="P29" i="10"/>
  <c r="Q29" i="10" s="1"/>
  <c r="M29" i="10"/>
  <c r="N29" i="10" s="1"/>
  <c r="J29" i="10"/>
  <c r="K29" i="10" s="1"/>
  <c r="G29" i="10"/>
  <c r="H29" i="10" s="1"/>
  <c r="S28" i="10"/>
  <c r="T28" i="10" s="1"/>
  <c r="P28" i="10"/>
  <c r="Q28" i="10" s="1"/>
  <c r="M28" i="10"/>
  <c r="N28" i="10" s="1"/>
  <c r="J28" i="10"/>
  <c r="K28" i="10" s="1"/>
  <c r="G28" i="10"/>
  <c r="H28" i="10" s="1"/>
  <c r="S27" i="10"/>
  <c r="T27" i="10" s="1"/>
  <c r="P27" i="10"/>
  <c r="Q27" i="10" s="1"/>
  <c r="M27" i="10"/>
  <c r="N27" i="10" s="1"/>
  <c r="J27" i="10"/>
  <c r="K27" i="10" s="1"/>
  <c r="G27" i="10"/>
  <c r="H27" i="10" s="1"/>
  <c r="S26" i="10"/>
  <c r="T26" i="10" s="1"/>
  <c r="P26" i="10"/>
  <c r="Q26" i="10" s="1"/>
  <c r="M26" i="10"/>
  <c r="N26" i="10" s="1"/>
  <c r="J26" i="10"/>
  <c r="K26" i="10" s="1"/>
  <c r="G26" i="10"/>
  <c r="H26" i="10" s="1"/>
  <c r="S25" i="10"/>
  <c r="T25" i="10" s="1"/>
  <c r="P25" i="10"/>
  <c r="Q25" i="10" s="1"/>
  <c r="M25" i="10"/>
  <c r="N25" i="10" s="1"/>
  <c r="J25" i="10"/>
  <c r="K25" i="10" s="1"/>
  <c r="G25" i="10"/>
  <c r="H25" i="10" s="1"/>
  <c r="S24" i="10"/>
  <c r="T24" i="10" s="1"/>
  <c r="P24" i="10"/>
  <c r="Q24" i="10" s="1"/>
  <c r="M24" i="10"/>
  <c r="N24" i="10" s="1"/>
  <c r="J24" i="10"/>
  <c r="K24" i="10" s="1"/>
  <c r="G24" i="10"/>
  <c r="H24" i="10" s="1"/>
  <c r="P23" i="10"/>
  <c r="Q23" i="10" s="1"/>
  <c r="M23" i="10"/>
  <c r="N23" i="10" s="1"/>
  <c r="J23" i="10"/>
  <c r="K23" i="10" s="1"/>
  <c r="G23" i="10"/>
  <c r="H23" i="10" s="1"/>
  <c r="P22" i="10"/>
  <c r="Q22" i="10" s="1"/>
  <c r="M22" i="10"/>
  <c r="N22" i="10" s="1"/>
  <c r="J22" i="10"/>
  <c r="K22" i="10" s="1"/>
  <c r="G22" i="10"/>
  <c r="H22" i="10" s="1"/>
  <c r="P21" i="10"/>
  <c r="Q21" i="10" s="1"/>
  <c r="M21" i="10"/>
  <c r="N21" i="10" s="1"/>
  <c r="J21" i="10"/>
  <c r="K21" i="10" s="1"/>
  <c r="G21" i="10"/>
  <c r="H21" i="10" s="1"/>
  <c r="P20" i="10"/>
  <c r="Q20" i="10" s="1"/>
  <c r="M20" i="10"/>
  <c r="N20" i="10" s="1"/>
  <c r="J20" i="10"/>
  <c r="K20" i="10" s="1"/>
  <c r="G20" i="10"/>
  <c r="H20" i="10" s="1"/>
  <c r="P19" i="10"/>
  <c r="Q19" i="10" s="1"/>
  <c r="M19" i="10"/>
  <c r="N19" i="10" s="1"/>
  <c r="J19" i="10"/>
  <c r="K19" i="10" s="1"/>
  <c r="G19" i="10"/>
  <c r="H19" i="10" s="1"/>
  <c r="P18" i="10"/>
  <c r="Q18" i="10" s="1"/>
  <c r="M18" i="10"/>
  <c r="N18" i="10" s="1"/>
  <c r="J18" i="10"/>
  <c r="K18" i="10" s="1"/>
  <c r="G18" i="10"/>
  <c r="H18" i="10" s="1"/>
  <c r="P17" i="10"/>
  <c r="Q17" i="10" s="1"/>
  <c r="M17" i="10"/>
  <c r="N17" i="10" s="1"/>
  <c r="J17" i="10"/>
  <c r="K17" i="10" s="1"/>
  <c r="G17" i="10"/>
  <c r="H17" i="10" s="1"/>
  <c r="P16" i="10"/>
  <c r="Q16" i="10" s="1"/>
  <c r="M16" i="10"/>
  <c r="J16" i="10"/>
  <c r="K16" i="10" s="1"/>
  <c r="G16" i="10"/>
  <c r="H16" i="10" s="1"/>
  <c r="P15" i="10"/>
  <c r="Q15" i="10" s="1"/>
  <c r="M15" i="10"/>
  <c r="N15" i="10" s="1"/>
  <c r="J15" i="10"/>
  <c r="K15" i="10" s="1"/>
  <c r="G15" i="10"/>
  <c r="H15" i="10" s="1"/>
  <c r="P14" i="10"/>
  <c r="Q14" i="10" s="1"/>
  <c r="M14" i="10"/>
  <c r="N14" i="10" s="1"/>
  <c r="J14" i="10"/>
  <c r="K14" i="10" s="1"/>
  <c r="G14" i="10"/>
  <c r="H14" i="10" s="1"/>
  <c r="P13" i="10"/>
  <c r="Q13" i="10" s="1"/>
  <c r="M13" i="10"/>
  <c r="N13" i="10" s="1"/>
  <c r="J13" i="10"/>
  <c r="K13" i="10" s="1"/>
  <c r="G13" i="10"/>
  <c r="H13" i="10" s="1"/>
  <c r="P12" i="10"/>
  <c r="Q12" i="10" s="1"/>
  <c r="M12" i="10"/>
  <c r="N12" i="10" s="1"/>
  <c r="J12" i="10"/>
  <c r="K12" i="10" s="1"/>
  <c r="G12" i="10"/>
  <c r="H12" i="10" s="1"/>
  <c r="S11" i="10"/>
  <c r="T11" i="10" s="1"/>
  <c r="P11" i="10"/>
  <c r="Q11" i="10" s="1"/>
  <c r="M11" i="10"/>
  <c r="N11" i="10" s="1"/>
  <c r="J11" i="10"/>
  <c r="K11" i="10" s="1"/>
  <c r="G11" i="10"/>
  <c r="H11" i="10" s="1"/>
  <c r="P10" i="10"/>
  <c r="Q10" i="10" s="1"/>
  <c r="M10" i="10"/>
  <c r="N10" i="10" s="1"/>
  <c r="J10" i="10"/>
  <c r="K10" i="10" s="1"/>
  <c r="G10" i="10"/>
  <c r="H10" i="10" s="1"/>
  <c r="P9" i="10"/>
  <c r="Q9" i="10" s="1"/>
  <c r="M9" i="10"/>
  <c r="N9" i="10" s="1"/>
  <c r="J9" i="10"/>
  <c r="K9" i="10" s="1"/>
  <c r="G9" i="10"/>
  <c r="H9" i="10" s="1"/>
  <c r="P8" i="10"/>
  <c r="Q8" i="10" s="1"/>
  <c r="M8" i="10"/>
  <c r="N8" i="10" s="1"/>
  <c r="J8" i="10"/>
  <c r="K8" i="10" s="1"/>
  <c r="G8" i="10"/>
  <c r="H8" i="10" s="1"/>
  <c r="P7" i="10"/>
  <c r="Q7" i="10" s="1"/>
  <c r="M7" i="10"/>
  <c r="N7" i="10" s="1"/>
  <c r="J7" i="10"/>
  <c r="K7" i="10" s="1"/>
  <c r="G7" i="10"/>
  <c r="H7" i="10" s="1"/>
  <c r="X38" i="14"/>
  <c r="X37" i="14"/>
  <c r="X36" i="14"/>
  <c r="X35" i="14"/>
  <c r="X34" i="14"/>
  <c r="X32" i="14"/>
  <c r="X31" i="14"/>
  <c r="X30" i="14"/>
  <c r="X29" i="14"/>
  <c r="X28" i="14"/>
  <c r="X27" i="14"/>
  <c r="X26" i="14"/>
  <c r="X25" i="14"/>
  <c r="X11" i="14"/>
  <c r="W38" i="14"/>
  <c r="W37" i="14"/>
  <c r="W36" i="14"/>
  <c r="W35" i="14"/>
  <c r="W34" i="14"/>
  <c r="W33" i="14"/>
  <c r="W32" i="14"/>
  <c r="W31" i="14"/>
  <c r="W30" i="14"/>
  <c r="W29" i="14"/>
  <c r="W28" i="14"/>
  <c r="W27" i="14"/>
  <c r="W26" i="14"/>
  <c r="W25" i="14"/>
  <c r="W11" i="14"/>
  <c r="Q8" i="25" l="1"/>
  <c r="AD24" i="10"/>
  <c r="AB28" i="10"/>
  <c r="AD27" i="10"/>
  <c r="AC30" i="10"/>
  <c r="AD29" i="10"/>
  <c r="AD30" i="10"/>
  <c r="AF11" i="10"/>
  <c r="AC31" i="10"/>
  <c r="AD26" i="10"/>
  <c r="AF27" i="10"/>
  <c r="AC25" i="10"/>
  <c r="AB35" i="10"/>
  <c r="AF28" i="10"/>
  <c r="AC26" i="10"/>
  <c r="AA11" i="10"/>
  <c r="AF29" i="10"/>
  <c r="AC27" i="10"/>
  <c r="AC37" i="10"/>
  <c r="AF30" i="10"/>
  <c r="AC28" i="10"/>
  <c r="AB38" i="10"/>
  <c r="AC29" i="10"/>
  <c r="AC21" i="10"/>
  <c r="AD28" i="10"/>
  <c r="AB32" i="10"/>
  <c r="AB33" i="10"/>
  <c r="AB34" i="10"/>
  <c r="AC11" i="10"/>
  <c r="AF36" i="10"/>
  <c r="AA21" i="10"/>
  <c r="AF34" i="10"/>
  <c r="AF37" i="10"/>
  <c r="AB24" i="10"/>
  <c r="AB31" i="10"/>
  <c r="AF32" i="10"/>
  <c r="AF21" i="10"/>
  <c r="AF38" i="10"/>
  <c r="AB25" i="10"/>
  <c r="AB30" i="10"/>
  <c r="AD25" i="10"/>
  <c r="AF35" i="10"/>
  <c r="AA26" i="10"/>
  <c r="AB29" i="10"/>
  <c r="AD11" i="10"/>
  <c r="AD36" i="10"/>
  <c r="AF24" i="10"/>
  <c r="AA27" i="10"/>
  <c r="AF25" i="10"/>
  <c r="AB27" i="10"/>
  <c r="AF26" i="10"/>
  <c r="AB26" i="10"/>
  <c r="AF31" i="10"/>
  <c r="AB11" i="10"/>
  <c r="AB37" i="10"/>
  <c r="AB21" i="10"/>
  <c r="AC36" i="10"/>
  <c r="AD35" i="10"/>
  <c r="AB36" i="10"/>
  <c r="AC35" i="10"/>
  <c r="AD34" i="10"/>
  <c r="AC34" i="10"/>
  <c r="AD33" i="10"/>
  <c r="AC33" i="10"/>
  <c r="AD32" i="10"/>
  <c r="AC32" i="10"/>
  <c r="AD31" i="10"/>
  <c r="AA24" i="10"/>
  <c r="AC24" i="10"/>
  <c r="AD38" i="10"/>
  <c r="AC38" i="10"/>
  <c r="AD37" i="10"/>
  <c r="AD21" i="10"/>
  <c r="O39" i="10"/>
  <c r="P38" i="14"/>
  <c r="Q38" i="14" s="1"/>
  <c r="P37" i="14"/>
  <c r="Q37" i="14" s="1"/>
  <c r="P36" i="14"/>
  <c r="Q36" i="14" s="1"/>
  <c r="P35" i="14"/>
  <c r="Q35" i="14" s="1"/>
  <c r="P34" i="14"/>
  <c r="Q34" i="14" s="1"/>
  <c r="P33" i="14"/>
  <c r="P32" i="14"/>
  <c r="Q32" i="14" s="1"/>
  <c r="P31" i="14"/>
  <c r="Q31" i="14" s="1"/>
  <c r="P30" i="14"/>
  <c r="Q30" i="14" s="1"/>
  <c r="P29" i="14"/>
  <c r="Q29" i="14" s="1"/>
  <c r="P28" i="14"/>
  <c r="Q28" i="14" s="1"/>
  <c r="P27" i="14"/>
  <c r="Q27" i="14" s="1"/>
  <c r="P26" i="14"/>
  <c r="Q26" i="14" s="1"/>
  <c r="P25" i="14"/>
  <c r="Q25" i="14" s="1"/>
  <c r="P24" i="14"/>
  <c r="Q24" i="14" s="1"/>
  <c r="P23" i="14"/>
  <c r="Q23" i="14" s="1"/>
  <c r="P22" i="14"/>
  <c r="Q22" i="14" s="1"/>
  <c r="P21" i="14"/>
  <c r="Q21" i="14" s="1"/>
  <c r="P20" i="14"/>
  <c r="Q20" i="14" s="1"/>
  <c r="P19" i="14"/>
  <c r="Q19" i="14" s="1"/>
  <c r="P18" i="14"/>
  <c r="Q18" i="14" s="1"/>
  <c r="P17" i="14"/>
  <c r="Q17" i="14" s="1"/>
  <c r="P16" i="14"/>
  <c r="Q16" i="14" s="1"/>
  <c r="P15" i="14"/>
  <c r="Q15" i="14" s="1"/>
  <c r="P14" i="14"/>
  <c r="Q14" i="14" s="1"/>
  <c r="P13" i="14"/>
  <c r="Q13" i="14" s="1"/>
  <c r="P12" i="14"/>
  <c r="Q12" i="14" s="1"/>
  <c r="P11" i="14"/>
  <c r="Q11" i="14" s="1"/>
  <c r="P10" i="14"/>
  <c r="Q10" i="14" s="1"/>
  <c r="P9" i="14"/>
  <c r="Q9" i="14" s="1"/>
  <c r="P8" i="14"/>
  <c r="Q8" i="14" s="1"/>
  <c r="P7" i="14"/>
  <c r="Q7" i="14" s="1"/>
  <c r="Q33" i="14" l="1"/>
  <c r="O39" i="14" s="1"/>
  <c r="X33" i="14"/>
  <c r="I78" i="16"/>
  <c r="I18" i="16"/>
  <c r="J26" i="14"/>
  <c r="M38" i="14"/>
  <c r="M37" i="14"/>
  <c r="M36" i="14"/>
  <c r="M35" i="14"/>
  <c r="M34" i="14"/>
  <c r="M33" i="14"/>
  <c r="M32" i="14"/>
  <c r="M31" i="14"/>
  <c r="M30" i="14"/>
  <c r="M29" i="14"/>
  <c r="M28" i="14"/>
  <c r="M27" i="14"/>
  <c r="M26" i="14"/>
  <c r="M25" i="14"/>
  <c r="M24" i="14"/>
  <c r="M23" i="14"/>
  <c r="M22" i="14"/>
  <c r="M21" i="14"/>
  <c r="M20" i="14"/>
  <c r="M19" i="14"/>
  <c r="M18" i="14"/>
  <c r="M17" i="14"/>
  <c r="M16" i="14"/>
  <c r="M15" i="14"/>
  <c r="M14" i="14"/>
  <c r="M13" i="14"/>
  <c r="M12" i="14"/>
  <c r="M11" i="14"/>
  <c r="M10" i="14"/>
  <c r="M9" i="14"/>
  <c r="M8" i="14"/>
  <c r="M7" i="14"/>
  <c r="N28" i="14" l="1"/>
  <c r="N13" i="14"/>
  <c r="N29" i="14"/>
  <c r="N31" i="14"/>
  <c r="N15" i="14"/>
  <c r="N16" i="14"/>
  <c r="N32" i="14"/>
  <c r="N17" i="14"/>
  <c r="N33" i="14"/>
  <c r="N18" i="14"/>
  <c r="N34" i="14"/>
  <c r="N19" i="14"/>
  <c r="N35" i="14"/>
  <c r="N20" i="14"/>
  <c r="N36" i="14"/>
  <c r="N21" i="14"/>
  <c r="N37" i="14"/>
  <c r="N22" i="14"/>
  <c r="N38" i="14"/>
  <c r="N30" i="14"/>
  <c r="N7" i="14"/>
  <c r="N23" i="14"/>
  <c r="N12" i="14"/>
  <c r="N8" i="14"/>
  <c r="N24" i="14"/>
  <c r="N9" i="14"/>
  <c r="N25" i="14"/>
  <c r="N10" i="14"/>
  <c r="N26" i="14"/>
  <c r="N14" i="14"/>
  <c r="N11" i="14"/>
  <c r="N27" i="14"/>
  <c r="L39" i="10"/>
  <c r="L39" i="14" l="1"/>
  <c r="C39" i="14" l="1"/>
  <c r="S38" i="14"/>
  <c r="J38" i="14"/>
  <c r="G38" i="14"/>
  <c r="S37" i="14"/>
  <c r="J37" i="14"/>
  <c r="G37" i="14"/>
  <c r="S36" i="14"/>
  <c r="J36" i="14"/>
  <c r="G36" i="14"/>
  <c r="S35" i="14"/>
  <c r="J35" i="14"/>
  <c r="G35" i="14"/>
  <c r="S34" i="14"/>
  <c r="J34" i="14"/>
  <c r="G34" i="14"/>
  <c r="S33" i="14"/>
  <c r="J33" i="14"/>
  <c r="G33" i="14"/>
  <c r="S32" i="14"/>
  <c r="J32" i="14"/>
  <c r="G32" i="14"/>
  <c r="S31" i="14"/>
  <c r="J31" i="14"/>
  <c r="G31" i="14"/>
  <c r="S30" i="14"/>
  <c r="J30" i="14"/>
  <c r="G30" i="14"/>
  <c r="S29" i="14"/>
  <c r="J29" i="14"/>
  <c r="G29" i="14"/>
  <c r="S28" i="14"/>
  <c r="J28" i="14"/>
  <c r="G28" i="14"/>
  <c r="S27" i="14"/>
  <c r="J27" i="14"/>
  <c r="G27" i="14"/>
  <c r="S26" i="14"/>
  <c r="K26" i="14"/>
  <c r="G26" i="14"/>
  <c r="S25" i="14"/>
  <c r="J25" i="14"/>
  <c r="G25" i="14"/>
  <c r="S24" i="14"/>
  <c r="J24" i="14"/>
  <c r="G24" i="14"/>
  <c r="J23" i="14"/>
  <c r="G23" i="14"/>
  <c r="J22" i="14"/>
  <c r="G22" i="14"/>
  <c r="J21" i="14"/>
  <c r="G21" i="14"/>
  <c r="J20" i="14"/>
  <c r="G20" i="14"/>
  <c r="J19" i="14"/>
  <c r="G19" i="14"/>
  <c r="J18" i="14"/>
  <c r="G18" i="14"/>
  <c r="J17" i="14"/>
  <c r="G17" i="14"/>
  <c r="J16" i="14"/>
  <c r="G16" i="14"/>
  <c r="J15" i="14"/>
  <c r="G15" i="14"/>
  <c r="J14" i="14"/>
  <c r="G14" i="14"/>
  <c r="J13" i="14"/>
  <c r="G13" i="14"/>
  <c r="J12" i="14"/>
  <c r="G12" i="14"/>
  <c r="S11" i="14"/>
  <c r="J11" i="14"/>
  <c r="G11" i="14"/>
  <c r="J10" i="14"/>
  <c r="G10" i="14"/>
  <c r="J9" i="14"/>
  <c r="G9" i="14"/>
  <c r="J8" i="14"/>
  <c r="G8" i="14"/>
  <c r="J7" i="14"/>
  <c r="G7" i="14"/>
  <c r="C39" i="10"/>
  <c r="R7" i="10" l="1"/>
  <c r="R7" i="14"/>
  <c r="W7" i="14" s="1"/>
  <c r="K34" i="14"/>
  <c r="K35" i="14"/>
  <c r="K9" i="14"/>
  <c r="K36" i="14"/>
  <c r="K15" i="14"/>
  <c r="K31" i="14"/>
  <c r="T36" i="14"/>
  <c r="K8" i="14"/>
  <c r="K10" i="14"/>
  <c r="T31" i="14"/>
  <c r="T25" i="14"/>
  <c r="K21" i="14"/>
  <c r="T26" i="14"/>
  <c r="K37" i="14"/>
  <c r="K24" i="14"/>
  <c r="K20" i="14"/>
  <c r="K16" i="14"/>
  <c r="K32" i="14"/>
  <c r="T37" i="14"/>
  <c r="K13" i="14"/>
  <c r="T29" i="14"/>
  <c r="T35" i="14"/>
  <c r="K11" i="14"/>
  <c r="K27" i="14"/>
  <c r="T32" i="14"/>
  <c r="T30" i="14"/>
  <c r="T11" i="14"/>
  <c r="K22" i="14"/>
  <c r="T27" i="14"/>
  <c r="K38" i="14"/>
  <c r="T34" i="14"/>
  <c r="K30" i="14"/>
  <c r="K17" i="14"/>
  <c r="K33" i="14"/>
  <c r="T38" i="14"/>
  <c r="T24" i="14"/>
  <c r="K14" i="14"/>
  <c r="K12" i="14"/>
  <c r="K28" i="14"/>
  <c r="T33" i="14"/>
  <c r="K18" i="14"/>
  <c r="K29" i="14"/>
  <c r="K19" i="14"/>
  <c r="K25" i="14"/>
  <c r="K7" i="14"/>
  <c r="T28" i="14"/>
  <c r="H7" i="14"/>
  <c r="H23" i="14"/>
  <c r="H30" i="14"/>
  <c r="H9" i="14"/>
  <c r="H25" i="14"/>
  <c r="H20" i="14"/>
  <c r="H36" i="14"/>
  <c r="H24" i="14"/>
  <c r="H15" i="14"/>
  <c r="H31" i="14"/>
  <c r="H10" i="14"/>
  <c r="H26" i="14"/>
  <c r="H14" i="14"/>
  <c r="H21" i="14"/>
  <c r="H37" i="14"/>
  <c r="H19" i="14"/>
  <c r="H16" i="14"/>
  <c r="H32" i="14"/>
  <c r="H35" i="14"/>
  <c r="H11" i="14"/>
  <c r="H27" i="14"/>
  <c r="H22" i="14"/>
  <c r="H38" i="14"/>
  <c r="H17" i="14"/>
  <c r="H33" i="14"/>
  <c r="H8" i="14"/>
  <c r="H12" i="14"/>
  <c r="H28" i="14"/>
  <c r="H18" i="14"/>
  <c r="K23" i="14"/>
  <c r="H34" i="14"/>
  <c r="H13" i="14"/>
  <c r="H29" i="14"/>
  <c r="X7" i="14" l="1"/>
  <c r="Z7" i="14" s="1"/>
  <c r="S7" i="14"/>
  <c r="T7" i="14" s="1"/>
  <c r="R22" i="10"/>
  <c r="R22" i="14"/>
  <c r="R9" i="10"/>
  <c r="R9" i="14"/>
  <c r="S7" i="10"/>
  <c r="T7" i="10" s="1"/>
  <c r="V7" i="10"/>
  <c r="X7" i="10"/>
  <c r="W7" i="10"/>
  <c r="Y7" i="10"/>
  <c r="Z7" i="10"/>
  <c r="R15" i="10"/>
  <c r="R15" i="14"/>
  <c r="R8" i="10"/>
  <c r="R8" i="14"/>
  <c r="R19" i="10"/>
  <c r="R19" i="14"/>
  <c r="R17" i="10"/>
  <c r="R17" i="14"/>
  <c r="R13" i="10"/>
  <c r="R13" i="14"/>
  <c r="R12" i="10"/>
  <c r="R12" i="14"/>
  <c r="R14" i="10"/>
  <c r="R14" i="14"/>
  <c r="R16" i="10"/>
  <c r="R16" i="14"/>
  <c r="R23" i="10"/>
  <c r="R23" i="14"/>
  <c r="R10" i="10"/>
  <c r="R10" i="14"/>
  <c r="R18" i="10"/>
  <c r="R18" i="14"/>
  <c r="R20" i="10"/>
  <c r="R20" i="14"/>
  <c r="R21" i="10"/>
  <c r="S21" i="10" s="1"/>
  <c r="T21" i="10" s="1"/>
  <c r="R21" i="14"/>
  <c r="Y26" i="14"/>
  <c r="Y11" i="14"/>
  <c r="Y30" i="14"/>
  <c r="Y35" i="14"/>
  <c r="Y32" i="14"/>
  <c r="Y34" i="14"/>
  <c r="Z29" i="14"/>
  <c r="AA31" i="14"/>
  <c r="Y24" i="14"/>
  <c r="Z38" i="14"/>
  <c r="Y36" i="14"/>
  <c r="Y37" i="14"/>
  <c r="AA33" i="14"/>
  <c r="Z27" i="14"/>
  <c r="Y25" i="14"/>
  <c r="I39" i="14"/>
  <c r="Y29" i="14"/>
  <c r="Z34" i="14"/>
  <c r="Y33" i="14"/>
  <c r="Y28" i="14"/>
  <c r="F39" i="14"/>
  <c r="AA36" i="14"/>
  <c r="Z36" i="14"/>
  <c r="AA11" i="14"/>
  <c r="Z11" i="14"/>
  <c r="AA26" i="14"/>
  <c r="Z26" i="14"/>
  <c r="AA30" i="14"/>
  <c r="Z30" i="14"/>
  <c r="AA28" i="14"/>
  <c r="Z28" i="14"/>
  <c r="AA34" i="14"/>
  <c r="AA7" i="14" l="1"/>
  <c r="AF7" i="14" s="1"/>
  <c r="Y7" i="14"/>
  <c r="S18" i="14"/>
  <c r="T18" i="14" s="1"/>
  <c r="W18" i="14"/>
  <c r="X18" i="14"/>
  <c r="S10" i="10"/>
  <c r="T10" i="10" s="1"/>
  <c r="W10" i="10"/>
  <c r="V10" i="10"/>
  <c r="Y10" i="10"/>
  <c r="Z10" i="10"/>
  <c r="X10" i="10"/>
  <c r="S14" i="14"/>
  <c r="T14" i="14" s="1"/>
  <c r="X14" i="14"/>
  <c r="W14" i="14"/>
  <c r="W13" i="14"/>
  <c r="S13" i="14"/>
  <c r="T13" i="14" s="1"/>
  <c r="X13" i="14"/>
  <c r="S17" i="10"/>
  <c r="T17" i="10" s="1"/>
  <c r="V17" i="10"/>
  <c r="W17" i="10"/>
  <c r="Z17" i="10"/>
  <c r="Y17" i="10"/>
  <c r="X17" i="10"/>
  <c r="W15" i="14"/>
  <c r="X15" i="14"/>
  <c r="S15" i="14"/>
  <c r="T15" i="14" s="1"/>
  <c r="S22" i="14"/>
  <c r="T22" i="14" s="1"/>
  <c r="X22" i="14"/>
  <c r="W22" i="14"/>
  <c r="S20" i="14"/>
  <c r="T20" i="14" s="1"/>
  <c r="W20" i="14"/>
  <c r="X20" i="14"/>
  <c r="S18" i="10"/>
  <c r="T18" i="10" s="1"/>
  <c r="X18" i="10"/>
  <c r="Z18" i="10"/>
  <c r="Y18" i="10"/>
  <c r="W18" i="10"/>
  <c r="V18" i="10"/>
  <c r="S16" i="14"/>
  <c r="T16" i="14" s="1"/>
  <c r="X16" i="14"/>
  <c r="W16" i="14"/>
  <c r="S14" i="10"/>
  <c r="T14" i="10" s="1"/>
  <c r="X14" i="10"/>
  <c r="Z14" i="10"/>
  <c r="W14" i="10"/>
  <c r="V14" i="10"/>
  <c r="Y14" i="10"/>
  <c r="W12" i="14"/>
  <c r="S12" i="14"/>
  <c r="T12" i="14" s="1"/>
  <c r="X12" i="14"/>
  <c r="S13" i="10"/>
  <c r="T13" i="10" s="1"/>
  <c r="V13" i="10"/>
  <c r="Y13" i="10"/>
  <c r="Z13" i="10"/>
  <c r="W13" i="10"/>
  <c r="X13" i="10"/>
  <c r="W8" i="14"/>
  <c r="X8" i="14"/>
  <c r="S8" i="14"/>
  <c r="T8" i="14" s="1"/>
  <c r="Z15" i="10"/>
  <c r="Y15" i="10"/>
  <c r="W15" i="10"/>
  <c r="X15" i="10"/>
  <c r="S15" i="10"/>
  <c r="T15" i="10" s="1"/>
  <c r="V15" i="10"/>
  <c r="AF7" i="10"/>
  <c r="AG7" i="10" s="1"/>
  <c r="AH7" i="10" s="1"/>
  <c r="X9" i="14"/>
  <c r="W9" i="14"/>
  <c r="S9" i="14"/>
  <c r="T9" i="14" s="1"/>
  <c r="S22" i="10"/>
  <c r="T22" i="10" s="1"/>
  <c r="X22" i="10"/>
  <c r="Z22" i="10"/>
  <c r="W22" i="10"/>
  <c r="V22" i="10"/>
  <c r="Y22" i="10"/>
  <c r="S21" i="14"/>
  <c r="T21" i="14" s="1"/>
  <c r="X21" i="14"/>
  <c r="W21" i="14"/>
  <c r="S20" i="10"/>
  <c r="T20" i="10" s="1"/>
  <c r="Y20" i="10"/>
  <c r="W20" i="10"/>
  <c r="Z20" i="10"/>
  <c r="X20" i="10"/>
  <c r="V20" i="10"/>
  <c r="X23" i="14"/>
  <c r="S23" i="14"/>
  <c r="T23" i="14" s="1"/>
  <c r="W23" i="14"/>
  <c r="V16" i="10"/>
  <c r="Z16" i="10"/>
  <c r="W16" i="10"/>
  <c r="S16" i="10"/>
  <c r="T16" i="10" s="1"/>
  <c r="X16" i="10"/>
  <c r="Y16" i="10"/>
  <c r="V12" i="10"/>
  <c r="X12" i="10"/>
  <c r="W12" i="10"/>
  <c r="Y12" i="10"/>
  <c r="S12" i="10"/>
  <c r="T12" i="10" s="1"/>
  <c r="Z12" i="10"/>
  <c r="X19" i="14"/>
  <c r="S19" i="14"/>
  <c r="T19" i="14" s="1"/>
  <c r="W19" i="14"/>
  <c r="S8" i="10"/>
  <c r="T8" i="10" s="1"/>
  <c r="X8" i="10"/>
  <c r="Y8" i="10"/>
  <c r="W8" i="10"/>
  <c r="V8" i="10"/>
  <c r="Z8" i="10"/>
  <c r="W9" i="10"/>
  <c r="V9" i="10"/>
  <c r="Z9" i="10"/>
  <c r="X9" i="10"/>
  <c r="S9" i="10"/>
  <c r="T9" i="10" s="1"/>
  <c r="Y9" i="10"/>
  <c r="S10" i="14"/>
  <c r="T10" i="14" s="1"/>
  <c r="W10" i="14"/>
  <c r="X10" i="14"/>
  <c r="Z23" i="10"/>
  <c r="X23" i="10"/>
  <c r="V23" i="10"/>
  <c r="W23" i="10"/>
  <c r="Y23" i="10"/>
  <c r="S23" i="10"/>
  <c r="T23" i="10" s="1"/>
  <c r="S17" i="14"/>
  <c r="T17" i="14" s="1"/>
  <c r="X17" i="14"/>
  <c r="W17" i="14"/>
  <c r="S19" i="10"/>
  <c r="T19" i="10" s="1"/>
  <c r="Z19" i="10"/>
  <c r="Y19" i="10"/>
  <c r="W19" i="10"/>
  <c r="X19" i="10"/>
  <c r="V19" i="10"/>
  <c r="AD7" i="10"/>
  <c r="AA7" i="10"/>
  <c r="AC7" i="10"/>
  <c r="AB7" i="10"/>
  <c r="AB7" i="14"/>
  <c r="AB36" i="14"/>
  <c r="AC36" i="14"/>
  <c r="AE36" i="14"/>
  <c r="AF36" i="14"/>
  <c r="AD36" i="14"/>
  <c r="AB34" i="14"/>
  <c r="AC34" i="14"/>
  <c r="AD34" i="14"/>
  <c r="AF34" i="14"/>
  <c r="AE34" i="14"/>
  <c r="AF28" i="14"/>
  <c r="AB28" i="14"/>
  <c r="AE28" i="14"/>
  <c r="AC28" i="14"/>
  <c r="AD28" i="14"/>
  <c r="AE7" i="14"/>
  <c r="AD7" i="14"/>
  <c r="AC7" i="14"/>
  <c r="AB30" i="14"/>
  <c r="AE30" i="14"/>
  <c r="AC30" i="14"/>
  <c r="AD30" i="14"/>
  <c r="AF30" i="14"/>
  <c r="AD26" i="14"/>
  <c r="AE26" i="14"/>
  <c r="AF26" i="14"/>
  <c r="AC26" i="14"/>
  <c r="AB26" i="14"/>
  <c r="AB11" i="14"/>
  <c r="AD11" i="14"/>
  <c r="AC11" i="14"/>
  <c r="AE11" i="14"/>
  <c r="AF11" i="14"/>
  <c r="AA29" i="14"/>
  <c r="AE29" i="14" s="1"/>
  <c r="Y31" i="14"/>
  <c r="AA25" i="14"/>
  <c r="Y14" i="14"/>
  <c r="Y38" i="14"/>
  <c r="Z24" i="14"/>
  <c r="AA32" i="14"/>
  <c r="AA38" i="14"/>
  <c r="AB38" i="14" s="1"/>
  <c r="Z32" i="14"/>
  <c r="AA24" i="14"/>
  <c r="Z31" i="14"/>
  <c r="Z14" i="14"/>
  <c r="Z35" i="14"/>
  <c r="AA35" i="14"/>
  <c r="Z25" i="14"/>
  <c r="AA37" i="14"/>
  <c r="Z37" i="14"/>
  <c r="Y27" i="14"/>
  <c r="Z33" i="14"/>
  <c r="AA27" i="14"/>
  <c r="AD27" i="14" s="1"/>
  <c r="F39" i="10"/>
  <c r="I39" i="10"/>
  <c r="AG21" i="10"/>
  <c r="AH21" i="10" s="1"/>
  <c r="AA25" i="10"/>
  <c r="AG27" i="10"/>
  <c r="AH27" i="10" s="1"/>
  <c r="AG28" i="10"/>
  <c r="AH28" i="10" s="1"/>
  <c r="AA28" i="10"/>
  <c r="AA30" i="10"/>
  <c r="AA32" i="10"/>
  <c r="AA34" i="10"/>
  <c r="AG36" i="10"/>
  <c r="AH36" i="10" s="1"/>
  <c r="AA36" i="10"/>
  <c r="AA38" i="10"/>
  <c r="AG11" i="10"/>
  <c r="AH11" i="10" s="1"/>
  <c r="AG25" i="10"/>
  <c r="AH25" i="10" s="1"/>
  <c r="AG24" i="10"/>
  <c r="AH24" i="10" s="1"/>
  <c r="AG26" i="10"/>
  <c r="AH26" i="10" s="1"/>
  <c r="AG30" i="10"/>
  <c r="AH30" i="10" s="1"/>
  <c r="AG31" i="10"/>
  <c r="AH31" i="10" s="1"/>
  <c r="AA31" i="10"/>
  <c r="AG32" i="10"/>
  <c r="AH32" i="10" s="1"/>
  <c r="AG33" i="10"/>
  <c r="AH33" i="10" s="1"/>
  <c r="AA33" i="10"/>
  <c r="AG34" i="10"/>
  <c r="AH34" i="10" s="1"/>
  <c r="AG35" i="10"/>
  <c r="AH35" i="10" s="1"/>
  <c r="AA35" i="10"/>
  <c r="AG29" i="10"/>
  <c r="AH29" i="10" s="1"/>
  <c r="AA29" i="10"/>
  <c r="AG38" i="10"/>
  <c r="AH38" i="10" s="1"/>
  <c r="AG37" i="10"/>
  <c r="AH37" i="10" s="1"/>
  <c r="AA37" i="10"/>
  <c r="Y10" i="14" l="1"/>
  <c r="Z20" i="14"/>
  <c r="Z21" i="14"/>
  <c r="Y16" i="14"/>
  <c r="Z39" i="10"/>
  <c r="Y8" i="14"/>
  <c r="AA12" i="14"/>
  <c r="AF17" i="10"/>
  <c r="AG17" i="10" s="1"/>
  <c r="AH17" i="10" s="1"/>
  <c r="AA15" i="14"/>
  <c r="AF19" i="10"/>
  <c r="AG19" i="10" s="1"/>
  <c r="AH19" i="10" s="1"/>
  <c r="Z17" i="14"/>
  <c r="AA16" i="10"/>
  <c r="Y13" i="14"/>
  <c r="AF15" i="10"/>
  <c r="AG15" i="10" s="1"/>
  <c r="AH15" i="10" s="1"/>
  <c r="AF23" i="10"/>
  <c r="AG23" i="10" s="1"/>
  <c r="AH23" i="10" s="1"/>
  <c r="AF9" i="10"/>
  <c r="AG9" i="10" s="1"/>
  <c r="AH9" i="10" s="1"/>
  <c r="V39" i="10"/>
  <c r="Y39" i="10"/>
  <c r="Z23" i="14"/>
  <c r="AF20" i="10"/>
  <c r="AG20" i="10" s="1"/>
  <c r="AH20" i="10" s="1"/>
  <c r="Y21" i="14"/>
  <c r="AF22" i="10"/>
  <c r="AG22" i="10" s="1"/>
  <c r="AH22" i="10" s="1"/>
  <c r="AA22" i="14"/>
  <c r="Y15" i="14"/>
  <c r="Y18" i="14"/>
  <c r="X39" i="10"/>
  <c r="AF8" i="10"/>
  <c r="AG8" i="10" s="1"/>
  <c r="AH8" i="10" s="1"/>
  <c r="Y20" i="14"/>
  <c r="AA14" i="14"/>
  <c r="AE14" i="14" s="1"/>
  <c r="AB20" i="10"/>
  <c r="AC20" i="10"/>
  <c r="AD20" i="10"/>
  <c r="AA20" i="10"/>
  <c r="AA14" i="10"/>
  <c r="AB14" i="10"/>
  <c r="AC14" i="10"/>
  <c r="AD14" i="10"/>
  <c r="AC17" i="10"/>
  <c r="AD17" i="10"/>
  <c r="AB17" i="10"/>
  <c r="AA17" i="10"/>
  <c r="Y12" i="14"/>
  <c r="AA21" i="14"/>
  <c r="AB21" i="14" s="1"/>
  <c r="Y17" i="14"/>
  <c r="AA10" i="14"/>
  <c r="AA19" i="14"/>
  <c r="Z19" i="14"/>
  <c r="AF12" i="10"/>
  <c r="AG12" i="10" s="1"/>
  <c r="AH12" i="10" s="1"/>
  <c r="Z8" i="14"/>
  <c r="AA8" i="14"/>
  <c r="AF13" i="10"/>
  <c r="AG13" i="10" s="1"/>
  <c r="AH13" i="10" s="1"/>
  <c r="AF18" i="10"/>
  <c r="AG18" i="10" s="1"/>
  <c r="AH18" i="10" s="1"/>
  <c r="AA18" i="14"/>
  <c r="Z18" i="14"/>
  <c r="Z22" i="14"/>
  <c r="Y22" i="14"/>
  <c r="AA17" i="14"/>
  <c r="Z10" i="14"/>
  <c r="AC19" i="10"/>
  <c r="AB19" i="10"/>
  <c r="AA19" i="10"/>
  <c r="AD19" i="10"/>
  <c r="AA9" i="10"/>
  <c r="AB9" i="10"/>
  <c r="AC9" i="10"/>
  <c r="AD9" i="10"/>
  <c r="AD12" i="10"/>
  <c r="AB12" i="10"/>
  <c r="AA12" i="10"/>
  <c r="AC12" i="10"/>
  <c r="AF16" i="10"/>
  <c r="AG16" i="10" s="1"/>
  <c r="AH16" i="10" s="1"/>
  <c r="AD22" i="10"/>
  <c r="AB22" i="10"/>
  <c r="AA22" i="10"/>
  <c r="AC22" i="10"/>
  <c r="Z9" i="14"/>
  <c r="AA9" i="14"/>
  <c r="AD15" i="10"/>
  <c r="AC15" i="10"/>
  <c r="AA15" i="10"/>
  <c r="AB15" i="10"/>
  <c r="AB13" i="10"/>
  <c r="AC13" i="10"/>
  <c r="AD13" i="10"/>
  <c r="AA13" i="10"/>
  <c r="AA13" i="14"/>
  <c r="Z13" i="14"/>
  <c r="AF10" i="10"/>
  <c r="AG10" i="10" s="1"/>
  <c r="AH10" i="10" s="1"/>
  <c r="W39" i="10"/>
  <c r="Z12" i="14"/>
  <c r="AA23" i="14"/>
  <c r="Z15" i="14"/>
  <c r="AB23" i="10"/>
  <c r="AC23" i="10"/>
  <c r="AD23" i="10"/>
  <c r="AA23" i="10"/>
  <c r="AB8" i="10"/>
  <c r="AD8" i="10"/>
  <c r="AA8" i="10"/>
  <c r="AC8" i="10"/>
  <c r="Y19" i="14"/>
  <c r="AB16" i="10"/>
  <c r="AC16" i="10"/>
  <c r="AD16" i="10"/>
  <c r="Y23" i="14"/>
  <c r="Y9" i="14"/>
  <c r="AF14" i="10"/>
  <c r="AG14" i="10" s="1"/>
  <c r="AH14" i="10" s="1"/>
  <c r="Z16" i="14"/>
  <c r="AA16" i="14"/>
  <c r="AC18" i="10"/>
  <c r="AD18" i="10"/>
  <c r="AA18" i="10"/>
  <c r="AB18" i="10"/>
  <c r="AA20" i="14"/>
  <c r="AE20" i="14" s="1"/>
  <c r="AA10" i="10"/>
  <c r="AB10" i="10"/>
  <c r="AC10" i="10"/>
  <c r="AD10" i="10"/>
  <c r="AC27" i="14"/>
  <c r="AF38" i="14"/>
  <c r="AB27" i="14"/>
  <c r="AC29" i="14"/>
  <c r="AD29" i="14"/>
  <c r="AF29" i="14"/>
  <c r="AF27" i="14"/>
  <c r="AE27" i="14"/>
  <c r="AB29" i="14"/>
  <c r="AC24" i="14"/>
  <c r="AB24" i="14"/>
  <c r="AD24" i="14"/>
  <c r="AE24" i="14"/>
  <c r="AF24" i="14"/>
  <c r="AE33" i="14"/>
  <c r="AF33" i="14"/>
  <c r="AB33" i="14"/>
  <c r="AC33" i="14"/>
  <c r="AD33" i="14"/>
  <c r="AC38" i="14"/>
  <c r="AD14" i="14"/>
  <c r="AB14" i="14"/>
  <c r="AC14" i="14"/>
  <c r="AD35" i="14"/>
  <c r="AB35" i="14"/>
  <c r="AC35" i="14"/>
  <c r="AF35" i="14"/>
  <c r="AE35" i="14"/>
  <c r="AD38" i="14"/>
  <c r="AE38" i="14"/>
  <c r="AB37" i="14"/>
  <c r="AC37" i="14"/>
  <c r="AD37" i="14"/>
  <c r="AE37" i="14"/>
  <c r="AF37" i="14"/>
  <c r="AC17" i="14"/>
  <c r="AC20" i="14"/>
  <c r="AF25" i="14"/>
  <c r="AE25" i="14"/>
  <c r="AC25" i="14"/>
  <c r="AB25" i="14"/>
  <c r="AD25" i="14"/>
  <c r="AD10" i="14"/>
  <c r="AB31" i="14"/>
  <c r="AE31" i="14"/>
  <c r="AF31" i="14"/>
  <c r="AC31" i="14"/>
  <c r="AD31" i="14"/>
  <c r="AF32" i="14"/>
  <c r="AC32" i="14"/>
  <c r="AE32" i="14"/>
  <c r="AB32" i="14"/>
  <c r="AD32" i="14"/>
  <c r="AD20" i="14" l="1"/>
  <c r="AF15" i="14"/>
  <c r="AD17" i="14"/>
  <c r="AB12" i="14"/>
  <c r="AB17" i="14"/>
  <c r="AB15" i="14"/>
  <c r="AC23" i="14"/>
  <c r="AE17" i="14"/>
  <c r="AE15" i="14"/>
  <c r="AC15" i="14"/>
  <c r="AB22" i="14"/>
  <c r="AB23" i="14"/>
  <c r="AE22" i="14"/>
  <c r="AH3" i="10"/>
  <c r="AE12" i="14"/>
  <c r="AE23" i="14"/>
  <c r="AF10" i="14"/>
  <c r="AF23" i="14"/>
  <c r="AD23" i="14"/>
  <c r="AH39" i="10"/>
  <c r="AI39" i="10" s="1"/>
  <c r="AD12" i="14"/>
  <c r="AB10" i="14"/>
  <c r="AF20" i="14"/>
  <c r="AB20" i="14"/>
  <c r="AD15" i="14"/>
  <c r="AE10" i="14"/>
  <c r="AF17" i="14"/>
  <c r="AF14" i="14"/>
  <c r="AD8" i="14"/>
  <c r="AE8" i="14"/>
  <c r="AB8" i="14"/>
  <c r="AF8" i="14"/>
  <c r="AC8" i="14"/>
  <c r="AF12" i="14"/>
  <c r="AC21" i="14"/>
  <c r="AD22" i="14"/>
  <c r="AD21" i="14"/>
  <c r="AD18" i="14"/>
  <c r="AB18" i="14"/>
  <c r="AE18" i="14"/>
  <c r="AF18" i="14"/>
  <c r="AC18" i="14"/>
  <c r="AC12" i="14"/>
  <c r="AC10" i="14"/>
  <c r="AC22" i="14"/>
  <c r="AE21" i="14"/>
  <c r="AE16" i="14"/>
  <c r="AB16" i="14"/>
  <c r="AC16" i="14"/>
  <c r="AF16" i="14"/>
  <c r="AD16" i="14"/>
  <c r="AC9" i="14"/>
  <c r="AE9" i="14"/>
  <c r="AD9" i="14"/>
  <c r="AB9" i="14"/>
  <c r="AF9" i="14"/>
  <c r="AF22" i="14"/>
  <c r="AF21" i="14"/>
  <c r="AD13" i="14"/>
  <c r="AF13" i="14"/>
  <c r="AB13" i="14"/>
  <c r="AE13" i="14"/>
  <c r="AC13" i="14"/>
  <c r="AF19" i="14"/>
  <c r="AE19" i="14"/>
  <c r="AC19" i="14"/>
  <c r="AD19" i="14"/>
  <c r="AB19" i="14"/>
  <c r="AA8" i="1"/>
  <c r="AB8" i="1"/>
  <c r="AC8" i="1"/>
  <c r="AA9" i="1"/>
  <c r="AB9" i="1" s="1"/>
  <c r="AC9" i="1" s="1"/>
  <c r="AA10" i="1"/>
  <c r="AB10" i="1"/>
  <c r="AC10" i="1" s="1"/>
  <c r="AA11" i="1"/>
  <c r="AB11" i="1"/>
  <c r="AC11" i="1"/>
  <c r="AA12" i="1"/>
  <c r="AB12" i="1" s="1"/>
  <c r="AC12" i="1" s="1"/>
  <c r="AA13" i="1"/>
  <c r="AB13" i="1" s="1"/>
  <c r="AC13" i="1" s="1"/>
  <c r="AA14" i="1"/>
  <c r="AB14" i="1"/>
  <c r="AC14" i="1" s="1"/>
  <c r="AA15" i="1"/>
  <c r="AB15" i="1" s="1"/>
  <c r="AC15" i="1" s="1"/>
  <c r="AA16" i="1"/>
  <c r="AB16" i="1"/>
  <c r="AC16" i="1"/>
  <c r="AA17" i="1"/>
  <c r="AB17" i="1" s="1"/>
  <c r="AC17" i="1" s="1"/>
  <c r="AA18" i="1"/>
  <c r="AB18" i="1"/>
  <c r="AC18" i="1" s="1"/>
  <c r="AA19" i="1"/>
  <c r="AB19" i="1"/>
  <c r="AC19" i="1"/>
  <c r="AA20" i="1"/>
  <c r="AB20" i="1" s="1"/>
  <c r="AC20" i="1" s="1"/>
  <c r="AA21" i="1"/>
  <c r="AB21" i="1" s="1"/>
  <c r="AC21" i="1" s="1"/>
  <c r="AA22" i="1"/>
  <c r="AB22" i="1"/>
  <c r="AC22" i="1" s="1"/>
  <c r="AA23" i="1"/>
  <c r="AB23" i="1" s="1"/>
  <c r="AC23" i="1" s="1"/>
  <c r="AA24" i="1"/>
  <c r="AB24" i="1"/>
  <c r="AC24" i="1"/>
  <c r="AA25" i="1"/>
  <c r="AB25" i="1" s="1"/>
  <c r="AC25" i="1" s="1"/>
  <c r="AA26" i="1"/>
  <c r="AB26" i="1"/>
  <c r="AC26" i="1" s="1"/>
  <c r="AA27" i="1"/>
  <c r="AB27" i="1"/>
  <c r="AC27" i="1"/>
  <c r="AA28" i="1"/>
  <c r="AB28" i="1" s="1"/>
  <c r="AC28" i="1" s="1"/>
  <c r="AA29" i="1"/>
  <c r="AB29" i="1" s="1"/>
  <c r="AC29" i="1" s="1"/>
  <c r="AA30" i="1"/>
  <c r="AB30" i="1"/>
  <c r="AC30" i="1" s="1"/>
  <c r="AA31" i="1"/>
  <c r="AB31" i="1" s="1"/>
  <c r="AC31" i="1" s="1"/>
  <c r="AA32" i="1"/>
  <c r="AB32" i="1"/>
  <c r="AC32" i="1"/>
  <c r="AA33" i="1"/>
  <c r="AB33" i="1" s="1"/>
  <c r="AC33" i="1" s="1"/>
  <c r="AA34" i="1"/>
  <c r="AB34" i="1"/>
  <c r="AC34" i="1" s="1"/>
  <c r="AA35" i="1"/>
  <c r="AB35" i="1"/>
  <c r="AC35" i="1"/>
  <c r="AA36" i="1"/>
  <c r="AB36" i="1" s="1"/>
  <c r="AC36" i="1" s="1"/>
  <c r="AA37" i="1"/>
  <c r="AB37" i="1" s="1"/>
  <c r="AC37" i="1" s="1"/>
  <c r="AA38" i="1"/>
  <c r="AB38" i="1"/>
  <c r="AC38" i="1" s="1"/>
  <c r="AA39" i="1"/>
  <c r="AB39" i="1" s="1"/>
  <c r="AC39" i="1" s="1"/>
  <c r="AA40" i="1"/>
  <c r="AB40" i="1"/>
  <c r="AC40" i="1"/>
  <c r="AA41" i="1"/>
  <c r="AB41" i="1" s="1"/>
  <c r="AC41" i="1" s="1"/>
  <c r="AA42" i="1"/>
  <c r="AB42" i="1"/>
  <c r="AC42" i="1" s="1"/>
  <c r="AA43" i="1"/>
  <c r="AB43" i="1"/>
  <c r="AC43" i="1"/>
  <c r="AA44" i="1"/>
  <c r="AB44" i="1" s="1"/>
  <c r="AC44" i="1" s="1"/>
  <c r="AA45" i="1"/>
  <c r="AB45" i="1" s="1"/>
  <c r="AC45" i="1" s="1"/>
  <c r="AA46" i="1"/>
  <c r="AB46" i="1"/>
  <c r="AC46" i="1" s="1"/>
  <c r="AA47" i="1"/>
  <c r="AB47" i="1" s="1"/>
  <c r="AC47" i="1" s="1"/>
  <c r="AC7" i="1"/>
  <c r="AB7" i="1"/>
  <c r="AA7" i="1"/>
  <c r="W8" i="1"/>
  <c r="X8" i="1"/>
  <c r="Y8" i="1"/>
  <c r="W9" i="1"/>
  <c r="X9" i="1"/>
  <c r="Y9" i="1"/>
  <c r="W10" i="1"/>
  <c r="X10" i="1"/>
  <c r="Y10" i="1"/>
  <c r="W11" i="1"/>
  <c r="X11" i="1"/>
  <c r="Y11" i="1"/>
  <c r="W12" i="1"/>
  <c r="X12" i="1"/>
  <c r="Y12" i="1"/>
  <c r="W13" i="1"/>
  <c r="X13" i="1"/>
  <c r="Y13" i="1"/>
  <c r="W14" i="1"/>
  <c r="X14" i="1"/>
  <c r="Y14" i="1"/>
  <c r="W15" i="1"/>
  <c r="X15" i="1"/>
  <c r="Y15" i="1"/>
  <c r="W16" i="1"/>
  <c r="X16" i="1"/>
  <c r="Y16" i="1"/>
  <c r="W17" i="1"/>
  <c r="X17" i="1"/>
  <c r="Y17" i="1"/>
  <c r="W18" i="1"/>
  <c r="X18" i="1"/>
  <c r="Y18" i="1"/>
  <c r="W19" i="1"/>
  <c r="X19" i="1"/>
  <c r="Y19" i="1"/>
  <c r="W20" i="1"/>
  <c r="X20" i="1"/>
  <c r="Y20" i="1"/>
  <c r="W21" i="1"/>
  <c r="X21" i="1"/>
  <c r="Y21" i="1"/>
  <c r="W22" i="1"/>
  <c r="X22" i="1"/>
  <c r="Y22" i="1"/>
  <c r="W23" i="1"/>
  <c r="X23" i="1"/>
  <c r="Y23" i="1"/>
  <c r="W24" i="1"/>
  <c r="X24" i="1"/>
  <c r="Y24" i="1"/>
  <c r="W25" i="1"/>
  <c r="X25" i="1"/>
  <c r="Y25" i="1"/>
  <c r="W26" i="1"/>
  <c r="X26" i="1"/>
  <c r="Y26" i="1"/>
  <c r="W27" i="1"/>
  <c r="X27" i="1"/>
  <c r="Y27" i="1"/>
  <c r="W28" i="1"/>
  <c r="X28" i="1"/>
  <c r="Y28" i="1"/>
  <c r="W29" i="1"/>
  <c r="X29" i="1"/>
  <c r="Y29" i="1"/>
  <c r="W30" i="1"/>
  <c r="X30" i="1"/>
  <c r="Y30" i="1"/>
  <c r="W31" i="1"/>
  <c r="X31" i="1"/>
  <c r="Y31" i="1"/>
  <c r="W32" i="1"/>
  <c r="X32" i="1"/>
  <c r="Y32" i="1"/>
  <c r="W33" i="1"/>
  <c r="X33" i="1"/>
  <c r="Y33" i="1"/>
  <c r="W34" i="1"/>
  <c r="X34" i="1"/>
  <c r="Y34" i="1"/>
  <c r="W35" i="1"/>
  <c r="X35" i="1"/>
  <c r="Y35" i="1"/>
  <c r="W36" i="1"/>
  <c r="X36" i="1"/>
  <c r="Y36" i="1"/>
  <c r="W37" i="1"/>
  <c r="X37" i="1"/>
  <c r="Y37" i="1"/>
  <c r="W38" i="1"/>
  <c r="X38" i="1"/>
  <c r="Y38" i="1"/>
  <c r="W39" i="1"/>
  <c r="X39" i="1"/>
  <c r="Y39" i="1"/>
  <c r="W40" i="1"/>
  <c r="X40" i="1"/>
  <c r="Y40" i="1"/>
  <c r="W41" i="1"/>
  <c r="X41" i="1"/>
  <c r="Y41" i="1"/>
  <c r="W42" i="1"/>
  <c r="X42" i="1"/>
  <c r="Y42" i="1"/>
  <c r="W43" i="1"/>
  <c r="X43" i="1"/>
  <c r="Y43" i="1"/>
  <c r="W44" i="1"/>
  <c r="X44" i="1"/>
  <c r="Y44" i="1"/>
  <c r="W45" i="1"/>
  <c r="X45" i="1"/>
  <c r="Y45" i="1"/>
  <c r="W46" i="1"/>
  <c r="X46" i="1"/>
  <c r="Y46" i="1"/>
  <c r="W47" i="1"/>
  <c r="X47" i="1"/>
  <c r="Y47" i="1"/>
  <c r="Y7" i="1"/>
  <c r="X7" i="1"/>
  <c r="W7" i="1"/>
  <c r="S8" i="1"/>
  <c r="T8" i="1"/>
  <c r="U8" i="1"/>
  <c r="V8" i="1"/>
  <c r="S9" i="1"/>
  <c r="T9" i="1"/>
  <c r="U9" i="1"/>
  <c r="V9" i="1"/>
  <c r="S10" i="1"/>
  <c r="T10" i="1"/>
  <c r="U10" i="1"/>
  <c r="V10" i="1"/>
  <c r="S11" i="1"/>
  <c r="T11" i="1"/>
  <c r="U11" i="1"/>
  <c r="V11" i="1"/>
  <c r="S12" i="1"/>
  <c r="T12" i="1"/>
  <c r="U12" i="1"/>
  <c r="V12" i="1"/>
  <c r="S13" i="1"/>
  <c r="T13" i="1"/>
  <c r="U13" i="1"/>
  <c r="V13" i="1"/>
  <c r="S14" i="1"/>
  <c r="T14" i="1"/>
  <c r="U14" i="1"/>
  <c r="V14" i="1"/>
  <c r="S15" i="1"/>
  <c r="T15" i="1"/>
  <c r="U15" i="1"/>
  <c r="V15" i="1"/>
  <c r="S16" i="1"/>
  <c r="T16" i="1"/>
  <c r="U16" i="1"/>
  <c r="V16" i="1"/>
  <c r="S17" i="1"/>
  <c r="T17" i="1"/>
  <c r="U17" i="1"/>
  <c r="V17" i="1"/>
  <c r="S18" i="1"/>
  <c r="T18" i="1"/>
  <c r="U18" i="1"/>
  <c r="V18" i="1"/>
  <c r="S19" i="1"/>
  <c r="T19" i="1"/>
  <c r="U19" i="1"/>
  <c r="V19" i="1"/>
  <c r="S20" i="1"/>
  <c r="T20" i="1"/>
  <c r="U20" i="1"/>
  <c r="V20" i="1"/>
  <c r="S21" i="1"/>
  <c r="T21" i="1"/>
  <c r="U21" i="1"/>
  <c r="V21" i="1"/>
  <c r="S22" i="1"/>
  <c r="T22" i="1"/>
  <c r="U22" i="1"/>
  <c r="V22" i="1"/>
  <c r="S23" i="1"/>
  <c r="T23" i="1"/>
  <c r="U23" i="1"/>
  <c r="V23" i="1"/>
  <c r="S24" i="1"/>
  <c r="T24" i="1"/>
  <c r="U24" i="1"/>
  <c r="V24" i="1"/>
  <c r="S25" i="1"/>
  <c r="T25" i="1"/>
  <c r="U25" i="1"/>
  <c r="V25" i="1"/>
  <c r="S26" i="1"/>
  <c r="T26" i="1"/>
  <c r="U26" i="1"/>
  <c r="V26" i="1"/>
  <c r="S27" i="1"/>
  <c r="T27" i="1"/>
  <c r="U27" i="1"/>
  <c r="V27" i="1"/>
  <c r="S28" i="1"/>
  <c r="T28" i="1"/>
  <c r="U28" i="1"/>
  <c r="V28" i="1"/>
  <c r="S29" i="1"/>
  <c r="T29" i="1"/>
  <c r="U29" i="1"/>
  <c r="V29" i="1"/>
  <c r="S30" i="1"/>
  <c r="T30" i="1"/>
  <c r="U30" i="1"/>
  <c r="V30" i="1"/>
  <c r="S31" i="1"/>
  <c r="T31" i="1"/>
  <c r="U31" i="1"/>
  <c r="V31" i="1"/>
  <c r="S32" i="1"/>
  <c r="T32" i="1"/>
  <c r="U32" i="1"/>
  <c r="V32" i="1"/>
  <c r="S33" i="1"/>
  <c r="T33" i="1"/>
  <c r="U33" i="1"/>
  <c r="V33" i="1"/>
  <c r="S34" i="1"/>
  <c r="T34" i="1"/>
  <c r="U34" i="1"/>
  <c r="V34" i="1"/>
  <c r="S35" i="1"/>
  <c r="T35" i="1"/>
  <c r="U35" i="1"/>
  <c r="V35" i="1"/>
  <c r="S36" i="1"/>
  <c r="T36" i="1"/>
  <c r="U36" i="1"/>
  <c r="V36" i="1"/>
  <c r="S37" i="1"/>
  <c r="T37" i="1"/>
  <c r="U37" i="1"/>
  <c r="V37" i="1"/>
  <c r="S38" i="1"/>
  <c r="T38" i="1"/>
  <c r="U38" i="1"/>
  <c r="V38" i="1"/>
  <c r="S39" i="1"/>
  <c r="T39" i="1"/>
  <c r="U39" i="1"/>
  <c r="V39" i="1"/>
  <c r="S40" i="1"/>
  <c r="T40" i="1"/>
  <c r="U40" i="1"/>
  <c r="V40" i="1"/>
  <c r="S41" i="1"/>
  <c r="T41" i="1"/>
  <c r="U41" i="1"/>
  <c r="V41" i="1"/>
  <c r="S42" i="1"/>
  <c r="T42" i="1"/>
  <c r="U42" i="1"/>
  <c r="V42" i="1"/>
  <c r="S43" i="1"/>
  <c r="T43" i="1"/>
  <c r="U43" i="1"/>
  <c r="V43" i="1"/>
  <c r="S44" i="1"/>
  <c r="T44" i="1"/>
  <c r="U44" i="1"/>
  <c r="V44" i="1"/>
  <c r="S45" i="1"/>
  <c r="T45" i="1"/>
  <c r="U45" i="1"/>
  <c r="V45" i="1"/>
  <c r="S46" i="1"/>
  <c r="T46" i="1"/>
  <c r="U46" i="1"/>
  <c r="V46" i="1"/>
  <c r="S47" i="1"/>
  <c r="T47" i="1"/>
  <c r="U47" i="1"/>
  <c r="V47" i="1"/>
  <c r="V7" i="1"/>
  <c r="U7" i="1"/>
  <c r="T7" i="1"/>
  <c r="S7" i="1"/>
  <c r="K7" i="1"/>
  <c r="H7" i="1"/>
  <c r="AH42" i="10" l="1"/>
  <c r="AS45" i="1" a="1"/>
  <c r="AS45" i="1" s="1"/>
  <c r="R48" i="1" l="1"/>
  <c r="P9" i="1"/>
  <c r="Q9" i="1" s="1"/>
  <c r="P10" i="1"/>
  <c r="Q10" i="1" s="1"/>
  <c r="P11" i="1"/>
  <c r="Q11" i="1" s="1"/>
  <c r="P12" i="1"/>
  <c r="Q12" i="1" s="1"/>
  <c r="P13" i="1"/>
  <c r="Q13" i="1" s="1"/>
  <c r="P14" i="1"/>
  <c r="Q14" i="1" s="1"/>
  <c r="P15" i="1"/>
  <c r="Q15" i="1" s="1"/>
  <c r="P16" i="1"/>
  <c r="Q16" i="1" s="1"/>
  <c r="P17" i="1"/>
  <c r="Q17" i="1" s="1"/>
  <c r="P18" i="1"/>
  <c r="Q18" i="1" s="1"/>
  <c r="P19" i="1"/>
  <c r="Q19" i="1" s="1"/>
  <c r="P20" i="1"/>
  <c r="Q20" i="1" s="1"/>
  <c r="P21" i="1"/>
  <c r="Q21" i="1" s="1"/>
  <c r="P22" i="1"/>
  <c r="Q22" i="1" s="1"/>
  <c r="P23" i="1"/>
  <c r="Q23" i="1" s="1"/>
  <c r="P24" i="1"/>
  <c r="Q24" i="1" s="1"/>
  <c r="P25" i="1"/>
  <c r="Q25" i="1" s="1"/>
  <c r="P26" i="1"/>
  <c r="Q26" i="1" s="1"/>
  <c r="P27" i="1"/>
  <c r="Q27" i="1" s="1"/>
  <c r="P28" i="1"/>
  <c r="Q28" i="1" s="1"/>
  <c r="P29" i="1"/>
  <c r="Q29" i="1" s="1"/>
  <c r="P30" i="1"/>
  <c r="Q30" i="1" s="1"/>
  <c r="P31" i="1"/>
  <c r="Q31" i="1" s="1"/>
  <c r="P32" i="1"/>
  <c r="Q32" i="1" s="1"/>
  <c r="P33" i="1"/>
  <c r="Q33" i="1" s="1"/>
  <c r="P34" i="1"/>
  <c r="Q34" i="1" s="1"/>
  <c r="P35" i="1"/>
  <c r="Q35" i="1" s="1"/>
  <c r="P36" i="1"/>
  <c r="Q36" i="1" s="1"/>
  <c r="P37" i="1"/>
  <c r="Q37" i="1" s="1"/>
  <c r="P38" i="1"/>
  <c r="Q38" i="1" s="1"/>
  <c r="P39" i="1"/>
  <c r="Q39" i="1" s="1"/>
  <c r="P40" i="1"/>
  <c r="Q40" i="1" s="1"/>
  <c r="P41" i="1"/>
  <c r="Q41" i="1" s="1"/>
  <c r="P42" i="1"/>
  <c r="Q42" i="1" s="1"/>
  <c r="P43" i="1"/>
  <c r="Q43" i="1" s="1"/>
  <c r="P44" i="1"/>
  <c r="Q44" i="1" s="1"/>
  <c r="P45" i="1"/>
  <c r="Q45" i="1" s="1"/>
  <c r="P46" i="1"/>
  <c r="Q46" i="1" s="1"/>
  <c r="P47" i="1"/>
  <c r="Q47" i="1" s="1"/>
  <c r="P8" i="1"/>
  <c r="Q8" i="1" s="1"/>
  <c r="P7" i="1"/>
  <c r="Q7" i="1" s="1"/>
  <c r="M10" i="1"/>
  <c r="N10" i="1" s="1"/>
  <c r="M11" i="1"/>
  <c r="N11" i="1" s="1"/>
  <c r="M12" i="1"/>
  <c r="N12" i="1" s="1"/>
  <c r="M13" i="1"/>
  <c r="N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N36" i="1" s="1"/>
  <c r="M37" i="1"/>
  <c r="N37" i="1" s="1"/>
  <c r="M38" i="1"/>
  <c r="N38" i="1" s="1"/>
  <c r="M39" i="1"/>
  <c r="N39" i="1" s="1"/>
  <c r="M40" i="1"/>
  <c r="N40" i="1" s="1"/>
  <c r="M41" i="1"/>
  <c r="N41" i="1" s="1"/>
  <c r="M42" i="1"/>
  <c r="N42" i="1" s="1"/>
  <c r="M43" i="1"/>
  <c r="N43" i="1" s="1"/>
  <c r="M44" i="1"/>
  <c r="N44" i="1" s="1"/>
  <c r="M45" i="1"/>
  <c r="N45" i="1" s="1"/>
  <c r="M46" i="1"/>
  <c r="N46" i="1" s="1"/>
  <c r="M47" i="1"/>
  <c r="N47" i="1" s="1"/>
  <c r="M8" i="1"/>
  <c r="N8" i="1" s="1"/>
  <c r="M9" i="1"/>
  <c r="N9" i="1" s="1"/>
  <c r="M7" i="1"/>
  <c r="N7" i="1" s="1"/>
  <c r="J9" i="1"/>
  <c r="K9" i="1" s="1"/>
  <c r="J10" i="1"/>
  <c r="K10" i="1" s="1"/>
  <c r="J11" i="1"/>
  <c r="K11" i="1" s="1"/>
  <c r="J12" i="1"/>
  <c r="K12" i="1" s="1"/>
  <c r="J13" i="1"/>
  <c r="K13" i="1" s="1"/>
  <c r="J14" i="1"/>
  <c r="K14" i="1" s="1"/>
  <c r="J15" i="1"/>
  <c r="K15" i="1" s="1"/>
  <c r="J16" i="1"/>
  <c r="K16" i="1" s="1"/>
  <c r="J17" i="1"/>
  <c r="K17" i="1" s="1"/>
  <c r="J18" i="1"/>
  <c r="K18" i="1" s="1"/>
  <c r="J19" i="1"/>
  <c r="K19" i="1" s="1"/>
  <c r="J20" i="1"/>
  <c r="K20" i="1" s="1"/>
  <c r="J21" i="1"/>
  <c r="K21" i="1" s="1"/>
  <c r="J22" i="1"/>
  <c r="K22" i="1" s="1"/>
  <c r="J23" i="1"/>
  <c r="K23" i="1" s="1"/>
  <c r="J24" i="1"/>
  <c r="K24" i="1" s="1"/>
  <c r="J25" i="1"/>
  <c r="K25" i="1" s="1"/>
  <c r="J26" i="1"/>
  <c r="K26" i="1" s="1"/>
  <c r="J27" i="1"/>
  <c r="K27" i="1" s="1"/>
  <c r="J28" i="1"/>
  <c r="K28" i="1" s="1"/>
  <c r="J29" i="1"/>
  <c r="K29" i="1" s="1"/>
  <c r="J30" i="1"/>
  <c r="K30" i="1" s="1"/>
  <c r="J31" i="1"/>
  <c r="K31" i="1" s="1"/>
  <c r="J32" i="1"/>
  <c r="K32" i="1" s="1"/>
  <c r="J33" i="1"/>
  <c r="K33" i="1" s="1"/>
  <c r="J34" i="1"/>
  <c r="K34" i="1" s="1"/>
  <c r="J35" i="1"/>
  <c r="K35" i="1" s="1"/>
  <c r="J36" i="1"/>
  <c r="K36" i="1" s="1"/>
  <c r="J37" i="1"/>
  <c r="K37" i="1" s="1"/>
  <c r="J38" i="1"/>
  <c r="K38" i="1" s="1"/>
  <c r="J39" i="1"/>
  <c r="K39" i="1" s="1"/>
  <c r="J40" i="1"/>
  <c r="K40" i="1" s="1"/>
  <c r="J41" i="1"/>
  <c r="K41" i="1" s="1"/>
  <c r="J42" i="1"/>
  <c r="K42" i="1" s="1"/>
  <c r="J43" i="1"/>
  <c r="K43" i="1" s="1"/>
  <c r="J44" i="1"/>
  <c r="K44" i="1" s="1"/>
  <c r="J45" i="1"/>
  <c r="K45" i="1" s="1"/>
  <c r="J46" i="1"/>
  <c r="K46" i="1" s="1"/>
  <c r="J47" i="1"/>
  <c r="K47" i="1" s="1"/>
  <c r="J8" i="1"/>
  <c r="K8" i="1" s="1"/>
  <c r="J7" i="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8" i="1"/>
  <c r="H8" i="1" s="1"/>
  <c r="G7" i="1"/>
  <c r="F48" i="1"/>
  <c r="K48" i="1" l="1"/>
  <c r="Q48" i="1"/>
  <c r="N48" i="1"/>
  <c r="H48" i="1"/>
  <c r="T48" i="1"/>
  <c r="S48" i="1"/>
  <c r="U48" i="1"/>
  <c r="V48" i="1"/>
  <c r="AG7" i="1"/>
  <c r="AF7" i="1"/>
  <c r="AC48" i="1" l="1"/>
  <c r="AH7" i="1"/>
  <c r="AJ7" i="1"/>
  <c r="AI7" i="1"/>
  <c r="AT48" i="1" l="1"/>
  <c r="AG32" i="1" l="1"/>
  <c r="AF44" i="1"/>
  <c r="AF40" i="1"/>
  <c r="AG45" i="1"/>
  <c r="AF41" i="1"/>
  <c r="AF28" i="1"/>
  <c r="AG20" i="1"/>
  <c r="AF12" i="1"/>
  <c r="AG36" i="1"/>
  <c r="AG31" i="1"/>
  <c r="AG27" i="1"/>
  <c r="AG19" i="1"/>
  <c r="AF17" i="1"/>
  <c r="AG25" i="1"/>
  <c r="AF25" i="1"/>
  <c r="AF9" i="1"/>
  <c r="AG37" i="1"/>
  <c r="AF36" i="1"/>
  <c r="AF21" i="1"/>
  <c r="AG40" i="1"/>
  <c r="AF20" i="1"/>
  <c r="AF13" i="1"/>
  <c r="AF34" i="1"/>
  <c r="AF45" i="1"/>
  <c r="AG44" i="1"/>
  <c r="AF38" i="1"/>
  <c r="AF32" i="1"/>
  <c r="AF37" i="1"/>
  <c r="AF24" i="1"/>
  <c r="AG17" i="1"/>
  <c r="AF16" i="1"/>
  <c r="AF23" i="1"/>
  <c r="AG16" i="1"/>
  <c r="AF8" i="1"/>
  <c r="AG29" i="1"/>
  <c r="AF29" i="1"/>
  <c r="AG15" i="1"/>
  <c r="AG9" i="1"/>
  <c r="AG35" i="1"/>
  <c r="AG24" i="1"/>
  <c r="AF11" i="1"/>
  <c r="AG13" i="1"/>
  <c r="AF39" i="1"/>
  <c r="AG33" i="1"/>
  <c r="AG28" i="1"/>
  <c r="AF18" i="1"/>
  <c r="AG8" i="1"/>
  <c r="AG43" i="1"/>
  <c r="AF22" i="1"/>
  <c r="AG12" i="1"/>
  <c r="AG21" i="1"/>
  <c r="AG47" i="1"/>
  <c r="AG41" i="1"/>
  <c r="AF26" i="1"/>
  <c r="AF33" i="1"/>
  <c r="AG39" i="1"/>
  <c r="AG23" i="1"/>
  <c r="AG11" i="1"/>
  <c r="AF47" i="1"/>
  <c r="AG46" i="1"/>
  <c r="AF43" i="1"/>
  <c r="AG42" i="1"/>
  <c r="AG38" i="1"/>
  <c r="AF35" i="1"/>
  <c r="AG34" i="1"/>
  <c r="AF31" i="1"/>
  <c r="AG30" i="1"/>
  <c r="AF27" i="1"/>
  <c r="AG26" i="1"/>
  <c r="AG22" i="1"/>
  <c r="AF19" i="1"/>
  <c r="AG18" i="1"/>
  <c r="AF15" i="1"/>
  <c r="AG14" i="1"/>
  <c r="AG10" i="1"/>
  <c r="AF46" i="1"/>
  <c r="AF42" i="1"/>
  <c r="AF30" i="1"/>
  <c r="AF14" i="1"/>
  <c r="AF10" i="1"/>
  <c r="AK40" i="1" l="1"/>
  <c r="AI14" i="1"/>
  <c r="AH14" i="1"/>
  <c r="AI19" i="1"/>
  <c r="AH19" i="1"/>
  <c r="AI47" i="1"/>
  <c r="AH47" i="1"/>
  <c r="AI33" i="1"/>
  <c r="AH33" i="1"/>
  <c r="AI39" i="1"/>
  <c r="AH39" i="1"/>
  <c r="AH29" i="1"/>
  <c r="AI29" i="1"/>
  <c r="AI23" i="1"/>
  <c r="AH23" i="1"/>
  <c r="AI37" i="1"/>
  <c r="AH37" i="1"/>
  <c r="AI45" i="1"/>
  <c r="AH45" i="1"/>
  <c r="AI9" i="1"/>
  <c r="AH9" i="1"/>
  <c r="AI12" i="1"/>
  <c r="AH12" i="1"/>
  <c r="AI30" i="1"/>
  <c r="AH30" i="1"/>
  <c r="AI31" i="1"/>
  <c r="AH31" i="1"/>
  <c r="AI26" i="1"/>
  <c r="AH26" i="1"/>
  <c r="AI18" i="1"/>
  <c r="AH18" i="1"/>
  <c r="AI16" i="1"/>
  <c r="AH16" i="1"/>
  <c r="AI32" i="1"/>
  <c r="AH32" i="1"/>
  <c r="AI34" i="1"/>
  <c r="AH34" i="1"/>
  <c r="AI21" i="1"/>
  <c r="AH21" i="1"/>
  <c r="AI25" i="1"/>
  <c r="AH25" i="1"/>
  <c r="AI40" i="1"/>
  <c r="AH40" i="1"/>
  <c r="AI42" i="1"/>
  <c r="AH42" i="1"/>
  <c r="AI15" i="1"/>
  <c r="AH15" i="1"/>
  <c r="AI43" i="1"/>
  <c r="AH43" i="1"/>
  <c r="AI11" i="1"/>
  <c r="AH11" i="1"/>
  <c r="AI8" i="1"/>
  <c r="AH8" i="1"/>
  <c r="AI38" i="1"/>
  <c r="AH38" i="1"/>
  <c r="AI13" i="1"/>
  <c r="AH13" i="1"/>
  <c r="AI36" i="1"/>
  <c r="AH36" i="1"/>
  <c r="AI28" i="1"/>
  <c r="AH28" i="1"/>
  <c r="AI44" i="1"/>
  <c r="AH44" i="1"/>
  <c r="AI10" i="1"/>
  <c r="AH10" i="1"/>
  <c r="AI46" i="1"/>
  <c r="AH46" i="1"/>
  <c r="AI27" i="1"/>
  <c r="AH27" i="1"/>
  <c r="AI35" i="1"/>
  <c r="AH35" i="1"/>
  <c r="AI22" i="1"/>
  <c r="AH22" i="1"/>
  <c r="AI24" i="1"/>
  <c r="AH24" i="1"/>
  <c r="AI20" i="1"/>
  <c r="AH20" i="1"/>
  <c r="AI17" i="1"/>
  <c r="AH17" i="1"/>
  <c r="AI41" i="1"/>
  <c r="AH41" i="1"/>
  <c r="AK32" i="1"/>
  <c r="AJ12" i="1"/>
  <c r="AK28" i="1"/>
  <c r="AK20" i="1"/>
  <c r="AJ41" i="1"/>
  <c r="AK44" i="1"/>
  <c r="AJ20" i="1"/>
  <c r="AJ44" i="1"/>
  <c r="AK24" i="1"/>
  <c r="AJ36" i="1"/>
  <c r="AJ40" i="1"/>
  <c r="AK37" i="1"/>
  <c r="AJ17" i="1"/>
  <c r="AK36" i="1"/>
  <c r="AJ25" i="1"/>
  <c r="AK17" i="1"/>
  <c r="AK8" i="1"/>
  <c r="AK25" i="1"/>
  <c r="AJ32" i="1"/>
  <c r="AK16" i="1"/>
  <c r="AJ24" i="1"/>
  <c r="AK45" i="1"/>
  <c r="AJ45" i="1"/>
  <c r="AJ37" i="1"/>
  <c r="AK23" i="1"/>
  <c r="AJ21" i="1"/>
  <c r="AJ16" i="1"/>
  <c r="AJ28" i="1"/>
  <c r="AJ31" i="1"/>
  <c r="AK31" i="1"/>
  <c r="AJ22" i="1"/>
  <c r="AK22" i="1"/>
  <c r="AK12" i="1"/>
  <c r="AK9" i="1"/>
  <c r="AJ10" i="1"/>
  <c r="AK10" i="1"/>
  <c r="AJ35" i="1"/>
  <c r="AK35" i="1"/>
  <c r="AJ9" i="1"/>
  <c r="AK13" i="1"/>
  <c r="AJ14" i="1"/>
  <c r="AK14" i="1"/>
  <c r="AJ23" i="1"/>
  <c r="AJ29" i="1"/>
  <c r="AK29" i="1"/>
  <c r="AJ13" i="1"/>
  <c r="AJ26" i="1"/>
  <c r="AK26" i="1"/>
  <c r="AJ30" i="1"/>
  <c r="AK30" i="1"/>
  <c r="AJ34" i="1"/>
  <c r="AJ42" i="1"/>
  <c r="AK42" i="1"/>
  <c r="AJ43" i="1"/>
  <c r="AK43" i="1"/>
  <c r="AJ38" i="1"/>
  <c r="AK46" i="1"/>
  <c r="AJ46" i="1"/>
  <c r="AJ27" i="1"/>
  <c r="AK27" i="1"/>
  <c r="AJ47" i="1"/>
  <c r="AK47" i="1"/>
  <c r="AJ18" i="1"/>
  <c r="AK18" i="1"/>
  <c r="AJ11" i="1"/>
  <c r="AK11" i="1"/>
  <c r="AJ15" i="1"/>
  <c r="AK15" i="1"/>
  <c r="AK34" i="1"/>
  <c r="AK38" i="1"/>
  <c r="AJ19" i="1"/>
  <c r="AK19" i="1"/>
  <c r="AJ8" i="1"/>
  <c r="AJ39" i="1"/>
  <c r="AK39" i="1"/>
  <c r="AK41" i="1"/>
  <c r="AK21" i="1"/>
  <c r="AJ33" i="1"/>
  <c r="AK33" i="1"/>
  <c r="AO47" i="1" l="1"/>
  <c r="AO25" i="1"/>
  <c r="AM17" i="1"/>
  <c r="AN17" i="1"/>
  <c r="AM24" i="1"/>
  <c r="AN24" i="1"/>
  <c r="AM35" i="1"/>
  <c r="AN35" i="1"/>
  <c r="AM46" i="1"/>
  <c r="AN46" i="1"/>
  <c r="AM44" i="1"/>
  <c r="AN44" i="1"/>
  <c r="AM36" i="1"/>
  <c r="AN36" i="1"/>
  <c r="AM38" i="1"/>
  <c r="AN38" i="1"/>
  <c r="AM11" i="1"/>
  <c r="AN11" i="1"/>
  <c r="AM15" i="1"/>
  <c r="AN15" i="1"/>
  <c r="AM40" i="1"/>
  <c r="AN40" i="1"/>
  <c r="AM21" i="1"/>
  <c r="AN21" i="1"/>
  <c r="AM32" i="1"/>
  <c r="AN32" i="1"/>
  <c r="AM18" i="1"/>
  <c r="AN18" i="1"/>
  <c r="AM31" i="1"/>
  <c r="AN31" i="1"/>
  <c r="AM12" i="1"/>
  <c r="AN12" i="1"/>
  <c r="AM45" i="1"/>
  <c r="AN45" i="1"/>
  <c r="AM23" i="1"/>
  <c r="AN23" i="1"/>
  <c r="AM39" i="1"/>
  <c r="AN39" i="1"/>
  <c r="AM47" i="1"/>
  <c r="AN47" i="1"/>
  <c r="AM14" i="1"/>
  <c r="AN14" i="1"/>
  <c r="AM41" i="1"/>
  <c r="AN41" i="1"/>
  <c r="AM20" i="1"/>
  <c r="AN20" i="1"/>
  <c r="AM22" i="1"/>
  <c r="AN22" i="1"/>
  <c r="AM27" i="1"/>
  <c r="AN27" i="1"/>
  <c r="AM10" i="1"/>
  <c r="AN10" i="1"/>
  <c r="AM28" i="1"/>
  <c r="AN28" i="1"/>
  <c r="AM13" i="1"/>
  <c r="AN13" i="1"/>
  <c r="AM8" i="1"/>
  <c r="AN8" i="1"/>
  <c r="AM43" i="1"/>
  <c r="AN43" i="1"/>
  <c r="AM42" i="1"/>
  <c r="AN42" i="1"/>
  <c r="AM25" i="1"/>
  <c r="AN25" i="1"/>
  <c r="AM34" i="1"/>
  <c r="AN34" i="1"/>
  <c r="AM16" i="1"/>
  <c r="AN16" i="1"/>
  <c r="AM26" i="1"/>
  <c r="AN26" i="1"/>
  <c r="AM30" i="1"/>
  <c r="AN30" i="1"/>
  <c r="AM9" i="1"/>
  <c r="AN9" i="1"/>
  <c r="AM37" i="1"/>
  <c r="AN37" i="1"/>
  <c r="AM33" i="1"/>
  <c r="AN33" i="1"/>
  <c r="AM19" i="1"/>
  <c r="AN19" i="1"/>
  <c r="AM29" i="1"/>
  <c r="AN29" i="1"/>
  <c r="AL20" i="1"/>
  <c r="AO28" i="1"/>
  <c r="AO20" i="1"/>
  <c r="AO45" i="1"/>
  <c r="AL24" i="1"/>
  <c r="AO32" i="1"/>
  <c r="AO12" i="1"/>
  <c r="AL17" i="1"/>
  <c r="AO24" i="1"/>
  <c r="AO16" i="1"/>
  <c r="AL45" i="1"/>
  <c r="AL15" i="1"/>
  <c r="AL28" i="1"/>
  <c r="AL31" i="1"/>
  <c r="AL14" i="1"/>
  <c r="AL23" i="1"/>
  <c r="AL34" i="1"/>
  <c r="AL12" i="1"/>
  <c r="AO15" i="1"/>
  <c r="AL19" i="1"/>
  <c r="AL9" i="1"/>
  <c r="AO19" i="1"/>
  <c r="AL32" i="1"/>
  <c r="AO10" i="1"/>
  <c r="AL8" i="1"/>
  <c r="AL16" i="1"/>
  <c r="AO9" i="1"/>
  <c r="AL13" i="1"/>
  <c r="AO31" i="1"/>
  <c r="AO34" i="1"/>
  <c r="AO33" i="1"/>
  <c r="AL26" i="1"/>
  <c r="AO17" i="1"/>
  <c r="AO29" i="1"/>
  <c r="AL30" i="1"/>
  <c r="AL25" i="1"/>
  <c r="AL18" i="1"/>
  <c r="AL11" i="1"/>
  <c r="AO26" i="1"/>
  <c r="AO11" i="1"/>
  <c r="AO18" i="1"/>
  <c r="AL27" i="1"/>
  <c r="AO30" i="1"/>
  <c r="AL29" i="1"/>
  <c r="AO27" i="1"/>
  <c r="AO13" i="1"/>
  <c r="AO23" i="1"/>
  <c r="AL10" i="1"/>
  <c r="AO8" i="1"/>
  <c r="AO14" i="1"/>
  <c r="AL22" i="1"/>
  <c r="AL33" i="1"/>
  <c r="AL46" i="1"/>
  <c r="AO22" i="1"/>
  <c r="AO44" i="1"/>
  <c r="AL44" i="1"/>
  <c r="AL42" i="1"/>
  <c r="AO42" i="1"/>
  <c r="AL41" i="1"/>
  <c r="AO41" i="1"/>
  <c r="AL39" i="1"/>
  <c r="AO39" i="1"/>
  <c r="AL35" i="1"/>
  <c r="AO35" i="1"/>
  <c r="AO43" i="1"/>
  <c r="AL43" i="1"/>
  <c r="AO46" i="1"/>
  <c r="AL40" i="1"/>
  <c r="AO40" i="1"/>
  <c r="AL36" i="1"/>
  <c r="AO36" i="1"/>
  <c r="AL21" i="1"/>
  <c r="AO21" i="1"/>
  <c r="AL47" i="1"/>
  <c r="AL38" i="1"/>
  <c r="AO38" i="1"/>
  <c r="AL37" i="1"/>
  <c r="AO37" i="1"/>
  <c r="C48" i="1"/>
  <c r="AQ47" i="1" l="1"/>
  <c r="AQ37" i="1"/>
  <c r="AP37" i="1"/>
  <c r="AR37" i="1" s="1"/>
  <c r="AP21" i="1"/>
  <c r="AR21" i="1" s="1"/>
  <c r="AQ21" i="1"/>
  <c r="AP35" i="1"/>
  <c r="AR35" i="1" s="1"/>
  <c r="AQ35" i="1"/>
  <c r="AQ42" i="1"/>
  <c r="AP42" i="1"/>
  <c r="AR42" i="1" s="1"/>
  <c r="AP23" i="1"/>
  <c r="AR23" i="1" s="1"/>
  <c r="AQ23" i="1"/>
  <c r="AP18" i="1"/>
  <c r="AR18" i="1" s="1"/>
  <c r="AQ18" i="1"/>
  <c r="AQ17" i="1"/>
  <c r="AP17" i="1"/>
  <c r="AR17" i="1" s="1"/>
  <c r="AP44" i="1"/>
  <c r="AR44" i="1" s="1"/>
  <c r="AQ44" i="1"/>
  <c r="AP30" i="1"/>
  <c r="AR30" i="1" s="1"/>
  <c r="AQ30" i="1"/>
  <c r="AQ11" i="1"/>
  <c r="AP11" i="1"/>
  <c r="AR11" i="1" s="1"/>
  <c r="AP15" i="1"/>
  <c r="AR15" i="1" s="1"/>
  <c r="AQ15" i="1"/>
  <c r="AP32" i="1"/>
  <c r="AR32" i="1" s="1"/>
  <c r="AQ32" i="1"/>
  <c r="AQ45" i="1"/>
  <c r="AP45" i="1"/>
  <c r="AR45" i="1" s="1"/>
  <c r="AP28" i="1"/>
  <c r="AR28" i="1" s="1"/>
  <c r="AQ28" i="1"/>
  <c r="AP25" i="1"/>
  <c r="AR25" i="1" s="1"/>
  <c r="AQ25" i="1"/>
  <c r="AQ9" i="1"/>
  <c r="AP9" i="1"/>
  <c r="AR9" i="1" s="1"/>
  <c r="AQ13" i="1"/>
  <c r="AP13" i="1"/>
  <c r="AR13" i="1" s="1"/>
  <c r="AP24" i="1"/>
  <c r="AR24" i="1" s="1"/>
  <c r="AQ24" i="1"/>
  <c r="AP12" i="1"/>
  <c r="AR12" i="1" s="1"/>
  <c r="AQ12" i="1"/>
  <c r="AP20" i="1"/>
  <c r="AR20" i="1" s="1"/>
  <c r="AQ20" i="1"/>
  <c r="AP47" i="1"/>
  <c r="AR47" i="1" s="1"/>
  <c r="AP36" i="1"/>
  <c r="AR36" i="1" s="1"/>
  <c r="AQ36" i="1"/>
  <c r="AP43" i="1"/>
  <c r="AR43" i="1" s="1"/>
  <c r="AQ43" i="1"/>
  <c r="AP41" i="1"/>
  <c r="AR41" i="1" s="1"/>
  <c r="AQ41" i="1"/>
  <c r="AQ29" i="1"/>
  <c r="AP29" i="1"/>
  <c r="AR29" i="1" s="1"/>
  <c r="AP16" i="1"/>
  <c r="AR16" i="1" s="1"/>
  <c r="AQ16" i="1"/>
  <c r="AP40" i="1"/>
  <c r="AR40" i="1" s="1"/>
  <c r="AQ40" i="1"/>
  <c r="AP46" i="1"/>
  <c r="AR46" i="1" s="1"/>
  <c r="AQ46" i="1"/>
  <c r="AQ39" i="1"/>
  <c r="AP39" i="1"/>
  <c r="AR39" i="1" s="1"/>
  <c r="AQ22" i="1"/>
  <c r="AP22" i="1"/>
  <c r="AR22" i="1" s="1"/>
  <c r="AQ14" i="1"/>
  <c r="AP14" i="1"/>
  <c r="AR14" i="1" s="1"/>
  <c r="AP38" i="1"/>
  <c r="AR38" i="1" s="1"/>
  <c r="AQ38" i="1"/>
  <c r="AP8" i="1"/>
  <c r="AR8" i="1" s="1"/>
  <c r="AQ8" i="1"/>
  <c r="AP27" i="1"/>
  <c r="AR27" i="1" s="1"/>
  <c r="AQ27" i="1"/>
  <c r="AQ26" i="1"/>
  <c r="AP26" i="1"/>
  <c r="AR26" i="1" s="1"/>
  <c r="AP33" i="1"/>
  <c r="AR33" i="1" s="1"/>
  <c r="AQ33" i="1"/>
  <c r="AQ34" i="1"/>
  <c r="AP34" i="1"/>
  <c r="AR34" i="1" s="1"/>
  <c r="AQ31" i="1"/>
  <c r="AP31" i="1"/>
  <c r="AR31" i="1" s="1"/>
  <c r="AQ10" i="1"/>
  <c r="AP10" i="1"/>
  <c r="AR10" i="1" s="1"/>
  <c r="AQ19" i="1"/>
  <c r="AP19" i="1"/>
  <c r="AR19" i="1" s="1"/>
  <c r="O8" i="7" l="1"/>
  <c r="O9" i="7"/>
  <c r="O31" i="7" s="1"/>
  <c r="O10" i="7"/>
  <c r="O11" i="7"/>
  <c r="O12" i="7"/>
  <c r="O13" i="7"/>
  <c r="O14" i="7"/>
  <c r="O15" i="7"/>
  <c r="O16" i="7"/>
  <c r="O17" i="7"/>
  <c r="O18" i="7"/>
  <c r="O19" i="7"/>
  <c r="O20" i="7"/>
  <c r="O21" i="7"/>
  <c r="O22" i="7"/>
  <c r="O23" i="7"/>
  <c r="O24" i="7"/>
  <c r="O25" i="7"/>
  <c r="O26" i="7"/>
  <c r="O27" i="7"/>
  <c r="O28" i="7"/>
  <c r="O29" i="7"/>
  <c r="O30" i="7"/>
  <c r="O7" i="7"/>
  <c r="L8" i="7"/>
  <c r="L9" i="7"/>
  <c r="L10" i="7"/>
  <c r="L31" i="7" s="1"/>
  <c r="L11" i="7"/>
  <c r="L12" i="7"/>
  <c r="L13" i="7"/>
  <c r="L14" i="7"/>
  <c r="L15" i="7"/>
  <c r="L16" i="7"/>
  <c r="L17" i="7"/>
  <c r="L18" i="7"/>
  <c r="L19" i="7"/>
  <c r="L20" i="7"/>
  <c r="L21" i="7"/>
  <c r="L22" i="7"/>
  <c r="L23" i="7"/>
  <c r="L24" i="7"/>
  <c r="L25" i="7"/>
  <c r="L26" i="7"/>
  <c r="L27" i="7"/>
  <c r="L28" i="7"/>
  <c r="L29" i="7"/>
  <c r="L30" i="7"/>
  <c r="N16" i="7"/>
  <c r="N10" i="7"/>
  <c r="N31" i="7"/>
  <c r="N8" i="7"/>
  <c r="N9" i="7"/>
  <c r="N11" i="7"/>
  <c r="N12" i="7"/>
  <c r="N13" i="7"/>
  <c r="N14" i="7"/>
  <c r="N15" i="7"/>
  <c r="N17" i="7"/>
  <c r="N18" i="7"/>
  <c r="N19" i="7"/>
  <c r="N20" i="7"/>
  <c r="N21" i="7"/>
  <c r="N22" i="7"/>
  <c r="N23" i="7"/>
  <c r="N24" i="7"/>
  <c r="N25" i="7"/>
  <c r="N26" i="7"/>
  <c r="N27" i="7"/>
  <c r="N28" i="7"/>
  <c r="N29" i="7"/>
  <c r="N30" i="7"/>
  <c r="N7" i="7"/>
  <c r="F7" i="7"/>
  <c r="L7" i="7"/>
  <c r="F8" i="7"/>
  <c r="G8" i="7" s="1"/>
  <c r="H8" i="7" s="1"/>
  <c r="I8" i="7" s="1"/>
  <c r="J8" i="7" s="1"/>
  <c r="K8" i="7" s="1"/>
  <c r="F9" i="7"/>
  <c r="G9" i="7" s="1"/>
  <c r="H9" i="7" s="1"/>
  <c r="I9" i="7" s="1"/>
  <c r="J9" i="7" s="1"/>
  <c r="K9" i="7" s="1"/>
  <c r="F10" i="7"/>
  <c r="G10" i="7" s="1"/>
  <c r="H10" i="7" s="1"/>
  <c r="I10" i="7" s="1"/>
  <c r="J10" i="7" s="1"/>
  <c r="K10" i="7" s="1"/>
  <c r="F11" i="7"/>
  <c r="G11" i="7"/>
  <c r="H11" i="7"/>
  <c r="I11" i="7" s="1"/>
  <c r="J11" i="7" s="1"/>
  <c r="K11" i="7" s="1"/>
  <c r="F12" i="7"/>
  <c r="G12" i="7" s="1"/>
  <c r="H12" i="7" s="1"/>
  <c r="I12" i="7" s="1"/>
  <c r="J12" i="7" s="1"/>
  <c r="K12" i="7" s="1"/>
  <c r="F13" i="7"/>
  <c r="G13" i="7" s="1"/>
  <c r="H13" i="7" s="1"/>
  <c r="I13" i="7" s="1"/>
  <c r="J13" i="7" s="1"/>
  <c r="K13" i="7" s="1"/>
  <c r="F14" i="7"/>
  <c r="G14" i="7" s="1"/>
  <c r="H14" i="7" s="1"/>
  <c r="I14" i="7" s="1"/>
  <c r="J14" i="7" s="1"/>
  <c r="K14" i="7" s="1"/>
  <c r="F15" i="7"/>
  <c r="G15" i="7"/>
  <c r="H15" i="7"/>
  <c r="I15" i="7" s="1"/>
  <c r="J15" i="7" s="1"/>
  <c r="K15" i="7" s="1"/>
  <c r="F16" i="7"/>
  <c r="G16" i="7" s="1"/>
  <c r="H16" i="7" s="1"/>
  <c r="I16" i="7" s="1"/>
  <c r="J16" i="7" s="1"/>
  <c r="K16" i="7" s="1"/>
  <c r="F17" i="7"/>
  <c r="G17" i="7" s="1"/>
  <c r="H17" i="7" s="1"/>
  <c r="I17" i="7" s="1"/>
  <c r="J17" i="7" s="1"/>
  <c r="K17" i="7" s="1"/>
  <c r="F18" i="7"/>
  <c r="G18" i="7" s="1"/>
  <c r="H18" i="7" s="1"/>
  <c r="I18" i="7" s="1"/>
  <c r="J18" i="7" s="1"/>
  <c r="K18" i="7" s="1"/>
  <c r="F19" i="7"/>
  <c r="G19" i="7"/>
  <c r="H19" i="7"/>
  <c r="I19" i="7" s="1"/>
  <c r="J19" i="7" s="1"/>
  <c r="K19" i="7" s="1"/>
  <c r="F20" i="7"/>
  <c r="G20" i="7" s="1"/>
  <c r="H20" i="7" s="1"/>
  <c r="I20" i="7" s="1"/>
  <c r="J20" i="7" s="1"/>
  <c r="K20" i="7" s="1"/>
  <c r="F21" i="7"/>
  <c r="G21" i="7" s="1"/>
  <c r="H21" i="7" s="1"/>
  <c r="I21" i="7" s="1"/>
  <c r="J21" i="7" s="1"/>
  <c r="K21" i="7" s="1"/>
  <c r="F22" i="7"/>
  <c r="G22" i="7" s="1"/>
  <c r="H22" i="7" s="1"/>
  <c r="I22" i="7" s="1"/>
  <c r="J22" i="7" s="1"/>
  <c r="K22" i="7" s="1"/>
  <c r="F23" i="7"/>
  <c r="G23" i="7"/>
  <c r="H23" i="7"/>
  <c r="I23" i="7" s="1"/>
  <c r="J23" i="7" s="1"/>
  <c r="K23" i="7" s="1"/>
  <c r="F24" i="7"/>
  <c r="G24" i="7" s="1"/>
  <c r="H24" i="7" s="1"/>
  <c r="I24" i="7" s="1"/>
  <c r="J24" i="7" s="1"/>
  <c r="K24" i="7" s="1"/>
  <c r="F25" i="7"/>
  <c r="G25" i="7" s="1"/>
  <c r="H25" i="7" s="1"/>
  <c r="I25" i="7" s="1"/>
  <c r="J25" i="7" s="1"/>
  <c r="K25" i="7" s="1"/>
  <c r="F26" i="7"/>
  <c r="G26" i="7" s="1"/>
  <c r="H26" i="7" s="1"/>
  <c r="I26" i="7" s="1"/>
  <c r="J26" i="7" s="1"/>
  <c r="K26" i="7" s="1"/>
  <c r="F27" i="7"/>
  <c r="G27" i="7"/>
  <c r="H27" i="7"/>
  <c r="I27" i="7" s="1"/>
  <c r="J27" i="7" s="1"/>
  <c r="K27" i="7" s="1"/>
  <c r="F28" i="7"/>
  <c r="G28" i="7" s="1"/>
  <c r="H28" i="7" s="1"/>
  <c r="I28" i="7" s="1"/>
  <c r="J28" i="7" s="1"/>
  <c r="K28" i="7" s="1"/>
  <c r="F29" i="7"/>
  <c r="G29" i="7" s="1"/>
  <c r="H29" i="7" s="1"/>
  <c r="I29" i="7" s="1"/>
  <c r="J29" i="7" s="1"/>
  <c r="K29" i="7" s="1"/>
  <c r="F30" i="7"/>
  <c r="G30" i="7" s="1"/>
  <c r="H30" i="7" s="1"/>
  <c r="I30" i="7" s="1"/>
  <c r="J30" i="7" s="1"/>
  <c r="K30" i="7" s="1"/>
  <c r="G7" i="7"/>
  <c r="H7" i="7" s="1"/>
  <c r="I7" i="7" s="1"/>
  <c r="J7" i="7" s="1"/>
  <c r="E31" i="7"/>
  <c r="C31" i="7"/>
  <c r="V8" i="6"/>
  <c r="L8" i="6"/>
  <c r="N8" i="6"/>
  <c r="P8" i="6"/>
  <c r="L9" i="6"/>
  <c r="N9" i="6"/>
  <c r="P9" i="6"/>
  <c r="L10" i="6"/>
  <c r="N10" i="6"/>
  <c r="P10" i="6"/>
  <c r="L11" i="6"/>
  <c r="N11" i="6"/>
  <c r="P11" i="6"/>
  <c r="L12" i="6"/>
  <c r="N12" i="6"/>
  <c r="P12" i="6"/>
  <c r="L13" i="6"/>
  <c r="N13" i="6"/>
  <c r="P13" i="6"/>
  <c r="L14" i="6"/>
  <c r="N14" i="6"/>
  <c r="P14" i="6"/>
  <c r="L15" i="6"/>
  <c r="N15" i="6"/>
  <c r="P15" i="6"/>
  <c r="L16" i="6"/>
  <c r="N16" i="6"/>
  <c r="P16" i="6"/>
  <c r="L17" i="6"/>
  <c r="N17" i="6"/>
  <c r="P17" i="6"/>
  <c r="L18" i="6"/>
  <c r="N18" i="6"/>
  <c r="P18" i="6"/>
  <c r="L19" i="6"/>
  <c r="N19" i="6"/>
  <c r="P19" i="6"/>
  <c r="L20" i="6"/>
  <c r="N20" i="6"/>
  <c r="P20" i="6"/>
  <c r="L21" i="6"/>
  <c r="N21" i="6"/>
  <c r="P21" i="6"/>
  <c r="L22" i="6"/>
  <c r="N22" i="6"/>
  <c r="P22" i="6"/>
  <c r="L23" i="6"/>
  <c r="N23" i="6"/>
  <c r="P23" i="6"/>
  <c r="L24" i="6"/>
  <c r="N24" i="6"/>
  <c r="P24" i="6"/>
  <c r="L25" i="6"/>
  <c r="N25" i="6"/>
  <c r="P25" i="6"/>
  <c r="L26" i="6"/>
  <c r="N26" i="6"/>
  <c r="P26" i="6"/>
  <c r="L27" i="6"/>
  <c r="N27" i="6"/>
  <c r="P27" i="6"/>
  <c r="L28" i="6"/>
  <c r="N28" i="6"/>
  <c r="P28" i="6"/>
  <c r="L29" i="6"/>
  <c r="N29" i="6"/>
  <c r="P29" i="6"/>
  <c r="L30" i="6"/>
  <c r="N30" i="6"/>
  <c r="P30" i="6"/>
  <c r="P7" i="6"/>
  <c r="N7" i="6"/>
  <c r="L7" i="6"/>
  <c r="R7" i="6" s="1"/>
  <c r="I31" i="6"/>
  <c r="J31" i="6"/>
  <c r="H31" i="6"/>
  <c r="G31" i="6"/>
  <c r="F31" i="6"/>
  <c r="E31" i="6"/>
  <c r="C31" i="6"/>
  <c r="K7" i="7" l="1"/>
  <c r="T7" i="6"/>
  <c r="V7" i="6" s="1"/>
  <c r="G48" i="1" l="1"/>
  <c r="J48" i="1"/>
  <c r="L48" i="1"/>
  <c r="M48" i="1"/>
  <c r="O48" i="1"/>
  <c r="P48" i="1"/>
  <c r="R30" i="6" l="1"/>
  <c r="R12" i="6"/>
  <c r="T25" i="6"/>
  <c r="V25" i="6" s="1"/>
  <c r="R27" i="6"/>
  <c r="R22" i="6"/>
  <c r="T22" i="6"/>
  <c r="V22" i="6" s="1"/>
  <c r="R28" i="6"/>
  <c r="T28" i="6"/>
  <c r="V28" i="6" s="1"/>
  <c r="R26" i="6"/>
  <c r="T26" i="6"/>
  <c r="V26" i="6" s="1"/>
  <c r="R21" i="6"/>
  <c r="T21" i="6"/>
  <c r="V21" i="6" s="1"/>
  <c r="I48" i="1"/>
  <c r="AK7" i="1" l="1"/>
  <c r="R25" i="6"/>
  <c r="T30" i="6"/>
  <c r="V30" i="6" s="1"/>
  <c r="T12" i="6"/>
  <c r="V12" i="6" s="1"/>
  <c r="T27" i="6"/>
  <c r="V27" i="6" s="1"/>
  <c r="R9" i="6"/>
  <c r="T9" i="6"/>
  <c r="V9" i="6" s="1"/>
  <c r="R18" i="6"/>
  <c r="T18" i="6"/>
  <c r="V18" i="6" s="1"/>
  <c r="T13" i="6"/>
  <c r="V13" i="6" s="1"/>
  <c r="R13" i="6"/>
  <c r="R23" i="6"/>
  <c r="T23" i="6"/>
  <c r="V23" i="6" s="1"/>
  <c r="R8" i="6"/>
  <c r="T8" i="6"/>
  <c r="R11" i="6"/>
  <c r="T11" i="6"/>
  <c r="V11" i="6" s="1"/>
  <c r="R19" i="6"/>
  <c r="T19" i="6"/>
  <c r="V19" i="6" s="1"/>
  <c r="R14" i="6"/>
  <c r="T14" i="6"/>
  <c r="V14" i="6" s="1"/>
  <c r="R20" i="6"/>
  <c r="T20" i="6"/>
  <c r="V20" i="6" s="1"/>
  <c r="R16" i="6"/>
  <c r="T16" i="6"/>
  <c r="V16" i="6" s="1"/>
  <c r="R15" i="6"/>
  <c r="T15" i="6"/>
  <c r="V15" i="6" s="1"/>
  <c r="R17" i="6"/>
  <c r="T17" i="6"/>
  <c r="V17" i="6" s="1"/>
  <c r="R29" i="6"/>
  <c r="T29" i="6"/>
  <c r="V29" i="6" s="1"/>
  <c r="R24" i="6"/>
  <c r="T24" i="6"/>
  <c r="V24" i="6" s="1"/>
  <c r="R10" i="6"/>
  <c r="T10" i="6"/>
  <c r="V10" i="6" s="1"/>
  <c r="AO7" i="1" l="1"/>
  <c r="AL7" i="1"/>
  <c r="AM7" i="1"/>
  <c r="AM48" i="1" s="1"/>
  <c r="AN7" i="1"/>
  <c r="AN48" i="1" s="1"/>
  <c r="AP7" i="1" l="1"/>
  <c r="AR7" i="1" s="1"/>
  <c r="AQ7" i="1"/>
  <c r="AL48" i="1"/>
  <c r="F31" i="7" l="1"/>
  <c r="G31" i="7" l="1"/>
  <c r="H31" i="7" l="1"/>
  <c r="I31" i="7" l="1"/>
  <c r="K31" i="7" l="1"/>
  <c r="J31" i="7"/>
  <c r="DC7" i="25"/>
  <c r="DE7" i="25" s="1"/>
  <c r="DE8" i="25" s="1"/>
  <c r="DB7" i="25"/>
  <c r="DB8" i="25" s="1"/>
  <c r="V8" i="25"/>
  <c r="J7" i="25"/>
  <c r="H8" i="25" l="1"/>
  <c r="DD7" i="25"/>
  <c r="Z7" i="25"/>
  <c r="X8" i="25"/>
  <c r="W8" i="25"/>
  <c r="DA7" i="25"/>
  <c r="U8" i="25"/>
  <c r="Y8" i="25"/>
  <c r="AC7" i="25" l="1"/>
  <c r="AC8" i="25" s="1"/>
  <c r="AC15" i="25" s="1"/>
  <c r="CS8" i="25"/>
  <c r="CS13" i="25" s="1"/>
  <c r="CW8" i="25" l="1"/>
  <c r="CX9" i="25" s="1"/>
  <c r="CW13" i="25"/>
  <c r="CX7" i="25"/>
  <c r="CT7"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tc={73FA13D9-48EF-4E9D-AFE9-24A8E2A44277}</author>
    <author>tc={6D5E29D3-2B06-4F72-95E5-0D222034AD8F}</author>
    <author>tc={5E6BC600-58A8-47D5-AC73-1D97AE2B4B9F}</author>
    <author>tc={C4A486C9-030E-4CC7-9ED3-0C159881EF59}</author>
  </authors>
  <commentList>
    <comment ref="G6" authorId="0" shapeId="0" xr:uid="{73FA13D9-48EF-4E9D-AFE9-24A8E2A44277}">
      <text>
        <t>[Comentario encadenado]
Su versión de Excel le permite leer este comentario encadenado; sin embargo, las ediciones que se apliquen se quitarán si el archivo se abre en una versión más reciente de Excel. Más información: https://go.microsoft.com/fwlink/?linkid=870924
Comentario:
    Los valores incluido IVA deben estar formulados. 
Adicionalmente, se evidenció que la cotización 1 y 3 tienen valores antes de IVA y después de IVA iguales en los ítems 2 al 41, por lo cual ajusto la formulación.</t>
      </text>
    </comment>
    <comment ref="S6" authorId="1" shapeId="0" xr:uid="{6D5E29D3-2B06-4F72-95E5-0D222034AD8F}">
      <text>
        <t>[Comentario encadenado]
Su versión de Excel le permite leer este comentario encadenado; sin embargo, las ediciones que se apliquen se quitarán si el archivo se abre en una versión más reciente de Excel. Más información: https://go.microsoft.com/fwlink/?linkid=870924
Comentario:
    Las medidas de tendencia central se calculan sobre precios unitarios antes de IVA, adicionalmente las formulas deben incluir REDONDEO. 
Se realizan los ajustes, por favor revisar.</t>
      </text>
    </comment>
    <comment ref="T6" authorId="2" shapeId="0" xr:uid="{5E6BC600-58A8-47D5-AC73-1D97AE2B4B9F}">
      <text>
        <t>[Comentario encadenado]
Su versión de Excel le permite leer este comentario encadenado; sin embargo, las ediciones que se apliquen se quitarán si el archivo se abre en una versión más reciente de Excel. Más información: https://go.microsoft.com/fwlink/?linkid=870924
Comentario:
    Las medidas de tendencia central se calculan sobre precios unitarios antes de IVA, adicionalmente las formulas deben incluir REDONDEO. 
Se realizan los ajustes, por favor revisar</t>
      </text>
    </comment>
    <comment ref="V6" authorId="3" shapeId="0" xr:uid="{C4A486C9-030E-4CC7-9ED3-0C159881EF59}">
      <text>
        <t>[Comentario encadenado]
Su versión de Excel le permite leer este comentario encadenado; sin embargo, las ediciones que se apliquen se quitarán si el archivo se abre en una versión más reciente de Excel. Más información: https://go.microsoft.com/fwlink/?linkid=870924
Comentario:
    La desviación estándar estaba tomando una combinación de precios antes y después de IVA, por lo cual se ajusta la formulación.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<sst xmlns="http://schemas.openxmlformats.org/spreadsheetml/2006/main" count="994" uniqueCount="332">
  <si>
    <t>ESCENARIO 1 - PERT</t>
  </si>
  <si>
    <t>ESCENARIO 2- APLICACIÓN DEL TUNEL</t>
  </si>
  <si>
    <t>ESCENARIO 3- APLICACIÓN MEDIDAS DE TENDENCIA CENTRAL</t>
  </si>
  <si>
    <t>TUNEL</t>
  </si>
  <si>
    <t>RECHAZO POR RANGO  -APLICACIÓN DEL TUNEL-</t>
  </si>
  <si>
    <t>CRITERIOS</t>
  </si>
  <si>
    <t>01- RADAR_GPS_COLOMBIA
CORREO 06/08/2026</t>
  </si>
  <si>
    <t>02- SGS_Colombia_S.A.S_ 
SECOPII 04/08/2026</t>
  </si>
  <si>
    <t>03-RASTERO SATELITAL
CORREO 11/08/2026</t>
  </si>
  <si>
    <t>04-NEFOX SAS
CORREO 11/08/2026</t>
  </si>
  <si>
    <t>05-HISTORICO CTO No. CO1.PCCNTR.8316316 /2025 mas 2025 del IPC 5,10%</t>
  </si>
  <si>
    <t>MEDIDAS DE TENDENCIA CENTRAL VALOR  UNITARIO ANTES DE IVA</t>
  </si>
  <si>
    <t>ESTIMACIÓN DEL PRESUPUESTO OFICIAL</t>
  </si>
  <si>
    <t>EMPRESA 1</t>
  </si>
  <si>
    <t>EMPRESA 2</t>
  </si>
  <si>
    <t>EMPRESA 3</t>
  </si>
  <si>
    <t>EMPRESA 4</t>
  </si>
  <si>
    <t>EMPRESA 5</t>
  </si>
  <si>
    <t>MEDIDAS DE TENDENCIA CENTRAL
 LUEGO DE APLICAR EL TUNEL</t>
  </si>
  <si>
    <t>ANÁLISIS DE DISPERSIÓN</t>
  </si>
  <si>
    <t>MEDIDAS DE TENDENCIA CENTRAL</t>
  </si>
  <si>
    <t>ESCENARIO OAPRE</t>
  </si>
  <si>
    <t>#</t>
  </si>
  <si>
    <t xml:space="preserve">ELEMENTO </t>
  </si>
  <si>
    <t>CANTIDAD REQUERIDA</t>
  </si>
  <si>
    <t>TARIFA IVA %</t>
  </si>
  <si>
    <t>VALOR UNITARIO ANTES DE IVA</t>
  </si>
  <si>
    <t>VALOR UNITARIO  INCLUIDO IVA</t>
  </si>
  <si>
    <t xml:space="preserve">PRECIO TOTAL IVA INCLUIDO </t>
  </si>
  <si>
    <t>MÍNIMO</t>
  </si>
  <si>
    <t>MÁXIMO</t>
  </si>
  <si>
    <t>MEDIANA</t>
  </si>
  <si>
    <t>PROMEDIO</t>
  </si>
  <si>
    <t>DESVIACIÓN</t>
  </si>
  <si>
    <t>COV</t>
  </si>
  <si>
    <t>PRECIO UNITARIO IVA INCLUIDO PERT</t>
  </si>
  <si>
    <t>PRECIO TOTAL IVA INCLUIDO PERT</t>
  </si>
  <si>
    <t>LIMITE INFERIOR</t>
  </si>
  <si>
    <t>LIMITE SUPERIOR</t>
  </si>
  <si>
    <t>TECHO - TUNEL ALTO</t>
  </si>
  <si>
    <t>PISO - TUNEL BAJO</t>
  </si>
  <si>
    <t>MEDIA GEOMETRICA</t>
  </si>
  <si>
    <t>MEDIA ARMONICA</t>
  </si>
  <si>
    <t>DISPERSIÓN PROMEDIO</t>
  </si>
  <si>
    <t>DISPERSIÓN MEDIANA</t>
  </si>
  <si>
    <t>DISPERSIÓN MEDIA GEOMÉTRICA</t>
  </si>
  <si>
    <t>DISPERSIÓN MEDIA ARMONICA</t>
  </si>
  <si>
    <t>PRECIO UNITARIO ANTES DE IVA PERT</t>
  </si>
  <si>
    <t>VALOR UNITARIO INCLUIDO IVA</t>
  </si>
  <si>
    <t>VALOR TOTAL</t>
  </si>
  <si>
    <t>COVA</t>
  </si>
  <si>
    <t>VALOR TOTAL CON IVA</t>
  </si>
  <si>
    <t>Contratar servicio de monitoreo satelital tipo GPS para realizar control y seguimiento de los vehículos del parque automotor de la Secretaría de Educación del Distrito por doce (12) meses.</t>
  </si>
  <si>
    <t>TOTALES</t>
  </si>
  <si>
    <t>ítem</t>
  </si>
  <si>
    <t>CANT.</t>
  </si>
  <si>
    <t>UNIDAD DE MEDIDA</t>
  </si>
  <si>
    <t>VR. UNITARIO TECHO ANTES DE IVA</t>
  </si>
  <si>
    <t>IVA 19%</t>
  </si>
  <si>
    <t>VR. UNITARIO
TECHO</t>
  </si>
  <si>
    <t xml:space="preserve"> VALOR TOTAL CON IVA </t>
  </si>
  <si>
    <t>Unidad</t>
  </si>
  <si>
    <t>Nº PROCESO SECOP (I – II)</t>
  </si>
  <si>
    <t>Nº CONTRATO</t>
  </si>
  <si>
    <t>OBJETO</t>
  </si>
  <si>
    <t>DURACIÓN</t>
  </si>
  <si>
    <t>INDEXACIÓN 5,10% IPC 2025</t>
  </si>
  <si>
    <t>Valor Tortal</t>
  </si>
  <si>
    <t>NEFOX SAS</t>
  </si>
  <si>
    <t>CO1.PCCNTR.8316316</t>
  </si>
  <si>
    <t>Servicio de monitoreo satelital tipo GPS para realizar control y seguimiento de los vehículos del parque automotor de la secretaría de Educación del Distrito</t>
  </si>
  <si>
    <t>12 meses</t>
  </si>
  <si>
    <r>
      <t>​</t>
    </r>
    <r>
      <rPr>
        <sz val="11"/>
        <color rgb="FF242424"/>
        <rFont val="Inherit"/>
      </rPr>
      <t>marketing@tsomobile.com;</t>
    </r>
    <r>
      <rPr>
        <sz val="11"/>
        <color rgb="FF424242"/>
        <rFont val="Inherit"/>
      </rPr>
      <t>​</t>
    </r>
    <r>
      <rPr>
        <sz val="11"/>
        <color rgb="FF242424"/>
        <rFont val="Inherit"/>
      </rPr>
      <t>elizabeth.caicedo@ituran.com.co;</t>
    </r>
    <r>
      <rPr>
        <sz val="11"/>
        <color rgb="FF424242"/>
        <rFont val="Inherit"/>
      </rPr>
      <t>​</t>
    </r>
    <r>
      <rPr>
        <sz val="11"/>
        <color rgb="FF242424"/>
        <rFont val="Inherit"/>
      </rPr>
      <t>servicioalciudadano@experian.com;</t>
    </r>
    <r>
      <rPr>
        <sz val="11"/>
        <color rgb="FF424242"/>
        <rFont val="Inherit"/>
      </rPr>
      <t>​</t>
    </r>
    <r>
      <rPr>
        <sz val="11"/>
        <color rgb="FF242424"/>
        <rFont val="Inherit"/>
      </rPr>
      <t>gerencia@trackgps.com.co;</t>
    </r>
    <r>
      <rPr>
        <sz val="11"/>
        <color rgb="FF424242"/>
        <rFont val="Inherit"/>
      </rPr>
      <t>​</t>
    </r>
    <r>
      <rPr>
        <sz val="11"/>
        <color rgb="FF242424"/>
        <rFont val="Inherit"/>
      </rPr>
      <t>atencionalusuario@proseguir.org;</t>
    </r>
    <r>
      <rPr>
        <sz val="11"/>
        <color rgb="FF424242"/>
        <rFont val="Inherit"/>
      </rPr>
      <t>​</t>
    </r>
    <r>
      <rPr>
        <sz val="11"/>
        <color rgb="FF242424"/>
        <rFont val="Inherit"/>
      </rPr>
      <t>gerencia@sovipltda.com;</t>
    </r>
    <r>
      <rPr>
        <sz val="11"/>
        <color rgb="FF424242"/>
        <rFont val="Inherit"/>
      </rPr>
      <t>​</t>
    </r>
    <r>
      <rPr>
        <sz val="11"/>
        <color rgb="FF242424"/>
        <rFont val="Inherit"/>
      </rPr>
      <t>info@globalcircuit.co;</t>
    </r>
    <r>
      <rPr>
        <sz val="11"/>
        <color rgb="FF424242"/>
        <rFont val="Inherit"/>
      </rPr>
      <t>​</t>
    </r>
    <r>
      <rPr>
        <sz val="11"/>
        <color rgb="FF242424"/>
        <rFont val="Inherit"/>
      </rPr>
      <t>gestionhumana@detektor.com.co;</t>
    </r>
    <r>
      <rPr>
        <sz val="11"/>
        <color rgb="FF424242"/>
        <rFont val="Inherit"/>
      </rPr>
      <t>​</t>
    </r>
    <r>
      <rPr>
        <sz val="11"/>
        <color rgb="FF242424"/>
        <rFont val="Inherit"/>
      </rPr>
      <t>ventas@radargpscolombia.com;</t>
    </r>
    <r>
      <rPr>
        <sz val="11"/>
        <color rgb="FF424242"/>
        <rFont val="Inherit"/>
      </rPr>
      <t>​</t>
    </r>
    <r>
      <rPr>
        <sz val="11"/>
        <color rgb="FF242424"/>
        <rFont val="Inherit"/>
      </rPr>
      <t>directorcomercial@ejesatelital.com;</t>
    </r>
    <r>
      <rPr>
        <sz val="11"/>
        <color rgb="FF424242"/>
        <rFont val="Inherit"/>
      </rPr>
      <t>​</t>
    </r>
    <r>
      <rPr>
        <sz val="11"/>
        <color rgb="FF242424"/>
        <rFont val="Inherit"/>
      </rPr>
      <t>licitaciones@delanova.co;</t>
    </r>
    <r>
      <rPr>
        <sz val="11"/>
        <color rgb="FF424242"/>
        <rFont val="Inherit"/>
      </rPr>
      <t>​</t>
    </r>
    <r>
      <rPr>
        <sz val="11"/>
        <color rgb="FF242424"/>
        <rFont val="Inherit"/>
      </rPr>
      <t>gerencia@localizamos.co;</t>
    </r>
    <r>
      <rPr>
        <sz val="11"/>
        <color rgb="FF424242"/>
        <rFont val="Inherit"/>
      </rPr>
      <t>​</t>
    </r>
    <r>
      <rPr>
        <sz val="11"/>
        <color rgb="FF242424"/>
        <rFont val="Inherit"/>
      </rPr>
      <t>yurani.montero@detektor.com.co;</t>
    </r>
    <r>
      <rPr>
        <sz val="11"/>
        <color rgb="FF424242"/>
        <rFont val="Inherit"/>
      </rPr>
      <t>​</t>
    </r>
    <r>
      <rPr>
        <sz val="11"/>
        <color rgb="FF242424"/>
        <rFont val="Inherit"/>
      </rPr>
      <t>yurani.montero@detektor.com.co;</t>
    </r>
    <r>
      <rPr>
        <sz val="11"/>
        <color rgb="FF424242"/>
        <rFont val="Inherit"/>
      </rPr>
      <t>​</t>
    </r>
    <r>
      <rPr>
        <sz val="11"/>
        <color rgb="FF242424"/>
        <rFont val="Inherit"/>
      </rPr>
      <t>licitaciones@nefox.co;</t>
    </r>
    <r>
      <rPr>
        <sz val="11"/>
        <color rgb="FF424242"/>
        <rFont val="Inherit"/>
      </rPr>
      <t>​</t>
    </r>
    <r>
      <rPr>
        <sz val="11"/>
        <color rgb="FF242424"/>
        <rFont val="Inherit"/>
      </rPr>
      <t>sgs.colombia@sgs.com;</t>
    </r>
    <r>
      <rPr>
        <sz val="11"/>
        <color rgb="FF424242"/>
        <rFont val="Inherit"/>
      </rPr>
      <t>​</t>
    </r>
    <r>
      <rPr>
        <sz val="11"/>
        <color rgb="FF242424"/>
        <rFont val="Inherit"/>
      </rPr>
      <t>claudia.barrera@prosegur.com;</t>
    </r>
    <r>
      <rPr>
        <sz val="11"/>
        <color rgb="FF424242"/>
        <rFont val="Inherit"/>
      </rPr>
      <t>​</t>
    </r>
    <r>
      <rPr>
        <sz val="11"/>
        <color rgb="FF242424"/>
        <rFont val="Inherit"/>
      </rPr>
      <t>gerencia@alfayomegacom.co;</t>
    </r>
    <r>
      <rPr>
        <sz val="11"/>
        <color rgb="FF424242"/>
        <rFont val="Inherit"/>
      </rPr>
      <t>​</t>
    </r>
    <r>
      <rPr>
        <sz val="11"/>
        <color rgb="FF242424"/>
        <rFont val="Inherit"/>
      </rPr>
      <t>GINA PAOLA OCHOA VIVAS;</t>
    </r>
    <r>
      <rPr>
        <sz val="11"/>
        <color rgb="FF424242"/>
        <rFont val="Inherit"/>
      </rPr>
      <t>​</t>
    </r>
    <r>
      <rPr>
        <sz val="11"/>
        <color rgb="FF242424"/>
        <rFont val="Inherit"/>
      </rPr>
      <t>Jorge.vega@ituran.com.co;</t>
    </r>
    <r>
      <rPr>
        <sz val="11"/>
        <color rgb="FF424242"/>
        <rFont val="Inherit"/>
      </rPr>
      <t>​</t>
    </r>
    <r>
      <rPr>
        <sz val="11"/>
        <color rgb="FF242424"/>
        <rFont val="Inherit"/>
      </rPr>
      <t>GUSTAVO HUMBERTO OROZCO HOYOS;</t>
    </r>
    <r>
      <rPr>
        <sz val="11"/>
        <color rgb="FF424242"/>
        <rFont val="Inherit"/>
      </rPr>
      <t>​</t>
    </r>
    <r>
      <rPr>
        <sz val="11"/>
        <color rgb="FF242424"/>
        <rFont val="Inherit"/>
      </rPr>
      <t>Jorge.vega@ituran.com.co;</t>
    </r>
    <r>
      <rPr>
        <sz val="11"/>
        <color rgb="FF424242"/>
        <rFont val="Inherit"/>
      </rPr>
      <t>​</t>
    </r>
    <r>
      <rPr>
        <sz val="11"/>
        <color rgb="FF242424"/>
        <rFont val="Inherit"/>
      </rPr>
      <t>operaciones@trackgps.com.co;</t>
    </r>
    <r>
      <rPr>
        <sz val="11"/>
        <color rgb="FF424242"/>
        <rFont val="Inherit"/>
      </rPr>
      <t>​</t>
    </r>
    <r>
      <rPr>
        <sz val="11"/>
        <color rgb="FF242424"/>
        <rFont val="Inherit"/>
      </rPr>
      <t>FREDY HUMBERTO CARRERO VELANDIA;</t>
    </r>
    <r>
      <rPr>
        <sz val="11"/>
        <color rgb="FF424242"/>
        <rFont val="Inherit"/>
      </rPr>
      <t>​</t>
    </r>
    <r>
      <rPr>
        <sz val="11"/>
        <color rgb="FF242424"/>
        <rFont val="Inherit"/>
      </rPr>
      <t>negociaciones@trackgps.com.co;</t>
    </r>
    <r>
      <rPr>
        <sz val="11"/>
        <color rgb="FF424242"/>
        <rFont val="Inherit"/>
      </rPr>
      <t>​</t>
    </r>
    <r>
      <rPr>
        <sz val="11"/>
        <color rgb="FF242424"/>
        <rFont val="Inherit"/>
      </rPr>
      <t>comercial@rastreo.co;</t>
    </r>
    <r>
      <rPr>
        <sz val="11"/>
        <color rgb="FF424242"/>
        <rFont val="Inherit"/>
      </rPr>
      <t>​</t>
    </r>
    <r>
      <rPr>
        <sz val="11"/>
        <color rgb="FF242424"/>
        <rFont val="Inherit"/>
      </rPr>
      <t>info@rastreo.co;</t>
    </r>
    <r>
      <rPr>
        <sz val="11"/>
        <color rgb="FF424242"/>
        <rFont val="Inherit"/>
      </rPr>
      <t>​</t>
    </r>
    <r>
      <rPr>
        <sz val="11"/>
        <color rgb="FF242424"/>
        <rFont val="Inherit"/>
      </rPr>
      <t>info@spia.co;</t>
    </r>
    <r>
      <rPr>
        <sz val="11"/>
        <color rgb="FF424242"/>
        <rFont val="Inherit"/>
      </rPr>
      <t>​</t>
    </r>
    <r>
      <rPr>
        <sz val="11"/>
        <color rgb="FF242424"/>
        <rFont val="Inherit"/>
      </rPr>
      <t>ventas@gpstrackerls.com</t>
    </r>
    <r>
      <rPr>
        <sz val="11"/>
        <color rgb="FF424242"/>
        <rFont val="Inherit"/>
      </rPr>
      <t>​</t>
    </r>
  </si>
  <si>
    <t>DOCUMENTO DE VALIDACIÓN DE PRECIOS DE REFERENCIA</t>
  </si>
  <si>
    <t>Costo más probable</t>
  </si>
  <si>
    <t>Costo Pesimista</t>
  </si>
  <si>
    <t>Costo Optimista</t>
  </si>
  <si>
    <t>1. HARDWARE ASESORÍAS SOFTWARE LTDA
SECOP 27/02/2026</t>
  </si>
  <si>
    <t>2. SUMIMAS S.A.S
SECOP 27/02/2026</t>
  </si>
  <si>
    <t>3.  QP TECHNOLOGY SAS
CORREO 13/03/2026</t>
  </si>
  <si>
    <t>4. SUMICORP LTDA
correo 15/04/2026</t>
  </si>
  <si>
    <t xml:space="preserve">5. HISTÓRICO CO1.PCCNTR.8362074 – 2025  MAS INDEXACIÓN IPC 2025   5,10% </t>
  </si>
  <si>
    <t>CANTIDADES</t>
  </si>
  <si>
    <t>VALOR  UNITARIO ANTES DE IVA</t>
  </si>
  <si>
    <t>GS-CINTA IMP.DATACARD YMCKT 500 IMP - 525100-004-S11</t>
  </si>
  <si>
    <t>CARTUCHO TÓNER REFERENCIA W9004MC - LASERJET
MANAGED MFP E62655 SERIES</t>
  </si>
  <si>
    <t>CARTUCHO DE TÓNER HP 35A (CB435A) NEGRO
LASERJET ORIGINAL</t>
  </si>
  <si>
    <t>CARTUCHO DE TÓNER HP 12A (Q2612A) NEGRO
LASERJET ORIGINAL</t>
  </si>
  <si>
    <t>HEWLETT-PACKARD HP LASERJET P1102W LASERJET ORIGINAL</t>
  </si>
  <si>
    <t>TÓNER LEXMARK X463A11G NEGRO</t>
  </si>
  <si>
    <t>CARTUCHO DE TÓNER NEGRO LEXMARK CX310DN –
80C8SK0</t>
  </si>
  <si>
    <t>CARTUCHO DE TÓNER CIAN LEXMARK CX310DN -80C8SC0</t>
  </si>
  <si>
    <t>CARTUCHO DE TÓNER MAGENTA LEXMARK CX310DN -80C8SM0</t>
  </si>
  <si>
    <t>CARTUCHO DE TÓNER AMARILLO LEXMARK CX310DN -80C8SY0</t>
  </si>
  <si>
    <t>]]]]]]]]]]]]]]]]]]]]]]]]]]]]]]]]]]]]]]]]]]]]]]]]]]]]]]]]]]]]]]]]]]]]]]]]]]]]]]]]]]]]]]]]]]]]]]]]]]]]]]]]]]]]]]]]]]]]]]]]]]</t>
  </si>
  <si>
    <t>LEXMARK 60F4X00 BLACK TONER CARTRIDGE</t>
  </si>
  <si>
    <t>PRINT CARTRIDGE IM 600 - 418477</t>
  </si>
  <si>
    <t>PRINT CARTRIDGE MP 601 - 407823</t>
  </si>
  <si>
    <t>PRINT CARTRIDGE IM 430 - 418126</t>
  </si>
  <si>
    <t>PRINT CARTRIDGE SP 4500HA - 407316</t>
  </si>
  <si>
    <t>CARTUCHO DE TÓNER NEGRO OKIDATA ES5112 - 45807115</t>
  </si>
  <si>
    <t>CARTUCHO DE TÓNER NEGRO 105L SAMSUNG SCX-4623F (SU770A MLT-D105L/XAA)</t>
  </si>
  <si>
    <t xml:space="preserve">TÓNER BROTHER TN920UXXL PARA  IMPRESORAS MULTIFUNCIONALES MARCA BROTHER, REFERENCIA MFC-L6915DW  - REFERENCIA DEL TONER TN920UXXL </t>
  </si>
  <si>
    <t>UNIDAD FUSORA HP LASERJET MFP E62565 / E62655</t>
  </si>
  <si>
    <t xml:space="preserve">UNIDAD FUSORA RICOH IM 550F 600F </t>
  </si>
  <si>
    <t>UNIDAD FUSORA RICOH MP501SPF MP601SPF</t>
  </si>
  <si>
    <t>UNIDAD DE FUSOR COMPATIBLE CON IMPRESORA RICOH IM430F P501</t>
  </si>
  <si>
    <t>UNIDAD DE CILINDRO RICOH IM 550F/IM 600F</t>
  </si>
  <si>
    <t>UNIDAD DE CILINDRO RICOH MP501</t>
  </si>
  <si>
    <t>RODILLO CARGA RICOH AFICIO MP501SPF MP601 SP5300DN SP5310</t>
  </si>
  <si>
    <t>FOTOCONDUCTOR LEXMARK NEGRO</t>
  </si>
  <si>
    <t>UNIDAD DE IMAGEN LEXMARK 500Z ORIGINAL REFERENCIA 50F0Z00 NEGRO</t>
  </si>
  <si>
    <t>Tambor De Imagen Okidata MPS5501B 45456306</t>
  </si>
  <si>
    <t>Kit Mantenimiento Oki Mps 5502 Original</t>
  </si>
  <si>
    <t>UNIDAD IMAGEN OKI | NEGRO ES5112</t>
  </si>
  <si>
    <t>KIT DE MANTENIMIENTO PARA SCANNER MARCA FUJITSU MODELO FI7240</t>
  </si>
  <si>
    <t>RODILLO ARRASTRE PAPEL PARA SCANNER MARCA FUJITSU MODELO - FI7240</t>
  </si>
  <si>
    <t xml:space="preserve">5. HISTÓRICO CO1.PCCNTR.8362074-2025  MAS INDEXACIÓN IPC 2025  5,10% </t>
  </si>
  <si>
    <t>Numero de Datos</t>
  </si>
  <si>
    <t>Media</t>
  </si>
  <si>
    <t>desviacion</t>
  </si>
  <si>
    <t>Coeficiente de Variación</t>
  </si>
  <si>
    <t>Limite inferior (valor minimo aceptable)</t>
  </si>
  <si>
    <t>limite superior (valor maximo aceptable)</t>
  </si>
  <si>
    <t>IMPRESORAS MULTIFUNCIONALES marca Brother, referencia MFC-L6915DW  - Referencia del Toner TN920UXXL</t>
  </si>
  <si>
    <t>ÍTEM</t>
  </si>
  <si>
    <t>MARCA</t>
  </si>
  <si>
    <t>DATACARD</t>
  </si>
  <si>
    <t>CARTUCHO TÓNER REFERENCIA W9004MC - LASERJET MANAGED MFP E62655 SERIES</t>
  </si>
  <si>
    <t>HP</t>
  </si>
  <si>
    <t>CARTUCHO DE TÓNER HP 35A (CB435A) NEGRO LASERJET ORIGINAL</t>
  </si>
  <si>
    <t>CARTUCHO DE TÓNER HP 12A (Q2612A) NEGRO LASERJET ORIGINAL</t>
  </si>
  <si>
    <t xml:space="preserve">HP </t>
  </si>
  <si>
    <t>LEXMARK</t>
  </si>
  <si>
    <t xml:space="preserve">CARTUCHO DE TÓNER NEGRO LEXMARK CX310DN – </t>
  </si>
  <si>
    <t>RICOH</t>
  </si>
  <si>
    <t>OKIDATA</t>
  </si>
  <si>
    <t>SAMSUNG</t>
  </si>
  <si>
    <t>BROTHER</t>
  </si>
  <si>
    <t>FUJITSU</t>
  </si>
  <si>
    <t xml:space="preserve">CRITERIOS </t>
  </si>
  <si>
    <t xml:space="preserve"> 1. HARDWARE ASESORÍAS SOFTWARE LTDA SECOP 27/02/2026 </t>
  </si>
  <si>
    <t xml:space="preserve"> 2. SUMIMAS S.A.S SECOP 27/02/2026 </t>
  </si>
  <si>
    <t xml:space="preserve"> 3.  QP TECHNOLOGY SAS CORREO 13/03/2026 </t>
  </si>
  <si>
    <t xml:space="preserve"> 4. SUMICORP LTDA correo 15/04/2026 </t>
  </si>
  <si>
    <t xml:space="preserve"> 5. HISTÓRICO CO1.PCCNTR.8362074 – 2025 MAS INDEXACIÓN IPC 2025   5,10%  </t>
  </si>
  <si>
    <t xml:space="preserve"> ELEMENTO  </t>
  </si>
  <si>
    <t xml:space="preserve"> CANTIDADES </t>
  </si>
  <si>
    <t xml:space="preserve"> UNIDAD DE MEDIDA </t>
  </si>
  <si>
    <t xml:space="preserve"> VALOR UNITARIO ANTES DE IVA </t>
  </si>
  <si>
    <t xml:space="preserve"> VALOR UNITARIO INCLUIDO IVA </t>
  </si>
  <si>
    <t xml:space="preserve"> PRECIO TOTAL IVA INCLUIDO  </t>
  </si>
  <si>
    <t xml:space="preserve"> $                  -   </t>
  </si>
  <si>
    <t xml:space="preserve"> $                -   </t>
  </si>
  <si>
    <t>CARTUCHO TÓNER REFERENCIA W9004MC - LASERJET</t>
  </si>
  <si>
    <t>MANAGED MFP E62655 SERIES</t>
  </si>
  <si>
    <t>CARTUCHO DE TÓNER HP 35A (CB435A) NEGRO</t>
  </si>
  <si>
    <t>LASERJET ORIGINAL</t>
  </si>
  <si>
    <t>CARTUCHO DE TÓNER HP 12A (Q2612A) NEGRO</t>
  </si>
  <si>
    <t xml:space="preserve"> $-   </t>
  </si>
  <si>
    <t>CARTUCHO DE TÓNER NEGRO LEXMARK CX310DN –</t>
  </si>
  <si>
    <t>80C8SK0</t>
  </si>
  <si>
    <t xml:space="preserve"> $                 -   </t>
  </si>
  <si>
    <r>
      <t>TÓNER BROTHER TN920UXXL PARA IMPRESORAS MULTIFUNCIONALES</t>
    </r>
    <r>
      <rPr>
        <sz val="8"/>
        <color rgb="FF000000"/>
        <rFont val="Arial"/>
        <family val="2"/>
      </rPr>
      <t> </t>
    </r>
    <r>
      <rPr>
        <sz val="8"/>
        <color rgb="FF000000"/>
        <rFont val="Arial Nova"/>
        <family val="2"/>
      </rPr>
      <t>MARCA BROTHER, REFERENCIA MFC-L6915DW</t>
    </r>
    <r>
      <rPr>
        <sz val="8"/>
        <color rgb="FF000000"/>
        <rFont val="Arial"/>
        <family val="2"/>
      </rPr>
      <t> </t>
    </r>
    <r>
      <rPr>
        <sz val="8"/>
        <color rgb="FF000000"/>
        <rFont val="Arial Nova"/>
        <family val="2"/>
      </rPr>
      <t xml:space="preserve">- REFERENCIA DEL TONER TN920UXXL </t>
    </r>
  </si>
  <si>
    <t xml:space="preserve"> $   -   </t>
  </si>
  <si>
    <t xml:space="preserve"> $ -   </t>
  </si>
  <si>
    <t xml:space="preserve"> $  -   </t>
  </si>
  <si>
    <t xml:space="preserve"> $ -    </t>
  </si>
  <si>
    <t>Orden de Compra</t>
  </si>
  <si>
    <t>Fecha de la orden</t>
  </si>
  <si>
    <t>Fecha de vencimiento</t>
  </si>
  <si>
    <t>JUSTIFICACIÓN</t>
  </si>
  <si>
    <t>MARCA DEL ARTICULO</t>
  </si>
  <si>
    <t>Estado</t>
  </si>
  <si>
    <t>Instrumento</t>
  </si>
  <si>
    <t>Total</t>
  </si>
  <si>
    <t>Proveedor</t>
  </si>
  <si>
    <t>LA SECRETARIA DE EDUCACION EN EL CUMPLIMIENTO DE SU MISION REQUIERE EL SUMINISTRO DE TONER MARCA HP-SAMSUNG</t>
  </si>
  <si>
    <t>MARCA HP-SAMSUNG</t>
  </si>
  <si>
    <t>Emitido</t>
  </si>
  <si>
    <t>Consumibles de Impresión II</t>
  </si>
  <si>
    <t>$22,324,058</t>
  </si>
  <si>
    <t>VENEPLAST LTDA</t>
  </si>
  <si>
    <t>LA SECRETARIA DE EDUCACION EN EL CUMPLIMIENTO DE SU MISION REQUIERE EL SUMINISTRO DE TONER MARCA LEXMARK</t>
  </si>
  <si>
    <t xml:space="preserve"> MARCA LEXMARK</t>
  </si>
  <si>
    <t>$18,280,748</t>
  </si>
  <si>
    <t>HARDWARE ASESORIAS SOFTWARE LTDA</t>
  </si>
  <si>
    <t>LA SECRETARIA DE EDUCACION EN EL CUMPLIMIENTO DE SU MISION REQUIERE EL SUMINISTRO DE TONER MARCA OKI</t>
  </si>
  <si>
    <t>MARCA OKI</t>
  </si>
  <si>
    <t>$3,613,402</t>
  </si>
  <si>
    <t>PROINTECH COLOMBIA S.A.S.</t>
  </si>
  <si>
    <t>LA SECRETARIA DE EDUCACION EN EL CUMPLIMIENTO DE SU MISION REQUIERE EL SUMINISTRO DE TONER MARCA RICOH</t>
  </si>
  <si>
    <t>MARCA RICOH</t>
  </si>
  <si>
    <t>$91,052,487</t>
  </si>
  <si>
    <t>JAIRO OSORIO CABALLERO</t>
  </si>
  <si>
    <t>CON EL FIN DE FACILITAR EL CUMPLIMIENTO DE LA MISION DE LA SECRETARIA DE EDUCACION DEL DISTRITO SE HACE NECESARIO LA ADQUISICION DE CONSUMIBLES DE IMPRESIÓN ORIGINALES PARA LAS IMPRESORAS REQUERIDAS</t>
  </si>
  <si>
    <t>MARCA Ricoh</t>
  </si>
  <si>
    <t>$110,043,718</t>
  </si>
  <si>
    <t>componentes de mantenimiento interno</t>
  </si>
  <si>
    <t>$2,440,690</t>
  </si>
  <si>
    <t>Uniples_S.A.</t>
  </si>
  <si>
    <t>$12,740,912</t>
  </si>
  <si>
    <t>KEY MARKET SAS EN REORGANIZACION</t>
  </si>
  <si>
    <t>MARCA HP</t>
  </si>
  <si>
    <t>$37,122,324</t>
  </si>
  <si>
    <t>LA SECRETARIA DE EDUCACION RE QUIERE ADQUIRIR CONSUMIBLES DE IMPRESIÓN NECESARIOS PARA EL DESARROLLO DE LAS LABORES ADMINISTRATIVAS REALIZADAS EN EL NIVEL CENTRAL Y DIRECCIONES LOCALES DE LA ENTIDAD PARA EL CUMPLIMIENTO DE LA MISION INSTITUCIONAL</t>
  </si>
  <si>
    <t>Consumibles de Impresión</t>
  </si>
  <si>
    <t>$18,576,441</t>
  </si>
  <si>
    <t>LA SECRETARIA DE EDUCACION REQUIERE ADQUIRIR CONSUMIBLES DE IMPRESIÓN NECESARIOS PARA EL DESARROLLO DE LAS LABORES ADMINISTRATIVAS REALIZADAS EN EL NIVEL CENTRAL Y DIRECCIONES LOCALES DE LA ENTIDAD PARA EL CUMPLIMIENTO DE LA MISION INSTITUCIONAL</t>
  </si>
  <si>
    <t>$24,857,115</t>
  </si>
  <si>
    <t>UT CREAR GROUP INC</t>
  </si>
  <si>
    <t>$87,362,660</t>
  </si>
  <si>
    <t>PROSUTEC S.A.S.</t>
  </si>
  <si>
    <t>$49,848,492</t>
  </si>
  <si>
    <t>MARCA Datacard</t>
  </si>
  <si>
    <t>$5,522,790</t>
  </si>
  <si>
    <t>Identificación Plástica S.A.S</t>
  </si>
  <si>
    <t>La Secretaría de Educación del Distrito es una entidad pública del orden distrital que actúa como organismo del sector central y cabeza del sector educativo, y tiene por objeto orientar y liderar la formulación y ejecución de políticas, planes y programas para garantizar el derecho a la educación y asegurar a la población el acceso al conocimiento y la formación integral</t>
  </si>
  <si>
    <t>$241,274,640</t>
  </si>
  <si>
    <t>Sumimas_S.A.S</t>
  </si>
  <si>
    <t>$90,241,568</t>
  </si>
  <si>
    <t>$135,881,405</t>
  </si>
  <si>
    <t>Con el fin de facilitar el cumplimiento de la misión de la Secretaría de Educación del Distrito, se hace necesario desde el punto de vista administrativo realizar la compra tóner para las impresoras OKI, para que el personal de las dependencias del Nivel Central y Direcciones Locales cuenten con las herramientas de trabajo necesarias, para el normal desarrollo de las actividades diarias</t>
  </si>
  <si>
    <t>$36,463,347</t>
  </si>
  <si>
    <t>Sistemas y Distribuciones Formacon_Ltda.</t>
  </si>
  <si>
    <t>Con el fin de facilitar el cumplimiento de la misión de la Secretaría de Educación del Distrito, se hace necesario desde el punto de vista administrativo realizar la compra tóner para las impresoras LEXMARK, para que el personal de las dependencias del Nivel Central y Direcciones Locales cuenten con las herramientas de trabajo necesarias, para el normal desarrollo de las actividades diarias.</t>
  </si>
  <si>
    <t>$21,289,049</t>
  </si>
  <si>
    <t>Con el fin de facilitar el cumplimiento de la misión de la Secretaría de Educación del Distrito, se hace necesario desde el punto de vista administrativo realizar la compra tóner para las impresoras Hewlett Packard HP, para que el personal de las dependencias del Nivel Central y Direcciones Locales cuenten con las herramientas de trabajo necesarias, para el normal desarrollo de las actividades diarias.</t>
  </si>
  <si>
    <t>$19,715,515</t>
  </si>
  <si>
    <t>Uniples S.A.</t>
  </si>
  <si>
    <t>Vigencia</t>
  </si>
  <si>
    <t>Números de Orden de Compra</t>
  </si>
  <si>
    <t>Proveedores Participantes</t>
  </si>
  <si>
    <t>Plazo Promedio (Meses)</t>
  </si>
  <si>
    <t>Valor Total Vigencia</t>
  </si>
  <si>
    <t>112908, 113883, 113882, 113881</t>
  </si>
  <si>
    <t>Veneplast, Hardware Asesorías, Pronintech, Jairo Osorio</t>
  </si>
  <si>
    <t>102081, 102079, 102078, 102077</t>
  </si>
  <si>
    <t>Hardware Asesorías, Uniples, Key Market, Veneplast</t>
  </si>
  <si>
    <t>80442, 79605, 79604, 79603, 79601</t>
  </si>
  <si>
    <t>Jairo Osorio, UT Crear, Prosutec, Pronintech, Identificación Plástica</t>
  </si>
  <si>
    <t>41122, 41121, 41118</t>
  </si>
  <si>
    <t>Sumimas, Uniples</t>
  </si>
  <si>
    <t>34573, 34572, 34570</t>
  </si>
  <si>
    <t>Formacon, Sumimas, Uniples</t>
  </si>
  <si>
    <t>TOTAL</t>
  </si>
  <si>
    <t>19 Órdenes en total</t>
  </si>
  <si>
    <t>-</t>
  </si>
  <si>
    <t>CARTUCHO DE TÓNER NEGRO LEXMARK CX310DN – 80C8SK0</t>
  </si>
  <si>
    <t>ANALISIS DEL TUNEL</t>
  </si>
  <si>
    <r>
      <rPr>
        <b/>
        <sz val="10"/>
        <color theme="1"/>
        <rFont val="Arial Narrow"/>
        <family val="2"/>
      </rPr>
      <t>Aplicación del método PERT en la estimación de costos de proyectos</t>
    </r>
    <r>
      <rPr>
        <sz val="10"/>
        <color theme="1"/>
        <rFont val="Arial Narrow"/>
        <family val="2"/>
      </rPr>
      <t xml:space="preserve">
El método PERT (Program Evaluation and Review Technique) se emplea para estimar parámetros de proyectos considerando la incertidumbre. Originalmente se utilizó para estimar duraciones de actividades, pero también puede aplicarse a la estimación de costos  . En lugar de dar un solo valor fijo, PERT utiliza tres estimaciones de costo – optimista, más probable y pesimista – para calcular un costo esperado. Esto permite incorporar distintos escenarios (mejor caso, caso esperado y peor caso) en la planificación del presupuesto de un proyecto  . A continuación, se detalla la aplicación de PERT en costos, incluyendo su fórmula, un ejemplo numérico y un análisis de sus ventajas, desventajas y ámbitos de uso.
1.⁠ ⁠Explicación del método PERT en costos
El método PERT en costos se basa en la estimación de tres puntos para cada actividad o componente de costo. Los tres valores considerados son:
	•	Costo optimista (CO): el menor costo posible si todo sale de la mejor manera (escenario mejor caso). Representa una situación muy favorable, poco probable que el costo baje de este valor  .
	•</t>
    </r>
    <r>
      <rPr>
        <b/>
        <sz val="10"/>
        <color rgb="FFFF0000"/>
        <rFont val="Arial Narrow"/>
        <family val="2"/>
      </rPr>
      <t xml:space="preserve">	Costo más probable (CM): la estimación de costo más realista según las condiciones esperadas. Es el valor que el equipo de proyecto considera como el escenario más probable dadas las circunstancias actuales  .</t>
    </r>
    <r>
      <rPr>
        <sz val="10"/>
        <color theme="1"/>
        <rFont val="Arial Narrow"/>
        <family val="2"/>
      </rPr>
      <t xml:space="preserve">
	•	Costo pesimista (CP): el mayor costo posible si todo saliera mal (escenario peor caso). Corresponde a una situación muy desfavorable, difícilmente el costo excederá este valor  .
Al usar estos tres puntos, PERT toma en cuenta la incertidumbre y riesgo asociados al proyecto. En lugar de trabajar con un solo número (que podría ser poco preciso), se obtiene un rango de costos posibles y un valor medio esperado. Esto conduce a estimaciones de costo más precisas y confiables, ya que incorporan escenarios favorables y adversos en el cálculo  . En otras palabras, la técnica de tres puntos ayuda a reflejar la variabilidad del proyecto y reduce el sesgo de optimismo o pesimismo que podría tener una única estimación  .
E</t>
    </r>
    <r>
      <rPr>
        <b/>
        <sz val="10"/>
        <color rgb="FFFF0000"/>
        <rFont val="Arial Narrow"/>
        <family val="2"/>
      </rPr>
      <t>n PERT/costo, este concepto se aplica a cada actividad o elemento de costo del proyecto. Se calculan los tres estimados (CO, CM, CP) por actividad y con ellos un costo medio esperado para esa actividad. Luego, la suma de los costos esperados de todas las actividades resulta en el costo total esperado del proyecto  . De este modo, PERT proporciona tanto un costo esperado agregado como información sobre la posible variabilidad (al conocer los extremos optimista y pesimista).</t>
    </r>
    <r>
      <rPr>
        <sz val="10"/>
        <color theme="1"/>
        <rFont val="Arial Narrow"/>
        <family val="2"/>
      </rPr>
      <t xml:space="preserve">
2.⁠ ⁠Fórmula matemática y su interpretación
La fórmula clásica de PERT para obtener el costo esperado (valor medio) de una actividad es un promedio ponderado de las tres estimaciones de costo. En general se expresa así:
\[ Costo esperado = \frac{3 \times CO + CM + CP}{5} \tag{Fórmula PERT} \]
Donde CO es el costo optimista, CM el costo más probable y CP el costo pesimista. Esta fórmula asigna más peso al valor “más probable” (se multiplica por 3) y menor peso a los extremos optimista y pesimista. En esencia, se está suponiendo que el escenario más probable tiene mayor probabilidad de ocurrencia, por lo que influye más en la media, mientras que los escenarios extremos (muy bajo o muy alto costo) son menos probables pero igualmente se consideran.
La constante de división 5 proviene de sumar las ponderaciones asignadas (3 para el optimista, 1 para el probable, 1 para el pesimista). El resultado es un promedio ponderado que tiende hacia el valor más probable, pero incluye el impacto de posibles desviaciones representadas por los casos óptimo y pesimista  . De hecho, al aplicar esta fórmula se suele obtener un valor “más cercano a la realidad” que si se usara solo uno de los escenarios aislados  , ya que suaviza el efecto de incertidumbre considerando la mejor y peor situación.</t>
    </r>
  </si>
  <si>
    <t>1. KEY MARKET SAS 130325</t>
  </si>
  <si>
    <t>2. SUMIMAS S.A.S 130325</t>
  </si>
  <si>
    <t>3. SUMICORP LTDA 200325</t>
  </si>
  <si>
    <t>4. COMERCIAL VECTOR SAS 200325</t>
  </si>
  <si>
    <t>VALOR  ANTES DE IVA</t>
  </si>
  <si>
    <t>VALOR INCLUIDO IVA</t>
  </si>
  <si>
    <t xml:space="preserve">PRECIO UNITARIO IVA INCLUIDO </t>
  </si>
  <si>
    <t>PRECIO 1</t>
  </si>
  <si>
    <t>PRECIO 2</t>
  </si>
  <si>
    <t>PRECIO 3</t>
  </si>
  <si>
    <t>PRECIO 4</t>
  </si>
  <si>
    <t>Banderita, colores surtidos, dimensiones mínimas 1,5 cm x 5 cm. Paquete mínimo de 5 colores cada uno de 200 hojas, deben ser fácilmente removibles, tener un ph neutro (ph=7), resistentes a la oxidación y no deben producir manchas sobre los documentos. (véase ntc 5397)</t>
  </si>
  <si>
    <t>Paquete x 5 colores</t>
  </si>
  <si>
    <t>Borradores de tablero de mango firme de madera o polipropileno al que se adjunta un pequeño cojín de fieltro.</t>
  </si>
  <si>
    <t>Borradores miga de pan de forma ovalada con bordes redondeados. Medidas: 6,2 x 2,8 x 1,2 cm</t>
  </si>
  <si>
    <t>Cera para contar- cera dactilar cuenta fácil de 10 a 20 grs</t>
  </si>
  <si>
    <t>Cinta adhesiva enmascarar 20 mm * 40 metros</t>
  </si>
  <si>
    <t>Unidad - Rollo</t>
  </si>
  <si>
    <t>Cinta adhesiva enmascarar 48 mm x 40 metros</t>
  </si>
  <si>
    <t>Cinta adhesiva transparente 12 mm *40 metros</t>
  </si>
  <si>
    <t>Cinta adhesiva transparente 24 mm * 40 metros</t>
  </si>
  <si>
    <t>Cinta adhesiva transparente 48 mm * 100 metros</t>
  </si>
  <si>
    <t>Cinta etiqueta térmica   70*40 para zebra gc420t (impresión de stikers),</t>
  </si>
  <si>
    <t>Rollo *1000</t>
  </si>
  <si>
    <t>Cinta zebra gk420 tt 110mm*74 metros</t>
  </si>
  <si>
    <t>Corrector liquido en lápiz 7 mm</t>
  </si>
  <si>
    <t>Dedil o dedal de goma para la punta del dedo que facilita el paso de hojas ( tallas S-M-L)</t>
  </si>
  <si>
    <t>Etiquetas adhesivas en poliéster color plata de 50mm x 25mm a dos cavidades impresora zebra zt230"</t>
  </si>
  <si>
    <t>Fechador de entintado manual 9 dígitos (día-mes-año)</t>
  </si>
  <si>
    <t>Gancho plástico legajador tubular x 20 ganchos. Deben ser plásticos, capacidad de almacenamiento de 200 folios, buena resistencia al doblez</t>
  </si>
  <si>
    <t>Paquete x 20 Unidades</t>
  </si>
  <si>
    <t>Grapa No. 23/8</t>
  </si>
  <si>
    <t>Caja x 1000</t>
  </si>
  <si>
    <t>Grapa No. 26/6</t>
  </si>
  <si>
    <t>Caja x 5000</t>
  </si>
  <si>
    <t>Huellero dimensiones 5.5 × 5.5 × 2 cm</t>
  </si>
  <si>
    <t>Marcador borrable desechable</t>
  </si>
  <si>
    <t>Marcador permanente</t>
  </si>
  <si>
    <t>Marcador permanente punta delgada</t>
  </si>
  <si>
    <t>Minas portaminas punta 0.7 mm</t>
  </si>
  <si>
    <t xml:space="preserve">Tubo x 12 Unidades  </t>
  </si>
  <si>
    <t>Numerador Automatico</t>
  </si>
  <si>
    <t>Papel bond 75g tamaño carta resma de papel carta x 500 hojas. El papel debe estar hecho principalmente de fibras de algodón, pelusa de algodón, fibra de cañamo, fibra de lino o una mezcla de éstas. El gramaje debe ser por lo menos de 75g/m2, la resistencia al rasgado en cualquier dirección (a máquina o transversal) debe ser de por lo menos 350 mn; debe tener una resistencia al doblez de por lo menos 2,42 en cualquier</t>
  </si>
  <si>
    <t>Resma</t>
  </si>
  <si>
    <t>Papel bond 75g tamaño oficio resma de papel oficio x 500 hojas. El papel debe estar hecho principalmente de fibras e algodón, pelusa de algodón, fibra de cañamo, fibra de lino o una mezcla de éstas. El gramaje debe ser por lo menos de 75g/m2, la resistencia al rasgado en cualquier dirección (a máquina o transversal) debe ser de por lo menos 350 mn; debe tener una resistencia al doblez de por lo menos 2,42 en cualquier dirección.</t>
  </si>
  <si>
    <t>Papel térmico referencia dt1000e</t>
  </si>
  <si>
    <t>Pegante en barra de 40 gramos</t>
  </si>
  <si>
    <t>Pilas alcalinas AA no recargables par Larga Duración</t>
  </si>
  <si>
    <t>Dos pilas</t>
  </si>
  <si>
    <t>Portaminas 0.7 mm</t>
  </si>
  <si>
    <t>Reglas plasticas de 30 cms</t>
  </si>
  <si>
    <t>Resaltador varios colores</t>
  </si>
  <si>
    <t>Sacaganchos para grapa</t>
  </si>
  <si>
    <t>Tajalápiz pequeño plástico, no se deteriora ni se oxida con el tiempo.</t>
  </si>
  <si>
    <t>Tijeras metálicas para oficina</t>
  </si>
  <si>
    <t>Tinta para almohadilla</t>
  </si>
  <si>
    <t>Tarjetas  en PVC para carnet, paquete x 500 unidades</t>
  </si>
  <si>
    <t>Paquete x 500 Unidades</t>
  </si>
  <si>
    <t>USB Memoria de 16 Gb: dispositivo de‌ almacenamiento portátil que utiliza memoria flash para guardar datos</t>
  </si>
  <si>
    <t xml:space="preserve">Notas adhesivas Post it de  3,8 x 5 cm </t>
  </si>
  <si>
    <t>Manecilla doble clip 1/2 pulgadas</t>
  </si>
  <si>
    <t>Caja x 12</t>
  </si>
  <si>
    <t>Cinta adhesiva mágica</t>
  </si>
  <si>
    <r>
      <rPr>
        <b/>
        <sz val="10"/>
        <rFont val="Arial"/>
        <family val="2"/>
      </rPr>
      <t>Aplicación del método PERT en la estimación de costos de proyectos</t>
    </r>
    <r>
      <rPr>
        <sz val="10"/>
        <rFont val="Arial"/>
        <family val="2"/>
      </rPr>
      <t xml:space="preserve">
El método PERT (Program Evaluation and Review Technique) se emplea para estimar parámetros de proyectos considerando la incertidumbre. Originalmente se utilizó para estimar duraciones de actividades, pero también puede aplicarse a la estimación de costos  . En lugar de dar un solo valor fijo, PERT utiliza tres estimaciones de costo – optimista, más probable y pesimista – para calcular un costo esperado. Esto permite incorporar distintos escenarios (mejor caso, caso esperado y peor caso) en la planificación del presupuesto de un proyecto  . A continuación, se detalla la aplicación de PERT en costos, incluyendo su fórmula, un ejemplo numérico y un análisis de sus ventajas, desventajas y ámbitos de uso.
1.⁠ ⁠Explicación del método PERT en costos
El método PERT en costos se basa en la estimación de tres puntos para cada actividad o componente de costo. Los tres valores considerados son:
	•	Costo optimista (CO): el menor costo posible si todo sale de la mejor manera (escenario mejor caso). Representa una situación muy favorable, poco probable que el costo baje de este valor  .
	•	Costo más probable (CM): la estimación de costo más realista según las condiciones esperadas. Es el valor que el equipo de proyecto considera como el escenario más probable dadas las circunstancias actuales  .
	•	Costo pesimista (CP): el mayor costo posible si todo saliera mal (escenario peor caso). Corresponde a una situación muy desfavorable, difícilmente el costo excederá este valor  .
Al usar estos tres puntos, PERT toma en cuenta la incertidumbre y riesgo asociados al proyecto. En lugar de trabajar con un solo número (que podría ser poco preciso), se obtiene un rango de costos posibles y un valor medio esperado. Esto conduce a estimaciones de costo más precisas y confiables, ya que incorporan escenarios favorables y adversos en el cálculo  . En otras palabras, la técnica de tres puntos ayuda a reflejar la variabilidad del proyecto y reduce el sesgo de optimismo o pesimismo que podría tener una única estimación  .
En PERT/costo, este concepto se aplica a cada actividad o elemento de costo del proyecto. Se calculan los tres estimados (CO, CM, CP) por actividad y con ellos un costo medio esperado para esa actividad. Luego, la suma de los costos esperados de todas las actividades resulta en el costo total esperado del proyecto  . De este modo, PERT proporciona tanto un costo esperado agregado como información sobre la posible variabilidad (al conocer los extremos optimista y pesimista).
2.⁠ ⁠Fórmula matemática y su interpretación
La fórmula clásica de PERT para obtener el costo esperado (valor medio) de una actividad es un promedio ponderado de las tres estimaciones de costo. En general se expresa así:
\[ Costo esperado = \frac{3 \times CO + CM + CP}{5} \tag{Fórmula PERT} \]
Donde CO es el costo optimista, CM el costo más probable y CP el costo pesimista. Esta fórmula asigna más peso al valor “más probable” (se multiplica por 3) y menor peso a los extremos optimista y pesimista. En esencia, se está suponiendo que el escenario más probable tiene mayor probabilidad de ocurrencia, por lo que influye más en la media, mientras que los escenarios extremos (muy bajo o muy alto costo) son menos probables pero igualmente se consideran.
La constante de división 5 proviene de sumar las ponderaciones asignadas (3 para el optimista, 1 para el probable, 1 para el pesimista). El resultado es un promedio ponderado que tiende hacia el valor más probable, pero incluye el impacto de posibles desviaciones representadas por los casos óptimo y pesimista  . De hecho, al aplicar esta fórmula se suele obtener un valor “más cercano a la realidad” que si se usara solo uno de los escenarios aislados  , ya que suaviza el efecto de incertidumbre considerando la mejor y peor situación.</t>
    </r>
  </si>
  <si>
    <t>DILIGENCIE EL NOMNRE DE LA EMPRESA 1</t>
  </si>
  <si>
    <t>DILIGENCIE EL NOMNRE DE LA EMPRESA 2</t>
  </si>
  <si>
    <t>DILIGENCIE EL NOMNRE DE LA EMPRESA 3</t>
  </si>
  <si>
    <t>PRESUPUESTO OFICIAL SEGÚN ANÁLISIS PERT PARA COSTOS</t>
  </si>
  <si>
    <t>MEDIA GEOMÉTRICA</t>
  </si>
  <si>
    <t>MENOR</t>
  </si>
  <si>
    <t>PRECIO UNITARIO PERT</t>
  </si>
  <si>
    <t xml:space="preserve">AUMENTO GENERAL IPC: </t>
  </si>
  <si>
    <t>DILIGENCIE EL PRECIO BASE. (Tenga en cuenta que no debe ser superior a un año)</t>
  </si>
  <si>
    <t>MES 1</t>
  </si>
  <si>
    <t>MES 2</t>
  </si>
  <si>
    <t>MES 3</t>
  </si>
  <si>
    <t>MES 4</t>
  </si>
  <si>
    <t>MES 5</t>
  </si>
  <si>
    <t>MES 6</t>
  </si>
  <si>
    <t>VALOR TOTAL IVA INCLUIDO</t>
  </si>
  <si>
    <t>AUMENTO IPC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</si>
</sst>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_-&quot;$&quot;\ * #,##0_-;\-&quot;$&quot;\ * #,##0_-;_-&quot;$&quot;\ * &quot;-&quot;??_-;_-@_-"/>
    <numFmt numFmtId="166" formatCode="0.0%"/>
    <numFmt numFmtId="167" formatCode="&quot;$&quot;\ #,##0.00"/>
    <numFmt numFmtId="168" formatCode="[$$-540A]#,##0"/>
    <numFmt numFmtId="169" formatCode="#,###"/>
    <numFmt numFmtId="170" formatCode="_(* #,##0_);_(* \(#,##0\);_(*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Narrow"/>
      <family val="2"/>
    </font>
    <font>
      <sz val="10"/>
      <color rgb="FF000000"/>
      <name val="Arial"/>
      <family val="2"/>
    </font>
    <font>
      <b/>
      <sz val="10"/>
      <name val="Arial"/>
      <family val="2"/>
    </font>
    <font>
      <i/>
      <sz val="10"/>
      <color theme="4"/>
      <name val="Arial Narrow"/>
      <family val="2"/>
    </font>
    <font>
      <sz val="10"/>
      <name val="Arial"/>
      <family val="2"/>
    </font>
    <font>
      <sz val="10"/>
      <name val="Arial"/>
      <family val="2"/>
    </font>
    <font>
      <b/>
      <sz val="10"/>
      <name val="Arial Narrow"/>
      <family val="2"/>
    </font>
    <font>
      <sz val="8"/>
      <name val="Arial"/>
      <family val="2"/>
    </font>
    <font>
      <sz val="10"/>
      <color theme="1"/>
      <name val="Arial"/>
      <family val="2"/>
    </font>
    <font>
      <b/>
      <sz val="10"/>
      <color rgb="FF000000"/>
      <name val="Arial"/>
      <family val="2"/>
    </font>
    <font>
      <sz val="10"/>
      <color theme="1"/>
      <name val="Arial Narrow"/>
      <family val="2"/>
    </font>
    <font>
      <sz val="10"/>
      <color rgb="FF000000"/>
      <name val="Arial Narrow"/>
      <family val="2"/>
    </font>
    <font>
      <b/>
      <sz val="10"/>
      <color rgb="FF000000"/>
      <name val="Arial Narrow"/>
      <family val="2"/>
    </font>
    <font>
      <b/>
      <sz val="10"/>
      <color theme="1"/>
      <name val="Arial Narrow"/>
      <family val="2"/>
    </font>
    <font>
      <i/>
      <sz val="10"/>
      <color theme="1"/>
      <name val="Arial Narrow"/>
      <family val="2"/>
    </font>
    <font>
      <b/>
      <sz val="10"/>
      <color rgb="FFFF0000"/>
      <name val="Arial Narrow"/>
      <family val="2"/>
    </font>
    <font>
      <sz val="9"/>
      <color rgb="FF000000"/>
      <name val="Arial"/>
      <family val="2"/>
    </font>
    <font>
      <sz val="10"/>
      <color theme="1"/>
      <name val="Aptos Narrow"/>
      <family val="2"/>
    </font>
    <font>
      <sz val="10"/>
      <name val="Aptos Narrow"/>
      <family val="2"/>
    </font>
    <font>
      <sz val="10"/>
      <color rgb="FF000000"/>
      <name val="Aptos Narrow"/>
      <family val="2"/>
    </font>
    <font>
      <b/>
      <sz val="10"/>
      <color theme="1"/>
      <name val="Aptos Narrow"/>
      <family val="2"/>
    </font>
    <font>
      <b/>
      <sz val="8"/>
      <color theme="1"/>
      <name val="Aptos Narrow"/>
      <family val="2"/>
    </font>
    <font>
      <b/>
      <sz val="10"/>
      <color rgb="FF000000"/>
      <name val="Aptos Narrow"/>
      <family val="2"/>
    </font>
    <font>
      <b/>
      <sz val="10"/>
      <name val="Aptos Narrow"/>
      <family val="2"/>
    </font>
    <font>
      <b/>
      <sz val="8"/>
      <name val="Aptos Narrow"/>
      <family val="2"/>
    </font>
    <font>
      <sz val="8"/>
      <color rgb="FF000000"/>
      <name val="Arial Nova"/>
      <family val="2"/>
    </font>
    <font>
      <b/>
      <sz val="9"/>
      <name val="Arial Nova"/>
      <family val="2"/>
    </font>
    <font>
      <sz val="9"/>
      <name val="Arial Nova"/>
      <family val="2"/>
    </font>
    <font>
      <b/>
      <sz val="8"/>
      <name val="Arial Nova"/>
      <family val="2"/>
    </font>
    <font>
      <sz val="8"/>
      <name val="Arial Nova"/>
      <family val="2"/>
    </font>
    <font>
      <sz val="8"/>
      <color rgb="FF000000"/>
      <name val="Arial"/>
      <family val="2"/>
    </font>
    <font>
      <b/>
      <sz val="7"/>
      <name val="Arial Nova"/>
      <family val="2"/>
    </font>
    <font>
      <u/>
      <sz val="10"/>
      <color theme="10"/>
      <name val="Arial"/>
      <family val="2"/>
    </font>
    <font>
      <u/>
      <sz val="10"/>
      <color theme="1"/>
      <name val="Arial"/>
      <family val="2"/>
    </font>
    <font>
      <sz val="12"/>
      <color theme="1"/>
      <name val="Arial"/>
      <family val="2"/>
    </font>
    <font>
      <sz val="10"/>
      <name val="Arial Nova"/>
      <family val="2"/>
    </font>
    <font>
      <b/>
      <sz val="8"/>
      <color rgb="FF0A0A0A"/>
      <name val="Arial Nova"/>
      <family val="2"/>
    </font>
    <font>
      <sz val="8"/>
      <color rgb="FF0A0A0A"/>
      <name val="Arial Nova"/>
      <family val="2"/>
    </font>
    <font>
      <sz val="9"/>
      <name val="Arial"/>
      <family val="2"/>
    </font>
    <font>
      <b/>
      <sz val="8"/>
      <name val="Arial"/>
      <family val="2"/>
    </font>
    <font>
      <b/>
      <sz val="9"/>
      <name val="Arial"/>
      <family val="2"/>
    </font>
    <font>
      <sz val="10"/>
      <color theme="1"/>
      <name val="Verdana"/>
      <family val="2"/>
    </font>
    <font>
      <sz val="10"/>
      <color theme="1"/>
      <name val="Aptos"/>
      <family val="2"/>
    </font>
    <font>
      <sz val="10"/>
      <name val="Aptos"/>
      <family val="2"/>
    </font>
    <font>
      <b/>
      <sz val="10"/>
      <color rgb="FF000000"/>
      <name val="Aptos"/>
      <family val="2"/>
    </font>
    <font>
      <b/>
      <sz val="10"/>
      <color theme="1"/>
      <name val="Aptos"/>
      <family val="2"/>
    </font>
    <font>
      <b/>
      <sz val="10"/>
      <name val="Aptos"/>
      <family val="2"/>
    </font>
    <font>
      <sz val="10"/>
      <color rgb="FF000000"/>
      <name val="Aptos"/>
      <family val="2"/>
    </font>
    <font>
      <sz val="11"/>
      <color rgb="FF000000"/>
      <name val="Aptos"/>
      <family val="2"/>
    </font>
    <font>
      <b/>
      <sz val="7"/>
      <color rgb="FF000000"/>
      <name val="Arial"/>
      <family val="2"/>
    </font>
    <font>
      <sz val="7"/>
      <name val="Arial"/>
      <family val="2"/>
    </font>
    <font>
      <b/>
      <sz val="8"/>
      <color rgb="FF000000"/>
      <name val="Arial"/>
      <family val="2"/>
    </font>
    <font>
      <sz val="11"/>
      <color rgb="FF242424"/>
      <name val="Inherit"/>
    </font>
    <font>
      <sz val="11"/>
      <color rgb="FF424242"/>
      <name val="Inherit"/>
    </font>
    <font>
      <sz val="10"/>
      <color theme="1"/>
      <name val="Arial Nova"/>
      <family val="2"/>
    </font>
    <font>
      <b/>
      <sz val="6"/>
      <color theme="1"/>
      <name val="Aptos"/>
      <family val="2"/>
    </font>
    <font>
      <b/>
      <sz val="7"/>
      <color theme="1"/>
      <name val="Arial Narrow"/>
      <family val="2"/>
    </font>
  </fonts>
  <fills count="2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rgb="FFFFFF00"/>
        <bgColor indexed="64"/>
      </patternFill>
    </fill>
    <fill>
      <patternFill patternType="solid">
        <fgColor theme="2"/>
        <bgColor indexed="64"/>
      </patternFill>
    </fill>
    <fill>
      <patternFill patternType="solid">
        <fgColor theme="2" tint="-9.9978637043366805E-2"/>
        <bgColor indexed="64"/>
      </patternFill>
    </fill>
    <fill>
      <patternFill patternType="solid">
        <fgColor rgb="FFE2EFDA"/>
        <bgColor rgb="FF000000"/>
      </patternFill>
    </fill>
    <fill>
      <patternFill patternType="solid">
        <fgColor rgb="FFFFFFFF"/>
        <bgColor rgb="FF000000"/>
      </patternFill>
    </fill>
    <fill>
      <patternFill patternType="solid">
        <fgColor rgb="FFEDEDED"/>
        <bgColor rgb="FF000000"/>
      </patternFill>
    </fill>
    <fill>
      <patternFill patternType="solid">
        <fgColor rgb="FFFFC000"/>
        <bgColor indexed="64"/>
      </patternFill>
    </fill>
    <fill>
      <patternFill patternType="solid">
        <fgColor theme="0"/>
        <bgColor rgb="FF000000"/>
      </patternFill>
    </fill>
    <fill>
      <patternFill patternType="solid">
        <fgColor theme="7" tint="0.79998168889431442"/>
        <bgColor rgb="FF000000"/>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5"/>
        <bgColor indexed="64"/>
      </patternFill>
    </fill>
    <fill>
      <patternFill patternType="solid">
        <fgColor theme="5" tint="0.59999389629810485"/>
        <bgColor indexed="64"/>
      </patternFill>
    </fill>
    <fill>
      <patternFill patternType="solid">
        <fgColor rgb="FFBDD7EE"/>
        <bgColor indexed="64"/>
      </patternFill>
    </fill>
    <fill>
      <patternFill patternType="solid">
        <fgColor rgb="FFBDD7F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auto="1"/>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rgb="FFBFBFBF"/>
      </left>
      <right style="medium">
        <color rgb="FFBFBFBF"/>
      </right>
      <top style="medium">
        <color rgb="FFBFBFBF"/>
      </top>
      <bottom/>
      <diagonal/>
    </border>
    <border>
      <left style="medium">
        <color rgb="FFBFBFBF"/>
      </left>
      <right style="medium">
        <color rgb="FFBFBFBF"/>
      </right>
      <top/>
      <bottom style="medium">
        <color rgb="FFBFBFBF"/>
      </bottom>
      <diagonal/>
    </border>
    <border>
      <left/>
      <right style="medium">
        <color rgb="FFBFBFBF"/>
      </right>
      <top style="medium">
        <color rgb="FFBFBFBF"/>
      </top>
      <bottom/>
      <diagonal/>
    </border>
    <border>
      <left/>
      <right style="medium">
        <color rgb="FFBFBFBF"/>
      </right>
      <top/>
      <bottom style="medium">
        <color rgb="FFBFBFBF"/>
      </bottom>
      <diagonal/>
    </border>
    <border>
      <left/>
      <right/>
      <top style="medium">
        <color indexed="64"/>
      </top>
      <bottom/>
      <diagonal/>
    </border>
    <border>
      <left style="medium">
        <color indexed="64"/>
      </left>
      <right/>
      <top style="medium">
        <color indexed="64"/>
      </top>
      <bottom/>
      <diagonal/>
    </border>
    <border>
      <left/>
      <right/>
      <top style="thin">
        <color indexed="64"/>
      </top>
      <bottom/>
      <diagonal/>
    </border>
  </borders>
  <cellStyleXfs count="18">
    <xf numFmtId="0" fontId="0" fillId="0" borderId="0"/>
    <xf numFmtId="164" fontId="4" fillId="0" borderId="0" applyFont="0" applyFill="0" applyBorder="0" applyAlignment="0" applyProtection="0"/>
    <xf numFmtId="9" fontId="10" fillId="0" borderId="0" applyFont="0" applyFill="0" applyBorder="0" applyAlignment="0" applyProtection="0"/>
    <xf numFmtId="0" fontId="3" fillId="0" borderId="0"/>
    <xf numFmtId="44" fontId="11"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38" fillId="0" borderId="0" applyNumberFormat="0" applyFill="0" applyBorder="0" applyAlignment="0" applyProtection="0"/>
    <xf numFmtId="49" fontId="47" fillId="0" borderId="0" applyFill="0" applyBorder="0" applyProtection="0">
      <alignment horizontal="left" vertical="center"/>
    </xf>
    <xf numFmtId="3" fontId="47" fillId="0" borderId="0" applyFill="0" applyBorder="0" applyProtection="0">
      <alignment horizontal="right" vertical="center"/>
    </xf>
  </cellStyleXfs>
  <cellXfs count="419">
    <xf numFmtId="0" fontId="0" fillId="0" borderId="0" xfId="0"/>
    <xf numFmtId="164" fontId="5" fillId="0" borderId="0" xfId="1" applyFont="1" applyFill="1" applyBorder="1" applyAlignment="1">
      <alignment horizontal="center" vertical="center" wrapText="1"/>
    </xf>
    <xf numFmtId="164" fontId="5" fillId="0" borderId="0" xfId="1" applyFont="1" applyBorder="1" applyAlignment="1">
      <alignment horizontal="center" vertical="center" wrapText="1"/>
    </xf>
    <xf numFmtId="0" fontId="5" fillId="0" borderId="0" xfId="0" applyFont="1" applyAlignment="1">
      <alignment wrapText="1"/>
    </xf>
    <xf numFmtId="0" fontId="5" fillId="2" borderId="0" xfId="0" applyFont="1" applyFill="1" applyAlignment="1">
      <alignment wrapText="1"/>
    </xf>
    <xf numFmtId="0" fontId="8" fillId="0" borderId="0" xfId="0" applyFont="1" applyAlignment="1">
      <alignment wrapText="1"/>
    </xf>
    <xf numFmtId="164" fontId="6" fillId="4" borderId="1" xfId="1" applyFont="1" applyFill="1" applyBorder="1" applyAlignment="1">
      <alignment horizontal="center" vertical="center" wrapText="1"/>
    </xf>
    <xf numFmtId="165" fontId="5" fillId="0" borderId="0" xfId="4" applyNumberFormat="1" applyFont="1" applyBorder="1" applyAlignment="1">
      <alignment wrapText="1"/>
    </xf>
    <xf numFmtId="1" fontId="5" fillId="0" borderId="0" xfId="1" applyNumberFormat="1" applyFont="1" applyFill="1" applyBorder="1" applyAlignment="1">
      <alignment horizontal="center" vertical="center" wrapText="1"/>
    </xf>
    <xf numFmtId="1" fontId="6" fillId="4" borderId="1" xfId="1" applyNumberFormat="1" applyFont="1" applyFill="1" applyBorder="1" applyAlignment="1">
      <alignment horizontal="center" vertical="center" wrapText="1"/>
    </xf>
    <xf numFmtId="164" fontId="6" fillId="5" borderId="1" xfId="1" applyFont="1" applyFill="1" applyBorder="1" applyAlignment="1">
      <alignment horizontal="center" vertical="center" wrapText="1"/>
    </xf>
    <xf numFmtId="165" fontId="9" fillId="5" borderId="3" xfId="4" applyNumberFormat="1" applyFont="1" applyFill="1" applyBorder="1" applyAlignment="1">
      <alignment horizontal="center" vertical="center" wrapText="1"/>
    </xf>
    <xf numFmtId="165" fontId="6" fillId="0" borderId="1" xfId="4" applyNumberFormat="1" applyFont="1" applyBorder="1" applyAlignment="1">
      <alignment horizontal="center" vertical="center" wrapText="1"/>
    </xf>
    <xf numFmtId="164" fontId="6" fillId="7" borderId="1" xfId="1" applyFont="1" applyFill="1" applyBorder="1" applyAlignment="1">
      <alignment horizontal="center" vertical="center" wrapText="1"/>
    </xf>
    <xf numFmtId="165" fontId="9" fillId="7" borderId="3" xfId="4" applyNumberFormat="1" applyFont="1" applyFill="1" applyBorder="1" applyAlignment="1">
      <alignment horizontal="center" vertical="center" wrapText="1"/>
    </xf>
    <xf numFmtId="165" fontId="9" fillId="5" borderId="9" xfId="4" applyNumberFormat="1" applyFont="1" applyFill="1" applyBorder="1" applyAlignment="1">
      <alignment horizontal="center" vertical="center" wrapText="1"/>
    </xf>
    <xf numFmtId="165" fontId="9" fillId="7" borderId="9" xfId="4" applyNumberFormat="1" applyFont="1" applyFill="1" applyBorder="1" applyAlignment="1">
      <alignment horizontal="center" vertical="center" wrapText="1"/>
    </xf>
    <xf numFmtId="165" fontId="12" fillId="6" borderId="14" xfId="4" applyNumberFormat="1" applyFont="1" applyFill="1" applyBorder="1" applyAlignment="1">
      <alignment horizontal="center" vertical="center" wrapText="1"/>
    </xf>
    <xf numFmtId="165" fontId="12" fillId="6" borderId="10" xfId="4" applyNumberFormat="1" applyFont="1" applyFill="1" applyBorder="1" applyAlignment="1">
      <alignment horizontal="center" vertical="center" wrapText="1"/>
    </xf>
    <xf numFmtId="0" fontId="7" fillId="0" borderId="0" xfId="0" applyFont="1" applyAlignment="1">
      <alignment vertical="center" wrapText="1"/>
    </xf>
    <xf numFmtId="0" fontId="16" fillId="0" borderId="0" xfId="0" applyFont="1"/>
    <xf numFmtId="0" fontId="17" fillId="0" borderId="0" xfId="0" applyFont="1" applyAlignment="1">
      <alignment vertical="center" wrapText="1"/>
    </xf>
    <xf numFmtId="0" fontId="12" fillId="0" borderId="0" xfId="0" applyFont="1" applyAlignment="1">
      <alignment wrapText="1"/>
    </xf>
    <xf numFmtId="1" fontId="9" fillId="0" borderId="1" xfId="4" applyNumberFormat="1" applyFont="1" applyFill="1" applyBorder="1" applyAlignment="1">
      <alignment horizontal="center" vertical="center" wrapText="1"/>
    </xf>
    <xf numFmtId="165" fontId="9" fillId="0" borderId="1" xfId="4" applyNumberFormat="1" applyFont="1" applyBorder="1" applyAlignment="1">
      <alignment vertical="center" wrapText="1"/>
    </xf>
    <xf numFmtId="0" fontId="14" fillId="0" borderId="1" xfId="0" applyFont="1" applyBorder="1" applyAlignment="1">
      <alignment horizontal="center" vertical="center" wrapText="1"/>
    </xf>
    <xf numFmtId="165" fontId="9" fillId="0" borderId="1" xfId="4" applyNumberFormat="1" applyFont="1" applyBorder="1" applyAlignment="1">
      <alignment horizontal="center" vertical="center" wrapText="1"/>
    </xf>
    <xf numFmtId="165" fontId="6" fillId="0" borderId="0" xfId="4" applyNumberFormat="1" applyFont="1" applyBorder="1" applyAlignment="1">
      <alignment horizontal="left" vertical="top" wrapText="1"/>
    </xf>
    <xf numFmtId="165" fontId="6" fillId="0" borderId="0" xfId="4" applyNumberFormat="1" applyFont="1" applyBorder="1" applyAlignment="1">
      <alignment wrapText="1"/>
    </xf>
    <xf numFmtId="1" fontId="9" fillId="0" borderId="8" xfId="4" applyNumberFormat="1" applyFont="1" applyFill="1" applyBorder="1" applyAlignment="1">
      <alignment horizontal="center" vertical="center" wrapText="1"/>
    </xf>
    <xf numFmtId="165" fontId="9" fillId="0" borderId="8" xfId="4" applyNumberFormat="1" applyFont="1" applyBorder="1" applyAlignment="1">
      <alignment vertical="center" wrapText="1"/>
    </xf>
    <xf numFmtId="0" fontId="14" fillId="0" borderId="8" xfId="0" applyFont="1" applyBorder="1" applyAlignment="1">
      <alignment horizontal="center" vertical="center" wrapText="1"/>
    </xf>
    <xf numFmtId="165" fontId="9" fillId="0" borderId="8" xfId="4" applyNumberFormat="1" applyFont="1" applyBorder="1" applyAlignment="1">
      <alignment horizontal="center" vertical="center" wrapText="1"/>
    </xf>
    <xf numFmtId="1" fontId="5" fillId="0" borderId="0" xfId="0" applyNumberFormat="1" applyFont="1" applyAlignment="1">
      <alignment horizontal="center" vertical="center" wrapText="1"/>
    </xf>
    <xf numFmtId="165" fontId="17" fillId="6" borderId="15" xfId="4" applyNumberFormat="1" applyFont="1" applyFill="1" applyBorder="1" applyAlignment="1">
      <alignment wrapText="1"/>
    </xf>
    <xf numFmtId="0" fontId="8" fillId="6" borderId="10" xfId="0" applyFont="1" applyFill="1" applyBorder="1" applyAlignment="1">
      <alignment horizontal="center"/>
    </xf>
    <xf numFmtId="165" fontId="12" fillId="0" borderId="0" xfId="4" applyNumberFormat="1" applyFont="1" applyFill="1" applyBorder="1" applyAlignment="1">
      <alignment horizontal="center" vertical="center" wrapText="1"/>
    </xf>
    <xf numFmtId="164" fontId="6" fillId="0" borderId="0" xfId="1"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wrapText="1"/>
    </xf>
    <xf numFmtId="165" fontId="6" fillId="0" borderId="0" xfId="4" applyNumberFormat="1" applyFont="1" applyBorder="1" applyAlignment="1">
      <alignment horizontal="left" vertical="center" wrapText="1"/>
    </xf>
    <xf numFmtId="165" fontId="5" fillId="0" borderId="0" xfId="4" applyNumberFormat="1" applyFont="1" applyBorder="1" applyAlignment="1">
      <alignment vertical="center" wrapText="1"/>
    </xf>
    <xf numFmtId="165" fontId="6" fillId="0" borderId="16" xfId="4" applyNumberFormat="1" applyFont="1" applyBorder="1" applyAlignment="1">
      <alignment horizontal="left" vertical="center" wrapText="1"/>
    </xf>
    <xf numFmtId="0" fontId="5"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7" xfId="0" applyFont="1" applyBorder="1" applyAlignment="1">
      <alignment horizontal="center" vertical="center" wrapText="1"/>
    </xf>
    <xf numFmtId="165" fontId="6" fillId="0" borderId="20" xfId="4" applyNumberFormat="1" applyFont="1" applyBorder="1" applyAlignment="1">
      <alignment horizontal="left" vertical="center" wrapText="1"/>
    </xf>
    <xf numFmtId="165" fontId="6" fillId="0" borderId="21" xfId="4" applyNumberFormat="1" applyFont="1" applyBorder="1" applyAlignment="1">
      <alignment horizontal="left" vertical="center" wrapText="1"/>
    </xf>
    <xf numFmtId="165" fontId="6" fillId="0" borderId="22" xfId="4" applyNumberFormat="1" applyFont="1" applyBorder="1" applyAlignment="1">
      <alignment horizontal="left" vertical="center" wrapText="1"/>
    </xf>
    <xf numFmtId="165" fontId="6" fillId="0" borderId="0" xfId="4" applyNumberFormat="1" applyFont="1" applyBorder="1" applyAlignment="1">
      <alignment vertical="center" wrapText="1"/>
    </xf>
    <xf numFmtId="165" fontId="5" fillId="0" borderId="0" xfId="0" applyNumberFormat="1" applyFont="1" applyAlignment="1">
      <alignment vertical="center" wrapText="1"/>
    </xf>
    <xf numFmtId="165" fontId="5" fillId="0" borderId="0" xfId="0" applyNumberFormat="1" applyFont="1" applyAlignment="1">
      <alignment wrapText="1"/>
    </xf>
    <xf numFmtId="0" fontId="6" fillId="0" borderId="21" xfId="4" applyNumberFormat="1" applyFont="1" applyBorder="1" applyAlignment="1">
      <alignment horizontal="left" vertical="center" wrapText="1"/>
    </xf>
    <xf numFmtId="42" fontId="5" fillId="0" borderId="0" xfId="0" applyNumberFormat="1" applyFont="1" applyAlignment="1">
      <alignment wrapText="1"/>
    </xf>
    <xf numFmtId="164" fontId="6" fillId="5" borderId="2" xfId="1" applyFont="1" applyFill="1" applyBorder="1" applyAlignment="1">
      <alignment vertical="center" wrapText="1"/>
    </xf>
    <xf numFmtId="17" fontId="6" fillId="7" borderId="1" xfId="1" applyNumberFormat="1" applyFont="1" applyFill="1" applyBorder="1" applyAlignment="1">
      <alignment horizontal="center" vertical="center" wrapText="1"/>
    </xf>
    <xf numFmtId="17" fontId="6" fillId="5" borderId="1" xfId="1" applyNumberFormat="1" applyFont="1" applyFill="1" applyBorder="1" applyAlignment="1">
      <alignment horizontal="center" vertical="center" wrapText="1"/>
    </xf>
    <xf numFmtId="166" fontId="6" fillId="7" borderId="1" xfId="2" applyNumberFormat="1" applyFont="1" applyFill="1" applyBorder="1" applyAlignment="1">
      <alignment horizontal="center" vertical="center" wrapText="1"/>
    </xf>
    <xf numFmtId="166" fontId="6" fillId="5" borderId="1" xfId="2" applyNumberFormat="1" applyFont="1" applyFill="1" applyBorder="1" applyAlignment="1">
      <alignment horizontal="center" vertical="center" wrapText="1"/>
    </xf>
    <xf numFmtId="10" fontId="6" fillId="7" borderId="1" xfId="2" applyNumberFormat="1" applyFont="1" applyFill="1" applyBorder="1" applyAlignment="1">
      <alignment horizontal="center" vertical="center" wrapText="1"/>
    </xf>
    <xf numFmtId="10" fontId="6" fillId="5" borderId="1" xfId="2" applyNumberFormat="1" applyFont="1" applyFill="1" applyBorder="1" applyAlignment="1">
      <alignment horizontal="center" vertical="center" wrapText="1"/>
    </xf>
    <xf numFmtId="0" fontId="12" fillId="0" borderId="1" xfId="0" applyFont="1" applyBorder="1" applyAlignment="1">
      <alignment horizontal="center" vertical="center" wrapText="1"/>
    </xf>
    <xf numFmtId="165" fontId="6" fillId="0" borderId="1" xfId="4" applyNumberFormat="1" applyFont="1" applyBorder="1" applyAlignment="1">
      <alignment horizontal="left" vertical="center" wrapText="1"/>
    </xf>
    <xf numFmtId="166" fontId="15" fillId="0" borderId="10" xfId="2" applyNumberFormat="1" applyFont="1" applyBorder="1" applyAlignment="1">
      <alignment horizontal="center" vertical="center" wrapText="1"/>
    </xf>
    <xf numFmtId="0" fontId="7" fillId="0" borderId="10" xfId="0" applyFont="1" applyBorder="1" applyAlignment="1">
      <alignment vertical="center" wrapText="1"/>
    </xf>
    <xf numFmtId="0" fontId="8" fillId="0" borderId="10" xfId="0" applyFont="1" applyBorder="1" applyAlignment="1">
      <alignment horizontal="center" vertical="center" wrapText="1"/>
    </xf>
    <xf numFmtId="165" fontId="12" fillId="6" borderId="23" xfId="4" applyNumberFormat="1" applyFont="1" applyFill="1" applyBorder="1" applyAlignment="1">
      <alignment horizontal="center" vertical="center" wrapText="1"/>
    </xf>
    <xf numFmtId="165" fontId="6" fillId="0" borderId="8" xfId="4" applyNumberFormat="1" applyFont="1" applyBorder="1" applyAlignment="1">
      <alignment horizontal="left" vertical="center" wrapText="1"/>
    </xf>
    <xf numFmtId="165" fontId="6" fillId="0" borderId="8" xfId="4" applyNumberFormat="1" applyFont="1" applyBorder="1" applyAlignment="1">
      <alignment horizontal="center" vertical="center" wrapText="1"/>
    </xf>
    <xf numFmtId="165" fontId="6" fillId="0" borderId="3" xfId="4" applyNumberFormat="1" applyFont="1" applyBorder="1" applyAlignment="1">
      <alignment horizontal="center" vertical="center" wrapText="1"/>
    </xf>
    <xf numFmtId="165" fontId="6" fillId="0" borderId="3" xfId="4" applyNumberFormat="1" applyFont="1" applyBorder="1" applyAlignment="1">
      <alignment horizontal="left" vertical="center" wrapText="1"/>
    </xf>
    <xf numFmtId="0" fontId="12" fillId="0" borderId="10" xfId="0" applyFont="1" applyBorder="1" applyAlignment="1">
      <alignment horizontal="center" vertical="center" wrapText="1"/>
    </xf>
    <xf numFmtId="0" fontId="6" fillId="0" borderId="0" xfId="0" applyFont="1" applyAlignment="1">
      <alignment wrapText="1"/>
    </xf>
    <xf numFmtId="42" fontId="6" fillId="0" borderId="0" xfId="0" applyNumberFormat="1" applyFont="1" applyAlignment="1">
      <alignment wrapText="1"/>
    </xf>
    <xf numFmtId="0" fontId="6" fillId="2" borderId="0" xfId="0" applyFont="1" applyFill="1" applyAlignment="1">
      <alignment wrapText="1"/>
    </xf>
    <xf numFmtId="164" fontId="12" fillId="4" borderId="1" xfId="1" applyFont="1" applyFill="1" applyBorder="1" applyAlignment="1">
      <alignment horizontal="center" vertical="center" wrapText="1"/>
    </xf>
    <xf numFmtId="0" fontId="16" fillId="0" borderId="0" xfId="0" applyFont="1" applyAlignment="1">
      <alignment vertical="center" wrapText="1"/>
    </xf>
    <xf numFmtId="0" fontId="16" fillId="0" borderId="0" xfId="0" applyFont="1" applyAlignment="1">
      <alignment wrapText="1"/>
    </xf>
    <xf numFmtId="165" fontId="16" fillId="0" borderId="0" xfId="0" applyNumberFormat="1" applyFont="1" applyAlignment="1">
      <alignment vertical="center" wrapText="1"/>
    </xf>
    <xf numFmtId="164" fontId="19" fillId="4" borderId="1" xfId="1" applyFont="1" applyFill="1" applyBorder="1" applyAlignment="1">
      <alignment horizontal="center" vertical="center" wrapText="1"/>
    </xf>
    <xf numFmtId="0" fontId="19" fillId="0" borderId="0" xfId="0" applyFont="1" applyAlignment="1">
      <alignment horizontal="center" vertical="center" wrapText="1"/>
    </xf>
    <xf numFmtId="165" fontId="16" fillId="2" borderId="0" xfId="4" applyNumberFormat="1" applyFont="1" applyFill="1" applyBorder="1" applyAlignment="1">
      <alignment horizontal="center" vertical="center" wrapText="1"/>
    </xf>
    <xf numFmtId="9" fontId="16" fillId="2" borderId="0" xfId="2" applyFont="1" applyFill="1" applyBorder="1" applyAlignment="1">
      <alignment horizontal="center" vertical="center" wrapText="1"/>
    </xf>
    <xf numFmtId="165" fontId="16" fillId="0" borderId="0" xfId="4" applyNumberFormat="1" applyFont="1" applyFill="1" applyBorder="1" applyAlignment="1">
      <alignment horizontal="center" vertical="center" wrapText="1"/>
    </xf>
    <xf numFmtId="165" fontId="19" fillId="6" borderId="10" xfId="4" applyNumberFormat="1" applyFont="1" applyFill="1" applyBorder="1" applyAlignment="1">
      <alignment horizontal="center" vertical="center" wrapText="1"/>
    </xf>
    <xf numFmtId="165" fontId="19" fillId="0" borderId="0" xfId="4" applyNumberFormat="1" applyFont="1" applyBorder="1" applyAlignment="1">
      <alignment wrapText="1"/>
    </xf>
    <xf numFmtId="164" fontId="16" fillId="0" borderId="0" xfId="1" applyFont="1" applyBorder="1" applyAlignment="1">
      <alignment horizontal="center" vertical="center" wrapText="1"/>
    </xf>
    <xf numFmtId="164" fontId="19" fillId="0" borderId="0" xfId="1" applyFont="1" applyFill="1" applyBorder="1" applyAlignment="1">
      <alignment horizontal="center" vertical="center" wrapText="1"/>
    </xf>
    <xf numFmtId="164" fontId="19" fillId="5" borderId="1" xfId="1" applyFont="1" applyFill="1" applyBorder="1" applyAlignment="1">
      <alignment horizontal="center" vertical="center" wrapText="1"/>
    </xf>
    <xf numFmtId="164" fontId="19" fillId="7" borderId="1" xfId="1" applyFont="1" applyFill="1" applyBorder="1" applyAlignment="1">
      <alignment horizontal="center" vertical="center" wrapText="1"/>
    </xf>
    <xf numFmtId="165" fontId="19" fillId="6" borderId="14" xfId="4" applyNumberFormat="1" applyFont="1" applyFill="1" applyBorder="1" applyAlignment="1">
      <alignment horizontal="center" vertical="center" wrapText="1"/>
    </xf>
    <xf numFmtId="164" fontId="16" fillId="0" borderId="0" xfId="1" applyFont="1" applyFill="1" applyBorder="1" applyAlignment="1">
      <alignment horizontal="center" vertical="center" wrapText="1"/>
    </xf>
    <xf numFmtId="1" fontId="16" fillId="0" borderId="0" xfId="1" applyNumberFormat="1" applyFont="1" applyFill="1" applyBorder="1" applyAlignment="1">
      <alignment horizontal="center" vertical="center" wrapText="1"/>
    </xf>
    <xf numFmtId="1" fontId="19" fillId="4" borderId="1" xfId="1" applyNumberFormat="1" applyFont="1" applyFill="1" applyBorder="1" applyAlignment="1">
      <alignment horizontal="center" vertical="center" wrapText="1"/>
    </xf>
    <xf numFmtId="1" fontId="16" fillId="0" borderId="0" xfId="0" applyNumberFormat="1" applyFont="1" applyAlignment="1">
      <alignment horizontal="center" vertical="center" wrapText="1"/>
    </xf>
    <xf numFmtId="164" fontId="16" fillId="0" borderId="0" xfId="1" applyFont="1" applyBorder="1" applyAlignment="1">
      <alignment wrapText="1"/>
    </xf>
    <xf numFmtId="1" fontId="20" fillId="10" borderId="1" xfId="4" applyNumberFormat="1" applyFont="1" applyFill="1" applyBorder="1" applyAlignment="1">
      <alignment horizontal="center" vertical="center" wrapText="1"/>
    </xf>
    <xf numFmtId="165" fontId="20" fillId="10" borderId="3" xfId="4" applyNumberFormat="1" applyFont="1" applyFill="1" applyBorder="1" applyAlignment="1">
      <alignment horizontal="center" vertical="center" wrapText="1"/>
    </xf>
    <xf numFmtId="165" fontId="20" fillId="10" borderId="0" xfId="4" applyNumberFormat="1" applyFont="1" applyFill="1" applyBorder="1" applyAlignment="1">
      <alignment horizontal="center" vertical="center" wrapText="1"/>
    </xf>
    <xf numFmtId="165" fontId="20" fillId="10" borderId="1" xfId="4" applyNumberFormat="1" applyFont="1" applyFill="1" applyBorder="1" applyAlignment="1">
      <alignment horizontal="center" vertical="center" wrapText="1"/>
    </xf>
    <xf numFmtId="9" fontId="20" fillId="10" borderId="1" xfId="2" applyFont="1" applyFill="1" applyBorder="1" applyAlignment="1">
      <alignment horizontal="center" vertical="center" wrapText="1"/>
    </xf>
    <xf numFmtId="165" fontId="16" fillId="10" borderId="1" xfId="4" applyNumberFormat="1" applyFont="1" applyFill="1" applyBorder="1" applyAlignment="1">
      <alignment horizontal="center" vertical="center" wrapText="1"/>
    </xf>
    <xf numFmtId="10" fontId="16" fillId="10" borderId="1" xfId="2" applyNumberFormat="1" applyFont="1" applyFill="1" applyBorder="1" applyAlignment="1">
      <alignment horizontal="center" vertical="center" wrapText="1"/>
    </xf>
    <xf numFmtId="165" fontId="6" fillId="0" borderId="0" xfId="4" applyNumberFormat="1" applyFont="1" applyFill="1" applyBorder="1" applyAlignment="1">
      <alignment wrapText="1"/>
    </xf>
    <xf numFmtId="0" fontId="6" fillId="10" borderId="7" xfId="0" applyFont="1" applyFill="1" applyBorder="1" applyAlignment="1">
      <alignment horizontal="center" vertical="center" wrapText="1"/>
    </xf>
    <xf numFmtId="0" fontId="16" fillId="10" borderId="2" xfId="0" applyFont="1" applyFill="1" applyBorder="1" applyAlignment="1">
      <alignment vertical="center" wrapText="1"/>
    </xf>
    <xf numFmtId="0" fontId="16" fillId="10" borderId="5" xfId="0" applyFont="1" applyFill="1" applyBorder="1" applyAlignment="1">
      <alignment vertical="center" wrapText="1"/>
    </xf>
    <xf numFmtId="164" fontId="12" fillId="4" borderId="8" xfId="1" applyFont="1" applyFill="1" applyBorder="1" applyAlignment="1">
      <alignment horizontal="center" vertical="center" wrapText="1"/>
    </xf>
    <xf numFmtId="1" fontId="12" fillId="6" borderId="19" xfId="0" applyNumberFormat="1" applyFont="1" applyFill="1" applyBorder="1" applyAlignment="1">
      <alignment horizontal="center"/>
    </xf>
    <xf numFmtId="0" fontId="22" fillId="0" borderId="1" xfId="0" applyFont="1" applyBorder="1" applyAlignment="1">
      <alignment horizontal="center" vertical="center"/>
    </xf>
    <xf numFmtId="164" fontId="12" fillId="3" borderId="6" xfId="1" applyFont="1" applyFill="1" applyBorder="1" applyAlignment="1">
      <alignment horizontal="center" vertical="center" wrapText="1"/>
    </xf>
    <xf numFmtId="165" fontId="20" fillId="11" borderId="3" xfId="4" applyNumberFormat="1" applyFont="1" applyFill="1" applyBorder="1" applyAlignment="1">
      <alignment horizontal="center" vertical="center" wrapText="1"/>
    </xf>
    <xf numFmtId="0" fontId="18" fillId="0" borderId="0" xfId="0" applyFont="1" applyAlignment="1">
      <alignment horizontal="center" vertical="center" wrapText="1"/>
    </xf>
    <xf numFmtId="9" fontId="6" fillId="10" borderId="4" xfId="0" applyNumberFormat="1" applyFont="1" applyFill="1" applyBorder="1" applyAlignment="1">
      <alignment horizontal="center" vertical="center" wrapText="1"/>
    </xf>
    <xf numFmtId="164" fontId="12" fillId="11" borderId="1" xfId="1" applyFont="1" applyFill="1" applyBorder="1" applyAlignment="1">
      <alignment horizontal="center" vertical="center" wrapText="1"/>
    </xf>
    <xf numFmtId="164" fontId="19" fillId="11" borderId="1" xfId="1" applyFont="1" applyFill="1" applyBorder="1" applyAlignment="1">
      <alignment horizontal="center" vertical="center" wrapText="1"/>
    </xf>
    <xf numFmtId="165" fontId="20" fillId="11" borderId="1" xfId="4" applyNumberFormat="1" applyFont="1" applyFill="1" applyBorder="1" applyAlignment="1">
      <alignment horizontal="center" vertical="center" wrapText="1"/>
    </xf>
    <xf numFmtId="0" fontId="19" fillId="9" borderId="1" xfId="0" applyFont="1" applyFill="1" applyBorder="1" applyAlignment="1">
      <alignment horizontal="center" vertical="center" wrapText="1"/>
    </xf>
    <xf numFmtId="165" fontId="19" fillId="6" borderId="1" xfId="4" applyNumberFormat="1" applyFont="1" applyFill="1" applyBorder="1" applyAlignment="1">
      <alignment horizontal="center" vertical="center" wrapText="1"/>
    </xf>
    <xf numFmtId="167" fontId="20" fillId="2" borderId="1" xfId="2" applyNumberFormat="1" applyFont="1" applyFill="1" applyBorder="1" applyAlignment="1">
      <alignment horizontal="center" vertical="center" wrapText="1"/>
    </xf>
    <xf numFmtId="167" fontId="20" fillId="11" borderId="1" xfId="2" applyNumberFormat="1" applyFont="1" applyFill="1" applyBorder="1" applyAlignment="1">
      <alignment horizontal="center" vertical="center" wrapText="1"/>
    </xf>
    <xf numFmtId="165" fontId="19" fillId="4" borderId="14" xfId="4" applyNumberFormat="1" applyFont="1" applyFill="1" applyBorder="1" applyAlignment="1">
      <alignment horizontal="center" vertical="center" wrapText="1"/>
    </xf>
    <xf numFmtId="164" fontId="27" fillId="7" borderId="1" xfId="1" applyFont="1" applyFill="1" applyBorder="1" applyAlignment="1">
      <alignment horizontal="center" vertical="center" wrapText="1"/>
    </xf>
    <xf numFmtId="165" fontId="17" fillId="6" borderId="28" xfId="4" applyNumberFormat="1" applyFont="1" applyFill="1" applyBorder="1" applyAlignment="1">
      <alignment wrapText="1"/>
    </xf>
    <xf numFmtId="165" fontId="19" fillId="6" borderId="32" xfId="4" applyNumberFormat="1" applyFont="1" applyFill="1" applyBorder="1" applyAlignment="1">
      <alignment horizontal="center" vertical="center" wrapText="1"/>
    </xf>
    <xf numFmtId="165" fontId="20" fillId="2" borderId="0" xfId="4" applyNumberFormat="1" applyFont="1" applyFill="1" applyBorder="1" applyAlignment="1">
      <alignment horizontal="center" vertical="center" wrapText="1"/>
    </xf>
    <xf numFmtId="165" fontId="19" fillId="2" borderId="0" xfId="4" applyNumberFormat="1" applyFont="1" applyFill="1" applyBorder="1" applyAlignment="1">
      <alignment horizontal="center" vertical="center" wrapText="1"/>
    </xf>
    <xf numFmtId="0" fontId="16" fillId="2" borderId="0" xfId="0" applyFont="1" applyFill="1" applyAlignment="1">
      <alignment vertical="center" wrapText="1"/>
    </xf>
    <xf numFmtId="167" fontId="21" fillId="13" borderId="0" xfId="0" applyNumberFormat="1" applyFont="1" applyFill="1" applyAlignment="1">
      <alignment vertical="center" wrapText="1"/>
    </xf>
    <xf numFmtId="164" fontId="26" fillId="12" borderId="1" xfId="1" applyFont="1" applyFill="1" applyBorder="1" applyAlignment="1">
      <alignment horizontal="center" vertical="center" wrapText="1"/>
    </xf>
    <xf numFmtId="164" fontId="26" fillId="7" borderId="1" xfId="1" applyFont="1" applyFill="1" applyBorder="1" applyAlignment="1">
      <alignment horizontal="center" vertical="center" wrapText="1"/>
    </xf>
    <xf numFmtId="164" fontId="26" fillId="5" borderId="1" xfId="1" applyFont="1" applyFill="1" applyBorder="1" applyAlignment="1">
      <alignment horizontal="center" vertical="center" wrapText="1"/>
    </xf>
    <xf numFmtId="164" fontId="12" fillId="0" borderId="6" xfId="1" applyFont="1" applyFill="1" applyBorder="1" applyAlignment="1">
      <alignment horizontal="center" vertical="center" wrapText="1"/>
    </xf>
    <xf numFmtId="1" fontId="19" fillId="0" borderId="1" xfId="1" applyNumberFormat="1" applyFont="1" applyFill="1" applyBorder="1" applyAlignment="1">
      <alignment horizontal="center" vertical="center" wrapText="1"/>
    </xf>
    <xf numFmtId="164" fontId="12" fillId="0" borderId="1" xfId="1" applyFont="1" applyFill="1" applyBorder="1" applyAlignment="1">
      <alignment horizontal="center" vertical="center" wrapText="1"/>
    </xf>
    <xf numFmtId="164" fontId="12" fillId="0" borderId="8" xfId="1" applyFont="1" applyFill="1" applyBorder="1" applyAlignment="1">
      <alignment horizontal="center" vertical="center" wrapText="1"/>
    </xf>
    <xf numFmtId="9" fontId="12" fillId="0" borderId="1" xfId="2" applyFont="1" applyFill="1" applyBorder="1" applyAlignment="1">
      <alignment horizontal="center" vertical="center" wrapText="1"/>
    </xf>
    <xf numFmtId="0" fontId="24" fillId="0" borderId="29" xfId="0" applyFont="1" applyBorder="1" applyAlignment="1">
      <alignment horizontal="center" vertical="center" wrapText="1"/>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9" fontId="24" fillId="0" borderId="1" xfId="2" applyFont="1" applyFill="1" applyBorder="1" applyAlignment="1">
      <alignment horizontal="center" vertical="center" wrapText="1"/>
    </xf>
    <xf numFmtId="1" fontId="25" fillId="0" borderId="29" xfId="0" applyNumberFormat="1" applyFont="1" applyBorder="1" applyAlignment="1">
      <alignment horizontal="center" vertical="center" shrinkToFit="1"/>
    </xf>
    <xf numFmtId="1" fontId="25" fillId="0" borderId="30" xfId="0" applyNumberFormat="1" applyFont="1" applyBorder="1" applyAlignment="1">
      <alignment horizontal="center" vertical="center" shrinkToFit="1"/>
    </xf>
    <xf numFmtId="0" fontId="24" fillId="0" borderId="7" xfId="0" applyFont="1" applyBorder="1" applyAlignment="1">
      <alignment horizontal="center" vertical="center" wrapText="1"/>
    </xf>
    <xf numFmtId="9" fontId="24" fillId="0" borderId="7" xfId="2" applyFont="1" applyFill="1" applyBorder="1" applyAlignment="1">
      <alignment horizontal="center" vertical="center" wrapText="1"/>
    </xf>
    <xf numFmtId="0" fontId="23" fillId="0" borderId="0" xfId="0" applyFont="1" applyAlignment="1">
      <alignment vertical="center" wrapText="1"/>
    </xf>
    <xf numFmtId="0" fontId="24" fillId="0" borderId="0" xfId="0" applyFont="1"/>
    <xf numFmtId="0" fontId="28" fillId="0" borderId="0" xfId="0" applyFont="1" applyAlignment="1">
      <alignment horizontal="center" vertical="center" wrapText="1"/>
    </xf>
    <xf numFmtId="1" fontId="23" fillId="0" borderId="0" xfId="1" applyNumberFormat="1" applyFont="1" applyFill="1" applyBorder="1" applyAlignment="1">
      <alignment horizontal="center" vertical="center" wrapText="1"/>
    </xf>
    <xf numFmtId="164" fontId="24" fillId="0" borderId="0" xfId="1" applyFont="1" applyFill="1" applyBorder="1" applyAlignment="1">
      <alignment horizontal="center" vertical="center" wrapText="1"/>
    </xf>
    <xf numFmtId="0" fontId="23" fillId="0" borderId="0" xfId="0" applyFont="1"/>
    <xf numFmtId="164" fontId="29" fillId="0" borderId="6" xfId="1" applyFont="1" applyFill="1" applyBorder="1" applyAlignment="1">
      <alignment horizontal="center" vertical="center" wrapText="1"/>
    </xf>
    <xf numFmtId="1" fontId="26" fillId="0" borderId="1" xfId="1" applyNumberFormat="1" applyFont="1" applyFill="1" applyBorder="1" applyAlignment="1">
      <alignment horizontal="center" vertical="center" wrapText="1"/>
    </xf>
    <xf numFmtId="164" fontId="29" fillId="0" borderId="1" xfId="1" applyFont="1" applyFill="1" applyBorder="1" applyAlignment="1">
      <alignment horizontal="center" vertical="center" wrapText="1"/>
    </xf>
    <xf numFmtId="164" fontId="29" fillId="0" borderId="8" xfId="1" applyFont="1" applyFill="1" applyBorder="1" applyAlignment="1">
      <alignment horizontal="center" vertical="center" wrapText="1"/>
    </xf>
    <xf numFmtId="0" fontId="25" fillId="15" borderId="1" xfId="0" applyFont="1" applyFill="1" applyBorder="1" applyAlignment="1">
      <alignment horizontal="center" vertical="center" wrapText="1"/>
    </xf>
    <xf numFmtId="6" fontId="24" fillId="0" borderId="1" xfId="0" applyNumberFormat="1" applyFont="1" applyBorder="1" applyAlignment="1">
      <alignment horizontal="center" vertical="center"/>
    </xf>
    <xf numFmtId="1" fontId="29" fillId="6" borderId="19" xfId="0" applyNumberFormat="1" applyFont="1" applyFill="1" applyBorder="1" applyAlignment="1">
      <alignment horizontal="center"/>
    </xf>
    <xf numFmtId="165" fontId="25" fillId="6" borderId="28" xfId="4" applyNumberFormat="1" applyFont="1" applyFill="1" applyBorder="1" applyAlignment="1">
      <alignment wrapText="1"/>
    </xf>
    <xf numFmtId="1" fontId="23" fillId="0" borderId="0" xfId="0" applyNumberFormat="1" applyFont="1" applyAlignment="1">
      <alignment horizontal="center" vertical="center" wrapText="1"/>
    </xf>
    <xf numFmtId="0" fontId="24" fillId="0" borderId="0" xfId="0" applyFont="1" applyAlignment="1">
      <alignment wrapText="1"/>
    </xf>
    <xf numFmtId="164" fontId="23" fillId="0" borderId="0" xfId="1" applyFont="1" applyBorder="1" applyAlignment="1">
      <alignment horizontal="center" vertical="center" wrapText="1"/>
    </xf>
    <xf numFmtId="0" fontId="23" fillId="0" borderId="0" xfId="0" applyFont="1" applyAlignment="1">
      <alignment wrapText="1"/>
    </xf>
    <xf numFmtId="42" fontId="24" fillId="0" borderId="0" xfId="0" applyNumberFormat="1" applyFont="1" applyAlignment="1">
      <alignment wrapText="1"/>
    </xf>
    <xf numFmtId="0" fontId="24" fillId="2" borderId="0" xfId="0" applyFont="1" applyFill="1" applyAlignment="1">
      <alignment wrapText="1"/>
    </xf>
    <xf numFmtId="0" fontId="28" fillId="14" borderId="1" xfId="0" applyFont="1" applyFill="1" applyBorder="1" applyAlignment="1">
      <alignment horizontal="center" vertical="center" wrapText="1"/>
    </xf>
    <xf numFmtId="9" fontId="25" fillId="15" borderId="1" xfId="2" applyFont="1" applyFill="1" applyBorder="1" applyAlignment="1">
      <alignment horizontal="center" vertical="center" wrapText="1"/>
    </xf>
    <xf numFmtId="165" fontId="25" fillId="16" borderId="1" xfId="0" applyNumberFormat="1" applyFont="1" applyFill="1" applyBorder="1" applyAlignment="1">
      <alignment horizontal="center" vertical="center" wrapText="1"/>
    </xf>
    <xf numFmtId="165" fontId="24" fillId="0" borderId="1" xfId="0" applyNumberFormat="1" applyFont="1" applyBorder="1" applyAlignment="1">
      <alignment horizontal="center" vertical="center"/>
    </xf>
    <xf numFmtId="44" fontId="24" fillId="0" borderId="0" xfId="4" applyFont="1"/>
    <xf numFmtId="164" fontId="30" fillId="0" borderId="1" xfId="1" applyFont="1" applyFill="1" applyBorder="1" applyAlignment="1">
      <alignment horizontal="center" vertical="center" wrapText="1"/>
    </xf>
    <xf numFmtId="9" fontId="30" fillId="0" borderId="1" xfId="2" applyFont="1" applyFill="1" applyBorder="1" applyAlignment="1">
      <alignment horizontal="center" vertical="center" wrapText="1"/>
    </xf>
    <xf numFmtId="44" fontId="0" fillId="0" borderId="0" xfId="4" applyFont="1"/>
    <xf numFmtId="165" fontId="0" fillId="0" borderId="0" xfId="4" applyNumberFormat="1" applyFont="1"/>
    <xf numFmtId="0" fontId="23" fillId="0" borderId="3" xfId="0" applyFont="1" applyBorder="1" applyAlignment="1">
      <alignment vertical="center" wrapText="1"/>
    </xf>
    <xf numFmtId="165" fontId="20" fillId="0" borderId="3" xfId="4" applyNumberFormat="1" applyFont="1" applyFill="1" applyBorder="1" applyAlignment="1">
      <alignment horizontal="center" vertical="center" wrapText="1"/>
    </xf>
    <xf numFmtId="167" fontId="20" fillId="0" borderId="1" xfId="2" applyNumberFormat="1" applyFont="1" applyFill="1" applyBorder="1" applyAlignment="1">
      <alignment horizontal="center" vertical="center" wrapText="1"/>
    </xf>
    <xf numFmtId="165" fontId="20" fillId="17" borderId="3" xfId="4" applyNumberFormat="1" applyFont="1" applyFill="1" applyBorder="1" applyAlignment="1">
      <alignment horizontal="center" vertical="center" wrapText="1"/>
    </xf>
    <xf numFmtId="165" fontId="19" fillId="6" borderId="0" xfId="4" applyNumberFormat="1" applyFont="1" applyFill="1" applyBorder="1" applyAlignment="1">
      <alignment horizontal="center" vertical="center" wrapText="1"/>
    </xf>
    <xf numFmtId="165" fontId="20" fillId="2" borderId="3" xfId="4" applyNumberFormat="1" applyFont="1" applyFill="1" applyBorder="1" applyAlignment="1">
      <alignment horizontal="center" vertical="center" wrapText="1"/>
    </xf>
    <xf numFmtId="10" fontId="20" fillId="10" borderId="1" xfId="2" applyNumberFormat="1" applyFont="1" applyFill="1" applyBorder="1" applyAlignment="1">
      <alignment horizontal="center" vertical="center" wrapText="1"/>
    </xf>
    <xf numFmtId="164" fontId="19" fillId="2" borderId="0" xfId="1" applyFont="1" applyFill="1" applyAlignment="1">
      <alignment horizontal="center" vertical="center" wrapText="1"/>
    </xf>
    <xf numFmtId="0" fontId="25" fillId="0" borderId="3" xfId="0" applyFont="1" applyBorder="1" applyAlignment="1">
      <alignment horizontal="center"/>
    </xf>
    <xf numFmtId="2" fontId="16" fillId="0" borderId="0" xfId="0" applyNumberFormat="1" applyFont="1" applyAlignment="1">
      <alignment vertical="center" wrapText="1"/>
    </xf>
    <xf numFmtId="1" fontId="19" fillId="2" borderId="1" xfId="1" applyNumberFormat="1" applyFont="1" applyFill="1" applyBorder="1" applyAlignment="1">
      <alignment horizontal="center" vertical="center" wrapText="1"/>
    </xf>
    <xf numFmtId="164" fontId="12" fillId="2" borderId="1" xfId="1" applyFont="1" applyFill="1" applyBorder="1" applyAlignment="1">
      <alignment horizontal="center" vertical="center" wrapText="1"/>
    </xf>
    <xf numFmtId="0" fontId="0" fillId="2" borderId="0" xfId="0" applyFill="1"/>
    <xf numFmtId="0" fontId="24" fillId="2" borderId="1" xfId="0" applyFont="1" applyFill="1" applyBorder="1" applyAlignment="1">
      <alignment horizontal="center" vertical="center" wrapText="1"/>
    </xf>
    <xf numFmtId="0" fontId="24" fillId="2" borderId="1" xfId="0" applyFont="1" applyFill="1" applyBorder="1" applyAlignment="1">
      <alignment horizontal="left" vertical="center" wrapText="1"/>
    </xf>
    <xf numFmtId="0" fontId="25" fillId="18" borderId="1" xfId="0" applyFont="1" applyFill="1" applyBorder="1" applyAlignment="1">
      <alignment horizontal="center"/>
    </xf>
    <xf numFmtId="0" fontId="31" fillId="2" borderId="1" xfId="0" applyFont="1" applyFill="1" applyBorder="1" applyAlignment="1">
      <alignment horizontal="center" vertical="center" wrapText="1"/>
    </xf>
    <xf numFmtId="0" fontId="25" fillId="2" borderId="1" xfId="0" applyFont="1" applyFill="1" applyBorder="1" applyAlignment="1">
      <alignment horizontal="center"/>
    </xf>
    <xf numFmtId="0" fontId="25" fillId="19" borderId="1" xfId="0" applyFont="1" applyFill="1" applyBorder="1" applyAlignment="1">
      <alignment horizontal="center"/>
    </xf>
    <xf numFmtId="0" fontId="25" fillId="19" borderId="3" xfId="0" applyFont="1" applyFill="1" applyBorder="1" applyAlignment="1">
      <alignment horizontal="center"/>
    </xf>
    <xf numFmtId="0" fontId="33" fillId="0" borderId="0" xfId="0" applyFont="1"/>
    <xf numFmtId="0" fontId="33" fillId="0" borderId="0" xfId="0" applyFont="1" applyAlignment="1">
      <alignment horizontal="center" vertical="center"/>
    </xf>
    <xf numFmtId="0" fontId="35" fillId="0" borderId="0" xfId="0" applyFont="1" applyAlignment="1">
      <alignment horizontal="center" vertical="center" wrapText="1"/>
    </xf>
    <xf numFmtId="0" fontId="33" fillId="0" borderId="0" xfId="0" applyFont="1" applyAlignment="1">
      <alignment horizontal="center" vertical="center" wrapText="1"/>
    </xf>
    <xf numFmtId="165" fontId="33" fillId="0" borderId="1" xfId="4" applyNumberFormat="1" applyFont="1" applyBorder="1" applyAlignment="1">
      <alignment horizontal="center" vertical="center" wrapText="1"/>
    </xf>
    <xf numFmtId="165" fontId="33" fillId="0" borderId="1" xfId="4" applyNumberFormat="1" applyFont="1" applyBorder="1" applyAlignment="1">
      <alignment horizontal="center" vertical="center"/>
    </xf>
    <xf numFmtId="0" fontId="33" fillId="0" borderId="1" xfId="4" applyNumberFormat="1" applyFont="1" applyBorder="1" applyAlignment="1">
      <alignment horizontal="center" vertical="center" wrapText="1"/>
    </xf>
    <xf numFmtId="9" fontId="33" fillId="0" borderId="1" xfId="4" applyNumberFormat="1" applyFont="1" applyBorder="1" applyAlignment="1">
      <alignment horizontal="center" vertical="center"/>
    </xf>
    <xf numFmtId="9" fontId="33" fillId="0" borderId="0" xfId="0" applyNumberFormat="1" applyFont="1"/>
    <xf numFmtId="165" fontId="34" fillId="7" borderId="1" xfId="4" applyNumberFormat="1" applyFont="1" applyFill="1" applyBorder="1" applyAlignment="1">
      <alignment horizontal="center" vertical="center" wrapText="1"/>
    </xf>
    <xf numFmtId="0" fontId="34" fillId="7" borderId="1" xfId="4" applyNumberFormat="1" applyFont="1" applyFill="1" applyBorder="1" applyAlignment="1">
      <alignment horizontal="center" vertical="center" wrapText="1"/>
    </xf>
    <xf numFmtId="9" fontId="34" fillId="7" borderId="1" xfId="4" applyNumberFormat="1" applyFont="1" applyFill="1" applyBorder="1" applyAlignment="1">
      <alignment horizontal="center" vertical="center" wrapText="1"/>
    </xf>
    <xf numFmtId="165" fontId="37" fillId="7" borderId="1" xfId="4"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wrapText="1"/>
    </xf>
    <xf numFmtId="0" fontId="39" fillId="0" borderId="1" xfId="15" applyFont="1" applyFill="1" applyBorder="1" applyAlignment="1">
      <alignment horizontal="center" vertical="center" wrapText="1"/>
    </xf>
    <xf numFmtId="0" fontId="40" fillId="0" borderId="1" xfId="0" applyFont="1" applyBorder="1" applyAlignment="1">
      <alignment horizontal="center" vertical="center" wrapText="1"/>
    </xf>
    <xf numFmtId="22" fontId="40" fillId="0" borderId="1" xfId="0" applyNumberFormat="1" applyFont="1" applyBorder="1" applyAlignment="1">
      <alignment horizontal="center" vertical="center" wrapText="1"/>
    </xf>
    <xf numFmtId="0" fontId="41" fillId="2" borderId="0" xfId="0" applyFont="1" applyFill="1" applyAlignment="1">
      <alignment horizontal="center" vertical="center"/>
    </xf>
    <xf numFmtId="44" fontId="41" fillId="2" borderId="0" xfId="4" applyFont="1" applyFill="1" applyAlignment="1">
      <alignment horizontal="center" vertical="center"/>
    </xf>
    <xf numFmtId="0" fontId="41" fillId="2" borderId="0" xfId="0" applyFont="1" applyFill="1" applyAlignment="1">
      <alignment horizontal="center" vertical="center" wrapText="1"/>
    </xf>
    <xf numFmtId="165" fontId="41" fillId="2" borderId="0" xfId="4" applyNumberFormat="1" applyFont="1" applyFill="1" applyAlignment="1">
      <alignment horizontal="center" vertical="center" wrapText="1"/>
    </xf>
    <xf numFmtId="0" fontId="34"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43" fillId="0" borderId="1" xfId="0" applyFont="1" applyBorder="1" applyAlignment="1">
      <alignment horizontal="center" vertical="center" wrapText="1"/>
    </xf>
    <xf numFmtId="44" fontId="42" fillId="0" borderId="1" xfId="4" applyFont="1" applyBorder="1" applyAlignment="1">
      <alignment horizontal="center" vertical="center" wrapText="1"/>
    </xf>
    <xf numFmtId="44" fontId="42" fillId="0" borderId="1" xfId="0" applyNumberFormat="1" applyFont="1" applyBorder="1" applyAlignment="1">
      <alignment horizontal="center" vertical="center" wrapText="1"/>
    </xf>
    <xf numFmtId="0" fontId="44" fillId="0" borderId="0" xfId="0" applyFont="1" applyAlignment="1">
      <alignment wrapText="1"/>
    </xf>
    <xf numFmtId="0" fontId="13" fillId="0" borderId="0" xfId="0" applyFont="1" applyAlignment="1">
      <alignment wrapText="1"/>
    </xf>
    <xf numFmtId="0" fontId="13" fillId="0" borderId="0" xfId="0" applyFont="1" applyAlignment="1">
      <alignment horizontal="center" wrapText="1"/>
    </xf>
    <xf numFmtId="9" fontId="13" fillId="0" borderId="0" xfId="2" applyFont="1" applyAlignment="1">
      <alignment horizontal="center" wrapText="1"/>
    </xf>
    <xf numFmtId="0" fontId="13" fillId="0" borderId="0" xfId="0" applyFont="1" applyAlignment="1">
      <alignment horizontal="center" vertical="center" wrapText="1"/>
    </xf>
    <xf numFmtId="165" fontId="13" fillId="0" borderId="0" xfId="4" applyNumberFormat="1" applyFont="1" applyAlignment="1">
      <alignment wrapText="1"/>
    </xf>
    <xf numFmtId="0" fontId="13" fillId="0" borderId="1" xfId="0" applyFont="1" applyBorder="1" applyAlignment="1">
      <alignment horizontal="center" vertical="center" wrapText="1"/>
    </xf>
    <xf numFmtId="9" fontId="13" fillId="0" borderId="1" xfId="2" applyFont="1" applyBorder="1" applyAlignment="1">
      <alignment horizontal="center" vertical="center" wrapText="1"/>
    </xf>
    <xf numFmtId="0" fontId="13" fillId="0" borderId="1" xfId="0" applyFont="1" applyBorder="1" applyAlignment="1">
      <alignment vertical="center" wrapText="1"/>
    </xf>
    <xf numFmtId="165" fontId="13" fillId="0" borderId="1" xfId="4" applyNumberFormat="1" applyFont="1" applyBorder="1" applyAlignment="1">
      <alignment vertical="center" wrapText="1"/>
    </xf>
    <xf numFmtId="165" fontId="45" fillId="20" borderId="1" xfId="4" applyNumberFormat="1" applyFont="1" applyFill="1" applyBorder="1" applyAlignment="1">
      <alignment horizontal="center" vertical="center" wrapText="1"/>
    </xf>
    <xf numFmtId="165" fontId="45" fillId="21" borderId="1" xfId="4" applyNumberFormat="1" applyFont="1" applyFill="1" applyBorder="1" applyAlignment="1">
      <alignment horizontal="center" vertical="center" wrapText="1"/>
    </xf>
    <xf numFmtId="0" fontId="45" fillId="0" borderId="1" xfId="0" applyFont="1" applyBorder="1" applyAlignment="1">
      <alignment horizontal="center" vertical="center" wrapText="1"/>
    </xf>
    <xf numFmtId="9" fontId="45" fillId="0" borderId="1" xfId="2" applyFont="1" applyFill="1" applyBorder="1" applyAlignment="1">
      <alignment horizontal="center" vertical="center" wrapText="1"/>
    </xf>
    <xf numFmtId="165" fontId="46" fillId="20" borderId="1" xfId="4" applyNumberFormat="1" applyFont="1" applyFill="1" applyBorder="1" applyAlignment="1">
      <alignment vertical="center" wrapText="1"/>
    </xf>
    <xf numFmtId="165" fontId="44" fillId="0" borderId="0" xfId="4" applyNumberFormat="1" applyFont="1" applyAlignment="1">
      <alignment wrapText="1"/>
    </xf>
    <xf numFmtId="1" fontId="48" fillId="0" borderId="0" xfId="0" applyNumberFormat="1" applyFont="1" applyAlignment="1">
      <alignment horizontal="center" vertical="center" wrapText="1"/>
    </xf>
    <xf numFmtId="0" fontId="49" fillId="2" borderId="0" xfId="0" applyFont="1" applyFill="1" applyAlignment="1">
      <alignment vertical="center" wrapText="1"/>
    </xf>
    <xf numFmtId="164" fontId="48" fillId="0" borderId="0" xfId="1" applyFont="1" applyBorder="1" applyAlignment="1">
      <alignment horizontal="center" vertical="center" wrapText="1"/>
    </xf>
    <xf numFmtId="0" fontId="49" fillId="0" borderId="0" xfId="0" applyFont="1" applyAlignment="1">
      <alignment vertical="center" wrapText="1"/>
    </xf>
    <xf numFmtId="0" fontId="50" fillId="0" borderId="0" xfId="0" applyFont="1" applyAlignment="1">
      <alignment horizontal="center" vertical="center" wrapText="1"/>
    </xf>
    <xf numFmtId="0" fontId="48" fillId="0" borderId="0" xfId="0" applyFont="1" applyAlignment="1">
      <alignment vertical="center" wrapText="1"/>
    </xf>
    <xf numFmtId="0" fontId="48" fillId="0" borderId="0" xfId="0" applyFont="1" applyAlignment="1">
      <alignment vertical="center"/>
    </xf>
    <xf numFmtId="0" fontId="48" fillId="2" borderId="0" xfId="0" applyFont="1" applyFill="1" applyAlignment="1">
      <alignment vertical="center" wrapText="1"/>
    </xf>
    <xf numFmtId="164" fontId="51" fillId="9" borderId="1" xfId="1" applyFont="1" applyFill="1" applyBorder="1" applyAlignment="1">
      <alignment horizontal="center" vertical="center" wrapText="1"/>
    </xf>
    <xf numFmtId="164" fontId="51" fillId="9" borderId="1" xfId="1" applyFont="1" applyFill="1" applyBorder="1" applyAlignment="1">
      <alignment horizontal="centerContinuous" vertical="center" wrapText="1"/>
    </xf>
    <xf numFmtId="0" fontId="52" fillId="0" borderId="0" xfId="0" applyFont="1" applyAlignment="1">
      <alignment vertical="center" wrapText="1"/>
    </xf>
    <xf numFmtId="164" fontId="51" fillId="2" borderId="1" xfId="1" applyFont="1" applyFill="1" applyBorder="1" applyAlignment="1">
      <alignment horizontal="center" vertical="center" wrapText="1"/>
    </xf>
    <xf numFmtId="169" fontId="48" fillId="0" borderId="1" xfId="17" applyNumberFormat="1" applyFont="1" applyFill="1" applyBorder="1" applyAlignment="1">
      <alignment horizontal="center" vertical="center" wrapText="1"/>
    </xf>
    <xf numFmtId="9" fontId="49" fillId="0" borderId="1" xfId="2" applyFont="1" applyFill="1" applyBorder="1" applyAlignment="1">
      <alignment horizontal="center" vertical="center" wrapText="1"/>
    </xf>
    <xf numFmtId="168" fontId="48" fillId="2" borderId="1" xfId="4" applyNumberFormat="1" applyFont="1" applyFill="1" applyBorder="1" applyAlignment="1">
      <alignment horizontal="center" vertical="center" wrapText="1"/>
    </xf>
    <xf numFmtId="10" fontId="48" fillId="2" borderId="1" xfId="2" applyNumberFormat="1" applyFont="1" applyFill="1" applyBorder="1" applyAlignment="1">
      <alignment horizontal="center" vertical="center" wrapText="1"/>
    </xf>
    <xf numFmtId="2" fontId="48" fillId="0" borderId="0" xfId="0" applyNumberFormat="1" applyFont="1" applyAlignment="1">
      <alignment vertical="center" wrapText="1"/>
    </xf>
    <xf numFmtId="1" fontId="49" fillId="0" borderId="0" xfId="0" applyNumberFormat="1" applyFont="1" applyAlignment="1">
      <alignment vertical="center" wrapText="1"/>
    </xf>
    <xf numFmtId="165" fontId="49" fillId="0" borderId="0" xfId="0" applyNumberFormat="1" applyFont="1" applyAlignment="1">
      <alignment vertical="center" wrapText="1"/>
    </xf>
    <xf numFmtId="43" fontId="48" fillId="0" borderId="0" xfId="0" applyNumberFormat="1" applyFont="1" applyAlignment="1">
      <alignment vertical="center" wrapText="1"/>
    </xf>
    <xf numFmtId="0" fontId="49" fillId="0" borderId="0" xfId="0" applyFont="1" applyAlignment="1">
      <alignment horizontal="center" vertical="center" wrapText="1"/>
    </xf>
    <xf numFmtId="42" fontId="49" fillId="0" borderId="0" xfId="0" applyNumberFormat="1" applyFont="1" applyAlignment="1">
      <alignment vertical="center" wrapText="1"/>
    </xf>
    <xf numFmtId="164" fontId="52" fillId="0" borderId="1" xfId="1" applyFont="1" applyFill="1" applyBorder="1" applyAlignment="1">
      <alignment horizontal="center" vertical="center" wrapText="1"/>
    </xf>
    <xf numFmtId="1" fontId="51" fillId="0" borderId="1" xfId="1" applyNumberFormat="1" applyFont="1" applyFill="1" applyBorder="1" applyAlignment="1">
      <alignment horizontal="center" vertical="center" wrapText="1"/>
    </xf>
    <xf numFmtId="9" fontId="52" fillId="0" borderId="1" xfId="2" applyFont="1" applyFill="1" applyBorder="1" applyAlignment="1">
      <alignment horizontal="center" vertical="center" wrapText="1"/>
    </xf>
    <xf numFmtId="9" fontId="48" fillId="2" borderId="1" xfId="2" applyFont="1" applyFill="1" applyBorder="1" applyAlignment="1">
      <alignment horizontal="center" vertical="center" wrapText="1"/>
    </xf>
    <xf numFmtId="10" fontId="48" fillId="2" borderId="0" xfId="2" applyNumberFormat="1" applyFont="1" applyFill="1" applyAlignment="1">
      <alignment vertical="center" wrapText="1"/>
    </xf>
    <xf numFmtId="165" fontId="49" fillId="0" borderId="0" xfId="4" applyNumberFormat="1" applyFont="1" applyBorder="1" applyAlignment="1">
      <alignment horizontal="left" vertical="center" wrapText="1"/>
    </xf>
    <xf numFmtId="168" fontId="51" fillId="6" borderId="1" xfId="4" applyNumberFormat="1" applyFont="1" applyFill="1" applyBorder="1" applyAlignment="1">
      <alignment horizontal="center" vertical="center" wrapText="1"/>
    </xf>
    <xf numFmtId="2" fontId="51" fillId="0" borderId="0" xfId="0" applyNumberFormat="1" applyFont="1" applyAlignment="1">
      <alignment vertical="center" wrapText="1"/>
    </xf>
    <xf numFmtId="165" fontId="52" fillId="0" borderId="0" xfId="4" applyNumberFormat="1" applyFont="1" applyBorder="1" applyAlignment="1">
      <alignment vertical="center" wrapText="1"/>
    </xf>
    <xf numFmtId="164" fontId="48" fillId="2" borderId="0" xfId="1" applyFont="1" applyFill="1" applyBorder="1" applyAlignment="1">
      <alignment horizontal="center" vertical="center" wrapText="1"/>
    </xf>
    <xf numFmtId="168" fontId="51" fillId="2" borderId="0" xfId="4" applyNumberFormat="1" applyFont="1" applyFill="1" applyBorder="1" applyAlignment="1">
      <alignment horizontal="center" vertical="center" wrapText="1"/>
    </xf>
    <xf numFmtId="168" fontId="51" fillId="24" borderId="1" xfId="4" applyNumberFormat="1" applyFont="1" applyFill="1" applyBorder="1" applyAlignment="1">
      <alignment horizontal="center" vertical="center" wrapText="1"/>
    </xf>
    <xf numFmtId="164" fontId="51" fillId="24" borderId="1" xfId="1" applyFont="1" applyFill="1" applyBorder="1" applyAlignment="1">
      <alignment horizontal="centerContinuous" vertical="center" wrapText="1"/>
    </xf>
    <xf numFmtId="164" fontId="51" fillId="24" borderId="1" xfId="1" applyFont="1" applyFill="1" applyBorder="1" applyAlignment="1">
      <alignment horizontal="center" vertical="center" wrapText="1"/>
    </xf>
    <xf numFmtId="0" fontId="54" fillId="0" borderId="1" xfId="0" applyFont="1" applyBorder="1" applyAlignment="1">
      <alignment horizontal="center" vertical="center" wrapText="1"/>
    </xf>
    <xf numFmtId="0" fontId="55" fillId="25" borderId="1" xfId="0" applyFont="1" applyFill="1" applyBorder="1" applyAlignment="1">
      <alignment horizontal="center" vertical="center" wrapText="1"/>
    </xf>
    <xf numFmtId="0" fontId="56" fillId="0" borderId="1" xfId="0" applyFont="1" applyBorder="1" applyAlignment="1">
      <alignment horizontal="center" vertical="center"/>
    </xf>
    <xf numFmtId="9" fontId="56" fillId="0" borderId="1" xfId="0" applyNumberFormat="1" applyFont="1" applyBorder="1" applyAlignment="1">
      <alignment horizontal="center" vertical="center"/>
    </xf>
    <xf numFmtId="8" fontId="56" fillId="0" borderId="1" xfId="0" applyNumberFormat="1" applyFont="1" applyBorder="1" applyAlignment="1">
      <alignment horizontal="center" vertical="center"/>
    </xf>
    <xf numFmtId="164" fontId="48" fillId="2" borderId="1" xfId="1" applyFont="1" applyFill="1" applyBorder="1" applyAlignment="1">
      <alignment horizontal="center" vertical="center" wrapText="1"/>
    </xf>
    <xf numFmtId="168" fontId="49" fillId="0" borderId="0" xfId="0" applyNumberFormat="1" applyFont="1" applyAlignment="1">
      <alignment vertical="center" wrapText="1"/>
    </xf>
    <xf numFmtId="2" fontId="49" fillId="0" borderId="0" xfId="0" applyNumberFormat="1" applyFont="1" applyAlignment="1">
      <alignment vertical="center" wrapText="1"/>
    </xf>
    <xf numFmtId="164" fontId="19" fillId="3" borderId="1" xfId="1" applyFont="1" applyFill="1" applyBorder="1" applyAlignment="1">
      <alignment horizontal="center" vertical="center" wrapText="1"/>
    </xf>
    <xf numFmtId="0" fontId="57" fillId="26" borderId="37" xfId="0" applyFont="1" applyFill="1" applyBorder="1" applyAlignment="1">
      <alignment horizontal="center" vertical="center" wrapText="1"/>
    </xf>
    <xf numFmtId="0" fontId="57" fillId="26" borderId="39" xfId="0" applyFont="1" applyFill="1" applyBorder="1" applyAlignment="1">
      <alignment horizontal="center" vertical="center" wrapText="1"/>
    </xf>
    <xf numFmtId="0" fontId="57" fillId="26" borderId="40" xfId="0" applyFont="1" applyFill="1" applyBorder="1" applyAlignment="1">
      <alignment horizontal="center" vertical="center" wrapText="1"/>
    </xf>
    <xf numFmtId="0" fontId="36" fillId="0" borderId="38" xfId="0" applyFont="1" applyBorder="1" applyAlignment="1">
      <alignment horizontal="center" vertical="center" wrapText="1"/>
    </xf>
    <xf numFmtId="0" fontId="36" fillId="0" borderId="40" xfId="0" applyFont="1" applyBorder="1" applyAlignment="1">
      <alignment horizontal="center" vertical="center" wrapText="1"/>
    </xf>
    <xf numFmtId="8" fontId="36" fillId="0" borderId="40" xfId="0" applyNumberFormat="1" applyFont="1" applyBorder="1" applyAlignment="1">
      <alignment horizontal="center" vertical="center" wrapText="1"/>
    </xf>
    <xf numFmtId="0" fontId="59" fillId="0" borderId="0" xfId="0" applyFont="1" applyAlignment="1">
      <alignment vertical="center" wrapText="1"/>
    </xf>
    <xf numFmtId="168" fontId="60" fillId="2" borderId="1" xfId="4" applyNumberFormat="1" applyFont="1" applyFill="1" applyBorder="1" applyAlignment="1">
      <alignment horizontal="center" vertical="center" wrapText="1"/>
    </xf>
    <xf numFmtId="164" fontId="61" fillId="5" borderId="1" xfId="1" applyFont="1" applyFill="1" applyBorder="1" applyAlignment="1">
      <alignment horizontal="center" vertical="center" wrapText="1"/>
    </xf>
    <xf numFmtId="164" fontId="61" fillId="22" borderId="1" xfId="1" applyFont="1" applyFill="1" applyBorder="1" applyAlignment="1">
      <alignment horizontal="center" vertical="center" wrapText="1"/>
    </xf>
    <xf numFmtId="164" fontId="62" fillId="4" borderId="1" xfId="1" applyFont="1" applyFill="1" applyBorder="1" applyAlignment="1">
      <alignment horizontal="center" vertical="center" wrapText="1"/>
    </xf>
    <xf numFmtId="164" fontId="52" fillId="0" borderId="8" xfId="1" applyFont="1" applyFill="1" applyBorder="1" applyAlignment="1">
      <alignment vertical="center" wrapText="1"/>
    </xf>
    <xf numFmtId="1" fontId="52" fillId="6" borderId="3" xfId="0" applyNumberFormat="1" applyFont="1" applyFill="1" applyBorder="1" applyAlignment="1">
      <alignment horizontal="center" vertical="center"/>
    </xf>
    <xf numFmtId="165" fontId="50" fillId="6" borderId="3" xfId="4" applyNumberFormat="1" applyFont="1" applyFill="1" applyBorder="1" applyAlignment="1">
      <alignment vertical="center" wrapText="1"/>
    </xf>
    <xf numFmtId="0" fontId="48" fillId="2" borderId="1" xfId="0" applyFont="1" applyFill="1" applyBorder="1" applyAlignment="1">
      <alignment vertical="center" wrapText="1"/>
    </xf>
    <xf numFmtId="0" fontId="53" fillId="0" borderId="1" xfId="0" applyFont="1" applyBorder="1" applyAlignment="1">
      <alignment horizontal="center" vertical="center"/>
    </xf>
    <xf numFmtId="10" fontId="48" fillId="2" borderId="1" xfId="2" applyNumberFormat="1" applyFont="1" applyFill="1" applyBorder="1" applyAlignment="1">
      <alignment vertical="center" wrapText="1"/>
    </xf>
    <xf numFmtId="164" fontId="48" fillId="12" borderId="0" xfId="1" applyFont="1" applyFill="1" applyBorder="1" applyAlignment="1">
      <alignment horizontal="center" vertical="center" wrapText="1"/>
    </xf>
    <xf numFmtId="0" fontId="49" fillId="12" borderId="0" xfId="0" applyFont="1" applyFill="1" applyAlignment="1">
      <alignment vertical="center" wrapText="1"/>
    </xf>
    <xf numFmtId="0" fontId="51" fillId="12" borderId="0" xfId="0" applyFont="1" applyFill="1" applyAlignment="1">
      <alignment horizontal="center" vertical="center" wrapText="1"/>
    </xf>
    <xf numFmtId="0" fontId="48" fillId="12" borderId="0" xfId="0" applyFont="1" applyFill="1" applyAlignment="1">
      <alignment vertical="center" wrapText="1"/>
    </xf>
    <xf numFmtId="164" fontId="51" fillId="12" borderId="1" xfId="1" applyFont="1" applyFill="1" applyBorder="1" applyAlignment="1">
      <alignment horizontal="center" vertical="center" wrapText="1"/>
    </xf>
    <xf numFmtId="0" fontId="48" fillId="12" borderId="1" xfId="0" applyFont="1" applyFill="1" applyBorder="1" applyAlignment="1">
      <alignment vertical="center" wrapText="1"/>
    </xf>
    <xf numFmtId="0" fontId="52" fillId="12" borderId="1" xfId="0" applyFont="1" applyFill="1" applyBorder="1" applyAlignment="1">
      <alignment horizontal="center" vertical="center" wrapText="1"/>
    </xf>
    <xf numFmtId="164" fontId="61" fillId="12" borderId="1" xfId="1" applyFont="1" applyFill="1" applyBorder="1" applyAlignment="1">
      <alignment horizontal="center" vertical="center" wrapText="1"/>
    </xf>
    <xf numFmtId="0" fontId="52" fillId="12" borderId="1" xfId="0" applyFont="1" applyFill="1" applyBorder="1" applyAlignment="1">
      <alignment vertical="center" wrapText="1"/>
    </xf>
    <xf numFmtId="168" fontId="48" fillId="12" borderId="1" xfId="4" applyNumberFormat="1" applyFont="1" applyFill="1" applyBorder="1" applyAlignment="1">
      <alignment horizontal="center" vertical="center" wrapText="1"/>
    </xf>
    <xf numFmtId="9" fontId="48" fillId="12" borderId="1" xfId="2" applyFont="1" applyFill="1" applyBorder="1" applyAlignment="1">
      <alignment horizontal="center" vertical="center" wrapText="1"/>
    </xf>
    <xf numFmtId="167" fontId="48" fillId="12" borderId="1" xfId="4" applyNumberFormat="1" applyFont="1" applyFill="1" applyBorder="1" applyAlignment="1">
      <alignment horizontal="center" vertical="center" wrapText="1"/>
    </xf>
    <xf numFmtId="168" fontId="48" fillId="12" borderId="1" xfId="2" applyNumberFormat="1" applyFont="1" applyFill="1" applyBorder="1" applyAlignment="1">
      <alignment horizontal="center" vertical="center" wrapText="1"/>
    </xf>
    <xf numFmtId="10" fontId="48" fillId="12" borderId="1" xfId="2" applyNumberFormat="1" applyFont="1" applyFill="1" applyBorder="1" applyAlignment="1">
      <alignment vertical="center" wrapText="1"/>
    </xf>
    <xf numFmtId="165" fontId="49" fillId="12" borderId="1" xfId="4" applyNumberFormat="1" applyFont="1" applyFill="1" applyBorder="1" applyAlignment="1">
      <alignment horizontal="left" vertical="center" wrapText="1"/>
    </xf>
    <xf numFmtId="168" fontId="51" fillId="12" borderId="3" xfId="4" applyNumberFormat="1" applyFont="1" applyFill="1" applyBorder="1" applyAlignment="1">
      <alignment horizontal="center" vertical="center" wrapText="1"/>
    </xf>
    <xf numFmtId="0" fontId="48" fillId="12" borderId="3" xfId="0" applyFont="1" applyFill="1" applyBorder="1" applyAlignment="1">
      <alignment vertical="center" wrapText="1"/>
    </xf>
    <xf numFmtId="2" fontId="51" fillId="12" borderId="0" xfId="0" applyNumberFormat="1" applyFont="1" applyFill="1" applyAlignment="1">
      <alignment vertical="center" wrapText="1"/>
    </xf>
    <xf numFmtId="165" fontId="52" fillId="12" borderId="0" xfId="4" applyNumberFormat="1" applyFont="1" applyFill="1" applyBorder="1" applyAlignment="1">
      <alignment vertical="center" wrapText="1"/>
    </xf>
    <xf numFmtId="2" fontId="48" fillId="12" borderId="0" xfId="0" applyNumberFormat="1" applyFont="1" applyFill="1" applyAlignment="1">
      <alignment vertical="center" wrapText="1"/>
    </xf>
    <xf numFmtId="0" fontId="49" fillId="0" borderId="0" xfId="0" applyFont="1" applyAlignment="1">
      <alignment horizontal="center" vertical="center" wrapText="1"/>
    </xf>
    <xf numFmtId="165" fontId="52" fillId="6" borderId="3" xfId="4" applyNumberFormat="1" applyFont="1" applyFill="1" applyBorder="1" applyAlignment="1">
      <alignment horizontal="center" vertical="center" wrapText="1"/>
    </xf>
    <xf numFmtId="168" fontId="50" fillId="6" borderId="3" xfId="4" applyNumberFormat="1" applyFont="1" applyFill="1" applyBorder="1" applyAlignment="1">
      <alignment horizontal="center" vertical="center" wrapText="1"/>
    </xf>
    <xf numFmtId="44" fontId="50" fillId="6" borderId="3" xfId="4" applyFont="1" applyFill="1" applyBorder="1" applyAlignment="1">
      <alignment horizontal="center" vertical="center" wrapText="1"/>
    </xf>
    <xf numFmtId="0" fontId="50" fillId="0" borderId="42" xfId="0" applyFont="1" applyBorder="1" applyAlignment="1">
      <alignment horizontal="center" vertical="center" wrapText="1"/>
    </xf>
    <xf numFmtId="0" fontId="50" fillId="0" borderId="41" xfId="0" applyFont="1" applyBorder="1" applyAlignment="1">
      <alignment horizontal="center" vertical="center" wrapText="1"/>
    </xf>
    <xf numFmtId="170" fontId="50" fillId="5" borderId="1" xfId="1" applyNumberFormat="1" applyFont="1" applyFill="1" applyBorder="1" applyAlignment="1">
      <alignment horizontal="center" vertical="center" wrapText="1"/>
    </xf>
    <xf numFmtId="164" fontId="52" fillId="0" borderId="1" xfId="1" applyFont="1" applyFill="1" applyBorder="1" applyAlignment="1">
      <alignment horizontal="center" vertical="center" wrapText="1"/>
    </xf>
    <xf numFmtId="164" fontId="51" fillId="12" borderId="1" xfId="1" applyFont="1" applyFill="1" applyBorder="1" applyAlignment="1">
      <alignment horizontal="center" vertical="center" wrapText="1"/>
    </xf>
    <xf numFmtId="0" fontId="51" fillId="12" borderId="1" xfId="0" applyFont="1" applyFill="1" applyBorder="1" applyAlignment="1">
      <alignment horizontal="center" vertical="center" wrapText="1"/>
    </xf>
    <xf numFmtId="168" fontId="51" fillId="12" borderId="3" xfId="2" applyNumberFormat="1" applyFont="1" applyFill="1" applyBorder="1" applyAlignment="1">
      <alignment horizontal="center" vertical="center" wrapText="1"/>
    </xf>
    <xf numFmtId="170" fontId="50" fillId="22" borderId="1" xfId="1" applyNumberFormat="1" applyFont="1" applyFill="1" applyBorder="1" applyAlignment="1">
      <alignment horizontal="center" vertical="center" wrapText="1"/>
    </xf>
    <xf numFmtId="164" fontId="51" fillId="23" borderId="5" xfId="1" applyFont="1" applyFill="1" applyBorder="1" applyAlignment="1">
      <alignment horizontal="center" vertical="center" wrapText="1"/>
    </xf>
    <xf numFmtId="164" fontId="51" fillId="23" borderId="33" xfId="1" applyFont="1" applyFill="1" applyBorder="1" applyAlignment="1">
      <alignment horizontal="center" vertical="center" wrapText="1"/>
    </xf>
    <xf numFmtId="164" fontId="51" fillId="9" borderId="2" xfId="1" applyFont="1" applyFill="1" applyBorder="1" applyAlignment="1">
      <alignment horizontal="center" vertical="center" wrapText="1"/>
    </xf>
    <xf numFmtId="164" fontId="51" fillId="9" borderId="6" xfId="1" applyFont="1" applyFill="1" applyBorder="1" applyAlignment="1">
      <alignment horizontal="center" vertical="center" wrapText="1"/>
    </xf>
    <xf numFmtId="164" fontId="51" fillId="9" borderId="7" xfId="1" applyFont="1" applyFill="1" applyBorder="1" applyAlignment="1">
      <alignment horizontal="center" vertical="center" wrapText="1"/>
    </xf>
    <xf numFmtId="164" fontId="51" fillId="24" borderId="2" xfId="1" applyFont="1" applyFill="1" applyBorder="1" applyAlignment="1">
      <alignment horizontal="center" vertical="center" wrapText="1"/>
    </xf>
    <xf numFmtId="164" fontId="51" fillId="24" borderId="6" xfId="1" applyFont="1" applyFill="1" applyBorder="1" applyAlignment="1">
      <alignment horizontal="center" vertical="center" wrapText="1"/>
    </xf>
    <xf numFmtId="164" fontId="51" fillId="24" borderId="7" xfId="1" applyFont="1" applyFill="1" applyBorder="1" applyAlignment="1">
      <alignment horizontal="center" vertical="center" wrapText="1"/>
    </xf>
    <xf numFmtId="0" fontId="51" fillId="11" borderId="2" xfId="0" applyFont="1" applyFill="1" applyBorder="1" applyAlignment="1">
      <alignment horizontal="center" vertical="center" wrapText="1"/>
    </xf>
    <xf numFmtId="0" fontId="51" fillId="11" borderId="6" xfId="0" applyFont="1" applyFill="1" applyBorder="1" applyAlignment="1">
      <alignment horizontal="center" vertical="center" wrapText="1"/>
    </xf>
    <xf numFmtId="0" fontId="51" fillId="11" borderId="43" xfId="0" applyFont="1" applyFill="1" applyBorder="1" applyAlignment="1">
      <alignment horizontal="center" vertical="center" wrapText="1"/>
    </xf>
    <xf numFmtId="0" fontId="51" fillId="11" borderId="7" xfId="0" applyFont="1" applyFill="1" applyBorder="1" applyAlignment="1">
      <alignment horizontal="center" vertical="center" wrapText="1"/>
    </xf>
    <xf numFmtId="164" fontId="19" fillId="3" borderId="1" xfId="1" applyFont="1" applyFill="1" applyBorder="1" applyAlignment="1">
      <alignment horizontal="center" vertical="center" wrapText="1"/>
    </xf>
    <xf numFmtId="0" fontId="19" fillId="0" borderId="1" xfId="0" applyFont="1" applyBorder="1" applyAlignment="1">
      <alignment horizontal="center" vertical="center" wrapText="1"/>
    </xf>
    <xf numFmtId="164" fontId="51" fillId="3" borderId="1" xfId="1" applyFont="1" applyFill="1" applyBorder="1" applyAlignment="1">
      <alignment horizontal="center" vertical="center" wrapText="1"/>
    </xf>
    <xf numFmtId="164" fontId="19" fillId="3" borderId="8" xfId="1" applyFont="1" applyFill="1" applyBorder="1" applyAlignment="1">
      <alignment horizontal="center" vertical="center" wrapText="1"/>
    </xf>
    <xf numFmtId="164" fontId="19" fillId="8" borderId="8" xfId="1" applyFont="1" applyFill="1" applyBorder="1" applyAlignment="1">
      <alignment horizontal="center" vertical="center" wrapText="1"/>
    </xf>
    <xf numFmtId="165" fontId="12" fillId="6" borderId="27" xfId="4" applyNumberFormat="1" applyFont="1" applyFill="1" applyBorder="1" applyAlignment="1">
      <alignment horizontal="center" wrapText="1"/>
    </xf>
    <xf numFmtId="165" fontId="12" fillId="6" borderId="31" xfId="4" applyNumberFormat="1" applyFont="1" applyFill="1" applyBorder="1" applyAlignment="1">
      <alignment horizontal="center" wrapText="1"/>
    </xf>
    <xf numFmtId="9" fontId="19" fillId="6" borderId="1" xfId="2" applyFont="1" applyFill="1" applyBorder="1" applyAlignment="1">
      <alignment horizontal="center" vertical="center" wrapText="1"/>
    </xf>
    <xf numFmtId="0" fontId="6" fillId="0" borderId="0" xfId="0" applyFont="1" applyAlignment="1">
      <alignment horizontal="center" wrapText="1"/>
    </xf>
    <xf numFmtId="165" fontId="19" fillId="6" borderId="34" xfId="4" applyNumberFormat="1" applyFont="1" applyFill="1" applyBorder="1" applyAlignment="1">
      <alignment horizontal="center" vertical="center" wrapText="1"/>
    </xf>
    <xf numFmtId="165" fontId="19" fillId="6" borderId="35" xfId="4" applyNumberFormat="1" applyFont="1" applyFill="1" applyBorder="1" applyAlignment="1">
      <alignment horizontal="center" vertical="center" wrapText="1"/>
    </xf>
    <xf numFmtId="165" fontId="19" fillId="6" borderId="36" xfId="4" applyNumberFormat="1" applyFont="1" applyFill="1" applyBorder="1" applyAlignment="1">
      <alignment horizontal="center" vertical="center" wrapText="1"/>
    </xf>
    <xf numFmtId="164" fontId="26" fillId="7" borderId="1" xfId="1" applyFont="1" applyFill="1" applyBorder="1" applyAlignment="1">
      <alignment horizontal="center" vertical="center" wrapText="1"/>
    </xf>
    <xf numFmtId="164" fontId="26" fillId="12" borderId="2" xfId="1" applyFont="1" applyFill="1" applyBorder="1" applyAlignment="1">
      <alignment horizontal="center" vertical="center" wrapText="1"/>
    </xf>
    <xf numFmtId="164" fontId="27" fillId="12" borderId="6" xfId="1" applyFont="1" applyFill="1" applyBorder="1" applyAlignment="1">
      <alignment horizontal="center" vertical="center" wrapText="1"/>
    </xf>
    <xf numFmtId="164" fontId="26" fillId="12" borderId="7" xfId="1" applyFont="1" applyFill="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164" fontId="12" fillId="0" borderId="2" xfId="1" applyFont="1" applyFill="1" applyBorder="1" applyAlignment="1">
      <alignment horizontal="center" vertical="center" wrapText="1"/>
    </xf>
    <xf numFmtId="164" fontId="12" fillId="0" borderId="6" xfId="1" applyFont="1" applyFill="1" applyBorder="1" applyAlignment="1">
      <alignment horizontal="center" vertical="center" wrapText="1"/>
    </xf>
    <xf numFmtId="164" fontId="26" fillId="7" borderId="2" xfId="1" applyFont="1" applyFill="1" applyBorder="1" applyAlignment="1">
      <alignment horizontal="center" vertical="center" wrapText="1"/>
    </xf>
    <xf numFmtId="164" fontId="27" fillId="7" borderId="6" xfId="1" applyFont="1" applyFill="1" applyBorder="1" applyAlignment="1">
      <alignment horizontal="center" vertical="center" wrapText="1"/>
    </xf>
    <xf numFmtId="164" fontId="26" fillId="7" borderId="7" xfId="1" applyFont="1" applyFill="1" applyBorder="1" applyAlignment="1">
      <alignment horizontal="center" vertical="center" wrapText="1"/>
    </xf>
    <xf numFmtId="164" fontId="26" fillId="5" borderId="2" xfId="1" applyFont="1" applyFill="1" applyBorder="1" applyAlignment="1">
      <alignment horizontal="center" vertical="center" wrapText="1"/>
    </xf>
    <xf numFmtId="164" fontId="27" fillId="5" borderId="6" xfId="1" applyFont="1" applyFill="1" applyBorder="1" applyAlignment="1">
      <alignment horizontal="center" vertical="center" wrapText="1"/>
    </xf>
    <xf numFmtId="164" fontId="26" fillId="5" borderId="7" xfId="1" applyFont="1" applyFill="1" applyBorder="1" applyAlignment="1">
      <alignment horizontal="center" vertical="center" wrapText="1"/>
    </xf>
    <xf numFmtId="0" fontId="24" fillId="0" borderId="0" xfId="0" applyFont="1" applyAlignment="1">
      <alignment horizontal="center" wrapText="1"/>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164" fontId="29" fillId="0" borderId="2" xfId="1" applyFont="1" applyFill="1" applyBorder="1" applyAlignment="1">
      <alignment horizontal="center" vertical="center" wrapText="1"/>
    </xf>
    <xf numFmtId="164" fontId="29" fillId="0" borderId="6" xfId="1" applyFont="1" applyFill="1" applyBorder="1" applyAlignment="1">
      <alignment horizontal="center" vertical="center" wrapText="1"/>
    </xf>
    <xf numFmtId="165" fontId="29" fillId="6" borderId="27" xfId="4" applyNumberFormat="1" applyFont="1" applyFill="1" applyBorder="1" applyAlignment="1">
      <alignment horizontal="center" wrapText="1"/>
    </xf>
    <xf numFmtId="165" fontId="29" fillId="6" borderId="31" xfId="4" applyNumberFormat="1" applyFont="1" applyFill="1" applyBorder="1" applyAlignment="1">
      <alignment horizontal="center" wrapText="1"/>
    </xf>
    <xf numFmtId="165" fontId="26" fillId="6" borderId="34" xfId="4" applyNumberFormat="1" applyFont="1" applyFill="1" applyBorder="1" applyAlignment="1">
      <alignment horizontal="center" vertical="center" wrapText="1"/>
    </xf>
    <xf numFmtId="165" fontId="26" fillId="6" borderId="35" xfId="4" applyNumberFormat="1" applyFont="1" applyFill="1" applyBorder="1" applyAlignment="1">
      <alignment horizontal="center" vertical="center" wrapText="1"/>
    </xf>
    <xf numFmtId="165" fontId="26" fillId="6" borderId="36" xfId="4" applyNumberFormat="1" applyFont="1" applyFill="1" applyBorder="1" applyAlignment="1">
      <alignment horizontal="center" vertical="center" wrapText="1"/>
    </xf>
    <xf numFmtId="0" fontId="46" fillId="20" borderId="2" xfId="0" applyFont="1" applyFill="1" applyBorder="1" applyAlignment="1">
      <alignment horizontal="center" vertical="center" wrapText="1"/>
    </xf>
    <xf numFmtId="0" fontId="46" fillId="20" borderId="6" xfId="0" applyFont="1" applyFill="1" applyBorder="1" applyAlignment="1">
      <alignment horizontal="center" vertical="center" wrapText="1"/>
    </xf>
    <xf numFmtId="0" fontId="46" fillId="20" borderId="7" xfId="0" applyFont="1" applyFill="1" applyBorder="1" applyAlignment="1">
      <alignment horizontal="center" vertical="center" wrapText="1"/>
    </xf>
    <xf numFmtId="165" fontId="45" fillId="20" borderId="1" xfId="4" applyNumberFormat="1" applyFont="1" applyFill="1" applyBorder="1" applyAlignment="1">
      <alignment horizontal="center" vertical="center" wrapText="1"/>
    </xf>
    <xf numFmtId="165" fontId="45" fillId="21" borderId="1" xfId="4" applyNumberFormat="1" applyFont="1" applyFill="1" applyBorder="1" applyAlignment="1">
      <alignment horizontal="center" vertical="center" wrapText="1"/>
    </xf>
    <xf numFmtId="0" fontId="45" fillId="0" borderId="1" xfId="0" applyFont="1" applyBorder="1" applyAlignment="1">
      <alignment horizontal="center" vertical="center" wrapText="1"/>
    </xf>
    <xf numFmtId="165" fontId="32" fillId="7" borderId="1" xfId="4" applyNumberFormat="1" applyFont="1" applyFill="1" applyBorder="1" applyAlignment="1">
      <alignment horizontal="center" vertical="center" wrapText="1"/>
    </xf>
    <xf numFmtId="0" fontId="5" fillId="0" borderId="0" xfId="0" applyFont="1" applyAlignment="1">
      <alignment horizontal="left" wrapText="1"/>
    </xf>
    <xf numFmtId="0" fontId="16" fillId="0" borderId="0" xfId="0" applyFont="1" applyAlignment="1">
      <alignment horizontal="left" vertical="center" wrapText="1"/>
    </xf>
    <xf numFmtId="165" fontId="12" fillId="6" borderId="11" xfId="4" applyNumberFormat="1" applyFont="1" applyFill="1" applyBorder="1" applyAlignment="1">
      <alignment horizontal="center" wrapText="1"/>
    </xf>
    <xf numFmtId="165" fontId="12" fillId="6" borderId="12" xfId="4" applyNumberFormat="1" applyFont="1" applyFill="1" applyBorder="1" applyAlignment="1">
      <alignment horizontal="center" wrapText="1"/>
    </xf>
    <xf numFmtId="164" fontId="19" fillId="8" borderId="1" xfId="1" applyFont="1" applyFill="1" applyBorder="1" applyAlignment="1">
      <alignment horizontal="center" vertical="center" wrapText="1"/>
    </xf>
    <xf numFmtId="164" fontId="12" fillId="3" borderId="2" xfId="1" applyFont="1" applyFill="1" applyBorder="1" applyAlignment="1">
      <alignment horizontal="center" vertical="center" wrapText="1"/>
    </xf>
    <xf numFmtId="164" fontId="12" fillId="3" borderId="6" xfId="1" applyFont="1" applyFill="1" applyBorder="1" applyAlignment="1">
      <alignment horizontal="center" vertical="center" wrapText="1"/>
    </xf>
    <xf numFmtId="164" fontId="19" fillId="5" borderId="1" xfId="1" applyFont="1" applyFill="1" applyBorder="1" applyAlignment="1">
      <alignment horizontal="center" vertical="center" wrapText="1"/>
    </xf>
    <xf numFmtId="164" fontId="19" fillId="7" borderId="1" xfId="1" applyFont="1" applyFill="1" applyBorder="1" applyAlignment="1">
      <alignment horizontal="center" vertical="center" wrapText="1"/>
    </xf>
    <xf numFmtId="164" fontId="19" fillId="3" borderId="24" xfId="1" applyFont="1" applyFill="1" applyBorder="1" applyAlignment="1">
      <alignment horizontal="center" vertical="center" wrapText="1"/>
    </xf>
    <xf numFmtId="164" fontId="19" fillId="3" borderId="25" xfId="1" applyFont="1" applyFill="1" applyBorder="1" applyAlignment="1">
      <alignment horizontal="center" vertical="center" wrapText="1"/>
    </xf>
    <xf numFmtId="164" fontId="19" fillId="3" borderId="26" xfId="1" applyFont="1" applyFill="1" applyBorder="1" applyAlignment="1">
      <alignment horizontal="center" vertical="center" wrapText="1"/>
    </xf>
    <xf numFmtId="0" fontId="5" fillId="0" borderId="0" xfId="0" applyFont="1" applyAlignment="1">
      <alignment horizontal="center" wrapText="1"/>
    </xf>
    <xf numFmtId="0" fontId="8" fillId="6" borderId="11"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5" fillId="0" borderId="0" xfId="0" applyFont="1" applyAlignment="1">
      <alignment horizontal="left" vertical="center" wrapText="1"/>
    </xf>
    <xf numFmtId="164" fontId="6" fillId="3" borderId="2" xfId="1" applyFont="1" applyFill="1" applyBorder="1" applyAlignment="1">
      <alignment horizontal="center" vertical="center" wrapText="1"/>
    </xf>
    <xf numFmtId="164" fontId="6" fillId="3" borderId="6" xfId="1" applyFont="1" applyFill="1" applyBorder="1" applyAlignment="1">
      <alignment horizontal="center" vertical="center" wrapText="1"/>
    </xf>
    <xf numFmtId="164" fontId="6" fillId="5" borderId="1" xfId="1" applyFont="1" applyFill="1" applyBorder="1" applyAlignment="1">
      <alignment horizontal="center" vertical="center" wrapText="1"/>
    </xf>
    <xf numFmtId="164" fontId="6" fillId="7" borderId="1" xfId="1" applyFont="1" applyFill="1" applyBorder="1" applyAlignment="1">
      <alignment horizontal="center" vertical="center" wrapText="1"/>
    </xf>
    <xf numFmtId="164" fontId="6" fillId="5" borderId="2" xfId="1" applyFont="1" applyFill="1" applyBorder="1" applyAlignment="1">
      <alignment horizontal="center" vertical="center" wrapText="1"/>
    </xf>
    <xf numFmtId="164" fontId="6" fillId="5" borderId="7" xfId="1" applyFont="1" applyFill="1" applyBorder="1" applyAlignment="1">
      <alignment horizontal="center" vertical="center" wrapText="1"/>
    </xf>
    <xf numFmtId="10" fontId="48" fillId="0" borderId="0" xfId="2" applyNumberFormat="1" applyFont="1" applyBorder="1" applyAlignment="1">
      <alignment horizontal="center" vertical="center" wrapText="1"/>
    </xf>
    <xf numFmtId="10" fontId="48" fillId="0" borderId="0" xfId="2" applyNumberFormat="1" applyFont="1" applyAlignment="1">
      <alignment vertical="center" wrapText="1"/>
    </xf>
    <xf numFmtId="10" fontId="51" fillId="2" borderId="1" xfId="2" applyNumberFormat="1" applyFont="1" applyFill="1" applyBorder="1" applyAlignment="1">
      <alignment horizontal="center" vertical="center" wrapText="1"/>
    </xf>
    <xf numFmtId="10" fontId="51" fillId="0" borderId="0" xfId="2" applyNumberFormat="1" applyFont="1" applyAlignment="1">
      <alignment vertical="center" wrapText="1"/>
    </xf>
  </cellXfs>
  <cellStyles count="18">
    <cellStyle name="BodyStyle" xfId="16" xr:uid="{AFFDEFE3-654D-4949-BD0D-08647E6EDD0A}"/>
    <cellStyle name="Hipervínculo" xfId="15" builtinId="8"/>
    <cellStyle name="Millares" xfId="1" builtinId="3"/>
    <cellStyle name="Millares 2" xfId="9" xr:uid="{4303B9C9-94F4-414F-848C-37B91E7B5680}"/>
    <cellStyle name="Millares 3" xfId="10" xr:uid="{4E08A8C7-18FF-44BE-9411-E13483A1A74C}"/>
    <cellStyle name="Millares 4" xfId="7" xr:uid="{2864E1BB-F925-429F-96D4-BADBD99D74E2}"/>
    <cellStyle name="Millares 5" xfId="13" xr:uid="{0DCAACBB-FCB0-4F04-A301-C9001D557A2B}"/>
    <cellStyle name="Moneda" xfId="4" builtinId="4"/>
    <cellStyle name="Moneda 2" xfId="11" xr:uid="{1B05A08D-76F2-4BC4-A062-366424C39E0B}"/>
    <cellStyle name="Moneda 3" xfId="6" xr:uid="{FB04BBCD-F306-48FF-970A-0312C5EAA69F}"/>
    <cellStyle name="Normal" xfId="0" builtinId="0"/>
    <cellStyle name="Normal 2" xfId="3" xr:uid="{00000000-0005-0000-0000-000002000000}"/>
    <cellStyle name="Normal 3" xfId="5" xr:uid="{C501ADE5-F05E-4DBB-BA52-DBFB9B30017C}"/>
    <cellStyle name="Normal 4" xfId="12" xr:uid="{0EFB5626-54E7-40E2-8C9E-164C317A7AEF}"/>
    <cellStyle name="Numeric" xfId="17" xr:uid="{4F88F6F7-5D41-487E-A4C1-F17E19FD0D17}"/>
    <cellStyle name="Porcentaje" xfId="2" builtinId="5"/>
    <cellStyle name="Porcentaje 2" xfId="8" xr:uid="{EA4868A0-5B82-4FD9-92A4-3D2A7A9D4306}"/>
    <cellStyle name="Porcentaje 3" xfId="14" xr:uid="{A96097F7-61FE-48A2-B300-216978551D1F}"/>
  </cellStyles>
  <dxfs count="0"/>
  <tableStyles count="0" defaultTableStyle="TableStyleMedium2" defaultPivotStyle="PivotStyleLight16"/>
  <colors>
    <mruColors>
      <color rgb="FF5B9C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desc&amp;order=Orden%20de%20Compra"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123825</xdr:colOff>
      <xdr:row>0</xdr:row>
      <xdr:rowOff>123825</xdr:rowOff>
    </xdr:to>
    <xdr:pic>
      <xdr:nvPicPr>
        <xdr:cNvPr id="2" name="Imagen 1" descr="orden descendente">
          <a:hlinkClick xmlns:r="http://schemas.openxmlformats.org/officeDocument/2006/relationships" r:id="rId1" tooltip="ordenar por Orden de Compra"/>
          <a:extLst>
            <a:ext uri="{FF2B5EF4-FFF2-40B4-BE49-F238E27FC236}">
              <a16:creationId xmlns:a16="http://schemas.microsoft.com/office/drawing/2014/main" id="{FABEDE61-7D72-4855-4AFF-6E6FD40621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238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6</xdr:col>
      <xdr:colOff>514350</xdr:colOff>
      <xdr:row>16</xdr:row>
      <xdr:rowOff>122131</xdr:rowOff>
    </xdr:to>
    <xdr:pic>
      <xdr:nvPicPr>
        <xdr:cNvPr id="2" name="Imagen 1">
          <a:extLst>
            <a:ext uri="{FF2B5EF4-FFF2-40B4-BE49-F238E27FC236}">
              <a16:creationId xmlns:a16="http://schemas.microsoft.com/office/drawing/2014/main" id="{C484139E-9B51-E86A-DC00-314E9E9F47FF}"/>
            </a:ext>
          </a:extLst>
        </xdr:cNvPr>
        <xdr:cNvPicPr>
          <a:picLocks noChangeAspect="1"/>
        </xdr:cNvPicPr>
      </xdr:nvPicPr>
      <xdr:blipFill>
        <a:blip xmlns:r="http://schemas.openxmlformats.org/officeDocument/2006/relationships" r:embed="rId1"/>
        <a:stretch>
          <a:fillRect/>
        </a:stretch>
      </xdr:blipFill>
      <xdr:spPr>
        <a:xfrm>
          <a:off x="28575" y="0"/>
          <a:ext cx="5057775" cy="2712931"/>
        </a:xfrm>
        <a:prstGeom prst="rect">
          <a:avLst/>
        </a:prstGeom>
      </xdr:spPr>
    </xdr:pic>
    <xdr:clientData/>
  </xdr:twoCellAnchor>
  <xdr:twoCellAnchor editAs="oneCell">
    <xdr:from>
      <xdr:col>1</xdr:col>
      <xdr:colOff>152401</xdr:colOff>
      <xdr:row>18</xdr:row>
      <xdr:rowOff>95250</xdr:rowOff>
    </xdr:from>
    <xdr:to>
      <xdr:col>7</xdr:col>
      <xdr:colOff>523875</xdr:colOff>
      <xdr:row>35</xdr:row>
      <xdr:rowOff>142973</xdr:rowOff>
    </xdr:to>
    <xdr:pic>
      <xdr:nvPicPr>
        <xdr:cNvPr id="3" name="Imagen 2">
          <a:extLst>
            <a:ext uri="{FF2B5EF4-FFF2-40B4-BE49-F238E27FC236}">
              <a16:creationId xmlns:a16="http://schemas.microsoft.com/office/drawing/2014/main" id="{B5711B97-5E7D-1224-FA46-90EAB03F5BEA}"/>
            </a:ext>
          </a:extLst>
        </xdr:cNvPr>
        <xdr:cNvPicPr>
          <a:picLocks noChangeAspect="1"/>
        </xdr:cNvPicPr>
      </xdr:nvPicPr>
      <xdr:blipFill>
        <a:blip xmlns:r="http://schemas.openxmlformats.org/officeDocument/2006/relationships" r:embed="rId2"/>
        <a:stretch>
          <a:fillRect/>
        </a:stretch>
      </xdr:blipFill>
      <xdr:spPr>
        <a:xfrm>
          <a:off x="914401" y="3009900"/>
          <a:ext cx="4943474" cy="2800448"/>
        </a:xfrm>
        <a:prstGeom prst="rect">
          <a:avLst/>
        </a:prstGeom>
      </xdr:spPr>
    </xdr:pic>
    <xdr:clientData/>
  </xdr:twoCellAnchor>
  <xdr:twoCellAnchor editAs="oneCell">
    <xdr:from>
      <xdr:col>1</xdr:col>
      <xdr:colOff>0</xdr:colOff>
      <xdr:row>39</xdr:row>
      <xdr:rowOff>0</xdr:rowOff>
    </xdr:from>
    <xdr:to>
      <xdr:col>8</xdr:col>
      <xdr:colOff>271661</xdr:colOff>
      <xdr:row>50</xdr:row>
      <xdr:rowOff>0</xdr:rowOff>
    </xdr:to>
    <xdr:pic>
      <xdr:nvPicPr>
        <xdr:cNvPr id="4" name="Imagen 3">
          <a:extLst>
            <a:ext uri="{FF2B5EF4-FFF2-40B4-BE49-F238E27FC236}">
              <a16:creationId xmlns:a16="http://schemas.microsoft.com/office/drawing/2014/main" id="{4272C100-FE59-4FA0-690D-AE473B6F562C}"/>
            </a:ext>
          </a:extLst>
        </xdr:cNvPr>
        <xdr:cNvPicPr>
          <a:picLocks noChangeAspect="1"/>
        </xdr:cNvPicPr>
      </xdr:nvPicPr>
      <xdr:blipFill>
        <a:blip xmlns:r="http://schemas.openxmlformats.org/officeDocument/2006/relationships" r:embed="rId3"/>
        <a:stretch>
          <a:fillRect/>
        </a:stretch>
      </xdr:blipFill>
      <xdr:spPr>
        <a:xfrm>
          <a:off x="762000" y="6591300"/>
          <a:ext cx="5605661" cy="1781175"/>
        </a:xfrm>
        <a:prstGeom prst="rect">
          <a:avLst/>
        </a:prstGeom>
      </xdr:spPr>
    </xdr:pic>
    <xdr:clientData/>
  </xdr:twoCellAnchor>
  <xdr:twoCellAnchor editAs="oneCell">
    <xdr:from>
      <xdr:col>1</xdr:col>
      <xdr:colOff>0</xdr:colOff>
      <xdr:row>53</xdr:row>
      <xdr:rowOff>0</xdr:rowOff>
    </xdr:from>
    <xdr:to>
      <xdr:col>8</xdr:col>
      <xdr:colOff>400049</xdr:colOff>
      <xdr:row>72</xdr:row>
      <xdr:rowOff>49255</xdr:rowOff>
    </xdr:to>
    <xdr:pic>
      <xdr:nvPicPr>
        <xdr:cNvPr id="5" name="Imagen 4">
          <a:extLst>
            <a:ext uri="{FF2B5EF4-FFF2-40B4-BE49-F238E27FC236}">
              <a16:creationId xmlns:a16="http://schemas.microsoft.com/office/drawing/2014/main" id="{3D65A3D0-8387-3B91-52E1-D9BA09F5D429}"/>
            </a:ext>
          </a:extLst>
        </xdr:cNvPr>
        <xdr:cNvPicPr>
          <a:picLocks noChangeAspect="1"/>
        </xdr:cNvPicPr>
      </xdr:nvPicPr>
      <xdr:blipFill>
        <a:blip xmlns:r="http://schemas.openxmlformats.org/officeDocument/2006/relationships" r:embed="rId4"/>
        <a:stretch>
          <a:fillRect/>
        </a:stretch>
      </xdr:blipFill>
      <xdr:spPr>
        <a:xfrm>
          <a:off x="762000" y="8858250"/>
          <a:ext cx="5734049" cy="3125830"/>
        </a:xfrm>
        <a:prstGeom prst="rect">
          <a:avLst/>
        </a:prstGeom>
      </xdr:spPr>
    </xdr:pic>
    <xdr:clientData/>
  </xdr:twoCellAnchor>
  <xdr:twoCellAnchor editAs="oneCell">
    <xdr:from>
      <xdr:col>1</xdr:col>
      <xdr:colOff>9526</xdr:colOff>
      <xdr:row>79</xdr:row>
      <xdr:rowOff>114300</xdr:rowOff>
    </xdr:from>
    <xdr:to>
      <xdr:col>8</xdr:col>
      <xdr:colOff>544362</xdr:colOff>
      <xdr:row>100</xdr:row>
      <xdr:rowOff>149845</xdr:rowOff>
    </xdr:to>
    <xdr:pic>
      <xdr:nvPicPr>
        <xdr:cNvPr id="6" name="Imagen 5">
          <a:extLst>
            <a:ext uri="{FF2B5EF4-FFF2-40B4-BE49-F238E27FC236}">
              <a16:creationId xmlns:a16="http://schemas.microsoft.com/office/drawing/2014/main" id="{5A552B78-5271-CAB6-8363-9CEE4B339AF2}"/>
            </a:ext>
          </a:extLst>
        </xdr:cNvPr>
        <xdr:cNvPicPr>
          <a:picLocks noChangeAspect="1"/>
        </xdr:cNvPicPr>
      </xdr:nvPicPr>
      <xdr:blipFill>
        <a:blip xmlns:r="http://schemas.openxmlformats.org/officeDocument/2006/relationships" r:embed="rId5"/>
        <a:stretch>
          <a:fillRect/>
        </a:stretch>
      </xdr:blipFill>
      <xdr:spPr>
        <a:xfrm>
          <a:off x="771526" y="13182600"/>
          <a:ext cx="5868836" cy="3435970"/>
        </a:xfrm>
        <a:prstGeom prst="rect">
          <a:avLst/>
        </a:prstGeom>
      </xdr:spPr>
    </xdr:pic>
    <xdr:clientData/>
  </xdr:twoCellAnchor>
  <xdr:twoCellAnchor editAs="oneCell">
    <xdr:from>
      <xdr:col>10</xdr:col>
      <xdr:colOff>0</xdr:colOff>
      <xdr:row>0</xdr:row>
      <xdr:rowOff>0</xdr:rowOff>
    </xdr:from>
    <xdr:to>
      <xdr:col>16</xdr:col>
      <xdr:colOff>66675</xdr:colOff>
      <xdr:row>17</xdr:row>
      <xdr:rowOff>4612</xdr:rowOff>
    </xdr:to>
    <xdr:pic>
      <xdr:nvPicPr>
        <xdr:cNvPr id="7" name="Imagen 6">
          <a:extLst>
            <a:ext uri="{FF2B5EF4-FFF2-40B4-BE49-F238E27FC236}">
              <a16:creationId xmlns:a16="http://schemas.microsoft.com/office/drawing/2014/main" id="{3F735801-98E0-BC04-9DD5-5003506039D7}"/>
            </a:ext>
          </a:extLst>
        </xdr:cNvPr>
        <xdr:cNvPicPr>
          <a:picLocks noChangeAspect="1"/>
        </xdr:cNvPicPr>
      </xdr:nvPicPr>
      <xdr:blipFill>
        <a:blip xmlns:r="http://schemas.openxmlformats.org/officeDocument/2006/relationships" r:embed="rId6"/>
        <a:stretch>
          <a:fillRect/>
        </a:stretch>
      </xdr:blipFill>
      <xdr:spPr>
        <a:xfrm>
          <a:off x="7715250" y="0"/>
          <a:ext cx="4638675" cy="275733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EILIN JULIANA MURCIA NINO" id="{D9D4C16D-1FA2-4F1A-B6F0-59A36A05F1D3}" userId="S::emurcian@educacionbogota.gov.co::ea3178b4-f7b1-42f3-9d23-3f3ab82613b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6" dT="2025-04-04T16:08:00.11" personId="{D9D4C16D-1FA2-4F1A-B6F0-59A36A05F1D3}" id="{73FA13D9-48EF-4E9D-AFE9-24A8E2A44277}">
    <text>Los valores incluido IVA deben estar formulados. 
Adicionalmente, se evidenció que la cotización 1 y 3 tienen valores antes de IVA y después de IVA iguales en los ítems 2 al 41, por lo cual ajusto la formulación.</text>
  </threadedComment>
  <threadedComment ref="S6" dT="2025-04-04T16:12:34.15" personId="{D9D4C16D-1FA2-4F1A-B6F0-59A36A05F1D3}" id="{6D5E29D3-2B06-4F72-95E5-0D222034AD8F}">
    <text>Las medidas de tendencia central se calculan sobre precios unitarios antes de IVA, adicionalmente las formulas deben incluir REDONDEO. 
Se realizan los ajustes, por favor revisar.</text>
  </threadedComment>
  <threadedComment ref="T6" dT="2025-04-04T16:21:40.02" personId="{D9D4C16D-1FA2-4F1A-B6F0-59A36A05F1D3}" id="{5E6BC600-58A8-47D5-AC73-1D97AE2B4B9F}">
    <text>Las medidas de tendencia central se calculan sobre precios unitarios antes de IVA, adicionalmente las formulas deben incluir REDONDEO. 
Se realizan los ajustes, por favor revisar</text>
  </threadedComment>
  <threadedComment ref="V6" dT="2025-04-04T16:11:32.24" personId="{D9D4C16D-1FA2-4F1A-B6F0-59A36A05F1D3}" id="{C4A486C9-030E-4CC7-9ED3-0C159881EF59}">
    <text>La desviación estándar estaba tomando una combinación de precios antes y después de IVA, por lo cual se ajusta la formulación.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8" Type="http://schemas.openxmlformats.org/officeDocument/2006/relationships/hyperlink" Target="https://operaciones.colombiacompra.gov.co/tienda-virtual-del-estado-colombiano/ordenes-compra/113883" TargetMode="External"/><Relationship Id="rId13" Type="http://schemas.openxmlformats.org/officeDocument/2006/relationships/hyperlink" Target="https://operaciones.colombiacompra.gov.co/tienda-virtual-del-estado-colombiano/ordenes-compra/102078" TargetMode="External"/><Relationship Id="rId18" Type="http://schemas.openxmlformats.org/officeDocument/2006/relationships/hyperlink" Target="https://operaciones.colombiacompra.gov.co/tienda-virtual-del-estado-colombiano/ordenes-compra/79603" TargetMode="External"/><Relationship Id="rId26" Type="http://schemas.openxmlformats.org/officeDocument/2006/relationships/drawing" Target="../drawings/drawing1.xml"/><Relationship Id="rId3"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asc&amp;order=Estado" TargetMode="External"/><Relationship Id="rId21" Type="http://schemas.openxmlformats.org/officeDocument/2006/relationships/hyperlink" Target="https://operaciones.colombiacompra.gov.co/tienda-virtual-del-estado-colombiano/ordenes-compra/41121" TargetMode="External"/><Relationship Id="rId7" Type="http://schemas.openxmlformats.org/officeDocument/2006/relationships/hyperlink" Target="https://operaciones.colombiacompra.gov.co/tienda-virtual-del-estado-colombiano/ordenes-compra/113905" TargetMode="External"/><Relationship Id="rId12" Type="http://schemas.openxmlformats.org/officeDocument/2006/relationships/hyperlink" Target="https://operaciones.colombiacompra.gov.co/tienda-virtual-del-estado-colombiano/ordenes-compra/102079" TargetMode="External"/><Relationship Id="rId17" Type="http://schemas.openxmlformats.org/officeDocument/2006/relationships/hyperlink" Target="https://operaciones.colombiacompra.gov.co/tienda-virtual-del-estado-colombiano/ordenes-compra/79604" TargetMode="External"/><Relationship Id="rId25" Type="http://schemas.openxmlformats.org/officeDocument/2006/relationships/hyperlink" Target="https://operaciones.colombiacompra.gov.co/tienda-virtual-del-estado-colombiano/ordenes-compra/34570" TargetMode="External"/><Relationship Id="rId2"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asc&amp;order=Fecha%20de%20la%20orden" TargetMode="External"/><Relationship Id="rId16" Type="http://schemas.openxmlformats.org/officeDocument/2006/relationships/hyperlink" Target="https://operaciones.colombiacompra.gov.co/tienda-virtual-del-estado-colombiano/ordenes-compra/79605" TargetMode="External"/><Relationship Id="rId20" Type="http://schemas.openxmlformats.org/officeDocument/2006/relationships/hyperlink" Target="https://operaciones.colombiacompra.gov.co/tienda-virtual-del-estado-colombiano/ordenes-compra/41122" TargetMode="External"/><Relationship Id="rId1"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desc&amp;order=Orden%20de%20Compra" TargetMode="External"/><Relationship Id="rId6"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asc&amp;order=Proveedor" TargetMode="External"/><Relationship Id="rId11" Type="http://schemas.openxmlformats.org/officeDocument/2006/relationships/hyperlink" Target="https://operaciones.colombiacompra.gov.co/tienda-virtual-del-estado-colombiano/ordenes-compra/102081" TargetMode="External"/><Relationship Id="rId24" Type="http://schemas.openxmlformats.org/officeDocument/2006/relationships/hyperlink" Target="https://operaciones.colombiacompra.gov.co/tienda-virtual-del-estado-colombiano/ordenes-compra/34572" TargetMode="External"/><Relationship Id="rId5"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asc&amp;order=Total" TargetMode="External"/><Relationship Id="rId15" Type="http://schemas.openxmlformats.org/officeDocument/2006/relationships/hyperlink" Target="https://operaciones.colombiacompra.gov.co/tienda-virtual-del-estado-colombiano/ordenes-compra/80448" TargetMode="External"/><Relationship Id="rId23" Type="http://schemas.openxmlformats.org/officeDocument/2006/relationships/hyperlink" Target="https://operaciones.colombiacompra.gov.co/tienda-virtual-del-estado-colombiano/ordenes-compra/34573" TargetMode="External"/><Relationship Id="rId10" Type="http://schemas.openxmlformats.org/officeDocument/2006/relationships/hyperlink" Target="https://operaciones.colombiacompra.gov.co/tienda-virtual-del-estado-colombiano/ordenes-compra/113881" TargetMode="External"/><Relationship Id="rId19" Type="http://schemas.openxmlformats.org/officeDocument/2006/relationships/hyperlink" Target="https://operaciones.colombiacompra.gov.co/tienda-virtual-del-estado-colombiano/ordenes-compra/79601" TargetMode="External"/><Relationship Id="rId4" Type="http://schemas.openxmlformats.org/officeDocument/2006/relationships/hyperlink" Target="https://operaciones.colombiacompra.gov.co/tienda-virtual-del-estado-colombiano/ordenes-compra?number_order=&amp;state=&amp;entity=SECRETARIA%20DE%20EDUCACION&amp;supplier=&amp;tool=Consumibles%20de%20Impresi%C3%B3n&amp;date_to=&amp;date_from=&amp;sort=asc&amp;order=Instrumento" TargetMode="External"/><Relationship Id="rId9" Type="http://schemas.openxmlformats.org/officeDocument/2006/relationships/hyperlink" Target="https://operaciones.colombiacompra.gov.co/tienda-virtual-del-estado-colombiano/ordenes-compra/113882" TargetMode="External"/><Relationship Id="rId14" Type="http://schemas.openxmlformats.org/officeDocument/2006/relationships/hyperlink" Target="https://operaciones.colombiacompra.gov.co/tienda-virtual-del-estado-colombiano/ordenes-compra/102077" TargetMode="External"/><Relationship Id="rId22" Type="http://schemas.openxmlformats.org/officeDocument/2006/relationships/hyperlink" Target="https://operaciones.colombiacompra.gov.co/tienda-virtual-del-estado-colombiano/ordenes-compra/41118"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799BD-D1E7-46F3-85A3-C7C62E4331DF}">
  <sheetPr>
    <tabColor rgb="FFFFC000"/>
  </sheetPr>
  <dimension ref="A2:DE22"/>
  <sheetViews>
    <sheetView tabSelected="1" zoomScale="85" zoomScaleNormal="85" workbookViewId="0">
      <pane xSplit="3" topLeftCell="D1" activePane="topRight" state="frozen"/>
      <selection activeCell="A7" sqref="A7"/>
      <selection pane="topRight" activeCell="BJ7" sqref="BJ7"/>
    </sheetView>
  </sheetViews>
  <sheetFormatPr baseColWidth="10" defaultColWidth="9.140625" defaultRowHeight="13.5"/>
  <cols>
    <col min="1" max="1" width="2" style="238" bestFit="1" customWidth="1"/>
    <col min="2" max="2" width="31" style="239" bestFit="1" customWidth="1"/>
    <col min="3" max="3" width="11.5703125" style="239" bestFit="1" customWidth="1"/>
    <col min="4" max="4" width="7.140625" style="239" bestFit="1" customWidth="1"/>
    <col min="5" max="5" width="11" style="239" bestFit="1" customWidth="1"/>
    <col min="6" max="6" width="10.7109375" style="240" bestFit="1" customWidth="1"/>
    <col min="7" max="7" width="11.7109375" style="240" bestFit="1" customWidth="1"/>
    <col min="8" max="8" width="11" style="240" bestFit="1" customWidth="1"/>
    <col min="9" max="9" width="10.7109375" style="240" bestFit="1" customWidth="1"/>
    <col min="10" max="10" width="11.7109375" style="240" bestFit="1" customWidth="1"/>
    <col min="11" max="11" width="11" style="240" bestFit="1" customWidth="1"/>
    <col min="12" max="12" width="10.7109375" style="240" bestFit="1" customWidth="1"/>
    <col min="13" max="13" width="11.7109375" style="240" bestFit="1" customWidth="1"/>
    <col min="14" max="14" width="11" style="240" bestFit="1" customWidth="1"/>
    <col min="15" max="15" width="10.7109375" style="240" bestFit="1" customWidth="1"/>
    <col min="16" max="16" width="11.7109375" style="240" bestFit="1" customWidth="1"/>
    <col min="17" max="17" width="11" style="240" bestFit="1" customWidth="1"/>
    <col min="18" max="18" width="10.7109375" style="240" bestFit="1" customWidth="1"/>
    <col min="19" max="19" width="11.7109375" style="240" bestFit="1" customWidth="1"/>
    <col min="20" max="20" width="1.7109375" style="269" customWidth="1"/>
    <col min="21" max="21" width="8.7109375" style="300" hidden="1" customWidth="1"/>
    <col min="22" max="22" width="10.28515625" style="300" hidden="1" customWidth="1"/>
    <col min="23" max="23" width="8.7109375" style="300" hidden="1" customWidth="1"/>
    <col min="24" max="24" width="9.140625" style="300" hidden="1" customWidth="1"/>
    <col min="25" max="25" width="10.140625" style="300" hidden="1" customWidth="1"/>
    <col min="26" max="26" width="4.7109375" style="300" hidden="1" customWidth="1"/>
    <col min="27" max="27" width="11.5703125" style="300" hidden="1" customWidth="1"/>
    <col min="28" max="28" width="17" style="300" hidden="1" customWidth="1"/>
    <col min="29" max="29" width="13.5703125" style="300" hidden="1" customWidth="1"/>
    <col min="30" max="30" width="2" style="300" hidden="1" customWidth="1"/>
    <col min="31" max="31" width="9.140625" style="300" hidden="1" customWidth="1"/>
    <col min="32" max="32" width="9.28515625" style="301" hidden="1" customWidth="1"/>
    <col min="33" max="33" width="10" style="301" hidden="1" customWidth="1"/>
    <col min="34" max="34" width="10.85546875" style="241" bestFit="1" customWidth="1"/>
    <col min="35" max="35" width="9.7109375" style="241" bestFit="1" customWidth="1"/>
    <col min="36" max="36" width="12.140625" style="241" bestFit="1" customWidth="1"/>
    <col min="37" max="37" width="14.85546875" style="241" bestFit="1" customWidth="1"/>
    <col min="38" max="38" width="12.140625" style="241" bestFit="1" customWidth="1"/>
    <col min="39" max="40" width="14.85546875" style="241" bestFit="1" customWidth="1"/>
    <col min="41" max="41" width="0.85546875" style="240" hidden="1" customWidth="1"/>
    <col min="42" max="42" width="9.85546875" style="240" bestFit="1" customWidth="1"/>
    <col min="43" max="43" width="9.7109375" style="240" bestFit="1" customWidth="1"/>
    <col min="44" max="44" width="11.28515625" style="240" bestFit="1" customWidth="1"/>
    <col min="45" max="45" width="9.7109375" style="240" bestFit="1" customWidth="1"/>
    <col min="46" max="46" width="11.28515625" style="240" bestFit="1" customWidth="1"/>
    <col min="47" max="50" width="11.42578125" style="240" bestFit="1" customWidth="1"/>
    <col min="51" max="51" width="1" style="240" hidden="1" customWidth="1"/>
    <col min="52" max="52" width="8.7109375" style="240" bestFit="1" customWidth="1"/>
    <col min="53" max="53" width="9.28515625" style="240" bestFit="1" customWidth="1"/>
    <col min="54" max="54" width="9.7109375" style="240" bestFit="1" customWidth="1"/>
    <col min="55" max="55" width="11.28515625" style="240" bestFit="1" customWidth="1"/>
    <col min="56" max="56" width="12.5703125" style="240" bestFit="1" customWidth="1"/>
    <col min="57" max="57" width="9.7109375" style="415" customWidth="1"/>
    <col min="58" max="58" width="2.28515625" style="240" hidden="1" customWidth="1"/>
    <col min="59" max="59" width="11.7109375" style="240" bestFit="1" customWidth="1"/>
    <col min="60" max="60" width="16.7109375" style="240" bestFit="1" customWidth="1"/>
    <col min="61" max="61" width="16.28515625" style="240" bestFit="1" customWidth="1"/>
    <col min="62" max="62" width="2.28515625" style="240" customWidth="1"/>
    <col min="63" max="94" width="2.28515625" style="240" hidden="1" customWidth="1"/>
    <col min="95" max="95" width="11.28515625" style="241" hidden="1" customWidth="1"/>
    <col min="96" max="96" width="13.140625" style="241" hidden="1" customWidth="1"/>
    <col min="97" max="97" width="13.5703125" style="241" hidden="1" customWidth="1"/>
    <col min="98" max="98" width="6.42578125" style="241" hidden="1" customWidth="1"/>
    <col min="99" max="99" width="9.42578125" style="241" hidden="1" customWidth="1"/>
    <col min="100" max="100" width="13.140625" style="241" hidden="1" customWidth="1"/>
    <col min="101" max="101" width="13.5703125" style="241" hidden="1" customWidth="1"/>
    <col min="102" max="102" width="6.42578125" style="241" hidden="1" customWidth="1"/>
    <col min="103" max="103" width="1.140625" style="241" hidden="1" customWidth="1"/>
    <col min="104" max="104" width="11.28515625" style="241" hidden="1" customWidth="1"/>
    <col min="105" max="105" width="7.140625" style="241" hidden="1" customWidth="1"/>
    <col min="106" max="106" width="13.28515625" style="241" hidden="1" customWidth="1"/>
    <col min="107" max="107" width="9.7109375" style="241" hidden="1" customWidth="1"/>
    <col min="108" max="108" width="7.140625" style="241" hidden="1" customWidth="1"/>
    <col min="109" max="109" width="13.28515625" style="241" hidden="1" customWidth="1"/>
    <col min="110" max="112" width="0" style="241" hidden="1" customWidth="1"/>
    <col min="113" max="16384" width="9.140625" style="241"/>
  </cols>
  <sheetData>
    <row r="2" spans="1:109" ht="14.25" thickBot="1"/>
    <row r="3" spans="1:109" ht="13.5" customHeight="1">
      <c r="A3" s="324">
        <v>9</v>
      </c>
      <c r="B3" s="325"/>
      <c r="C3" s="325"/>
      <c r="D3" s="242"/>
      <c r="E3" s="242"/>
      <c r="F3" s="243"/>
      <c r="G3" s="243"/>
      <c r="H3" s="243"/>
      <c r="I3" s="243"/>
      <c r="J3" s="243"/>
      <c r="K3" s="243"/>
      <c r="L3" s="243"/>
      <c r="M3" s="243"/>
      <c r="N3" s="243"/>
      <c r="O3" s="243"/>
      <c r="P3" s="243"/>
      <c r="Q3" s="243"/>
      <c r="R3" s="243"/>
      <c r="S3" s="243"/>
      <c r="T3" s="245"/>
      <c r="U3" s="302"/>
      <c r="V3" s="302"/>
      <c r="W3" s="302"/>
      <c r="Y3" s="303"/>
      <c r="Z3" s="303"/>
      <c r="AA3" s="329" t="s">
        <v>0</v>
      </c>
      <c r="AB3" s="329"/>
      <c r="AC3" s="329"/>
      <c r="AD3" s="303"/>
      <c r="AE3" s="303"/>
      <c r="AF3" s="340" t="s">
        <v>1</v>
      </c>
      <c r="AG3" s="341"/>
      <c r="AH3" s="342"/>
      <c r="AI3" s="342"/>
      <c r="AJ3" s="342"/>
      <c r="AK3" s="342"/>
      <c r="AL3" s="342"/>
      <c r="AM3" s="342"/>
      <c r="AN3" s="342"/>
      <c r="AO3" s="243"/>
      <c r="AP3" s="243"/>
      <c r="AQ3" s="243"/>
      <c r="AR3" s="243"/>
      <c r="AS3" s="243"/>
      <c r="AT3" s="243"/>
      <c r="AU3" s="243"/>
      <c r="AV3" s="243"/>
      <c r="AW3" s="243"/>
      <c r="AX3" s="243"/>
      <c r="AY3" s="243"/>
      <c r="AZ3" s="243"/>
      <c r="BA3" s="243"/>
      <c r="BB3" s="243"/>
      <c r="BC3" s="243"/>
      <c r="BD3" s="243"/>
      <c r="BE3" s="416"/>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340" t="s">
        <v>2</v>
      </c>
      <c r="CR3" s="341"/>
      <c r="CS3" s="341"/>
      <c r="CT3" s="341"/>
      <c r="CU3" s="341"/>
      <c r="CV3" s="341"/>
      <c r="CW3" s="341"/>
      <c r="CX3" s="343"/>
    </row>
    <row r="4" spans="1:109" ht="13.5" customHeight="1">
      <c r="B4" s="294"/>
      <c r="C4" s="294"/>
      <c r="D4" s="294"/>
      <c r="E4" s="244"/>
      <c r="F4" s="244"/>
      <c r="G4" s="243"/>
      <c r="H4" s="243"/>
      <c r="I4" s="243"/>
      <c r="J4" s="243"/>
      <c r="K4" s="243"/>
      <c r="L4" s="243"/>
      <c r="M4" s="243"/>
      <c r="N4" s="243"/>
      <c r="O4" s="243"/>
      <c r="P4" s="243"/>
      <c r="Q4" s="243"/>
      <c r="R4" s="244"/>
      <c r="S4" s="243"/>
      <c r="T4" s="245"/>
      <c r="U4" s="303"/>
      <c r="V4" s="303"/>
      <c r="W4" s="303"/>
      <c r="X4" s="303"/>
      <c r="Y4" s="303"/>
      <c r="Z4" s="303"/>
      <c r="AA4" s="303"/>
      <c r="AB4" s="303"/>
      <c r="AC4" s="303"/>
      <c r="AD4" s="303"/>
      <c r="AE4" s="303"/>
      <c r="AH4" s="347" t="s">
        <v>3</v>
      </c>
      <c r="AI4" s="347"/>
      <c r="AJ4" s="348" t="s">
        <v>4</v>
      </c>
      <c r="AK4" s="348"/>
      <c r="AL4" s="348"/>
      <c r="AM4" s="348"/>
      <c r="AN4" s="348"/>
      <c r="AO4" s="243"/>
      <c r="AU4" s="243"/>
      <c r="AV4" s="243"/>
      <c r="AW4" s="243"/>
      <c r="AX4" s="243"/>
      <c r="AY4" s="243"/>
      <c r="BF4" s="243"/>
      <c r="BG4" s="243"/>
      <c r="BH4" s="243"/>
      <c r="BI4" s="243"/>
      <c r="BJ4" s="243"/>
      <c r="BK4" s="243"/>
      <c r="BL4" s="243"/>
      <c r="BM4" s="243"/>
      <c r="BN4" s="243"/>
      <c r="BO4" s="243"/>
      <c r="BP4" s="243"/>
      <c r="BQ4" s="243"/>
      <c r="BR4" s="243"/>
      <c r="BS4" s="243"/>
      <c r="BT4" s="243"/>
      <c r="BU4" s="243"/>
      <c r="BV4" s="243"/>
      <c r="BW4" s="243"/>
      <c r="BX4" s="243"/>
      <c r="BY4" s="243"/>
      <c r="BZ4" s="243"/>
      <c r="CA4" s="243"/>
      <c r="CB4" s="243"/>
      <c r="CC4" s="243"/>
      <c r="CD4" s="243"/>
      <c r="CE4" s="243"/>
      <c r="CF4" s="243"/>
      <c r="CG4" s="243"/>
      <c r="CH4" s="243"/>
      <c r="CI4" s="243"/>
      <c r="CJ4" s="243"/>
      <c r="CK4" s="243"/>
      <c r="CL4" s="243"/>
      <c r="CM4" s="243"/>
      <c r="CN4" s="243"/>
      <c r="CO4" s="243"/>
      <c r="CP4" s="243"/>
    </row>
    <row r="5" spans="1:109" s="248" customFormat="1" ht="38.25" customHeight="1">
      <c r="A5" s="327" t="s">
        <v>5</v>
      </c>
      <c r="B5" s="327"/>
      <c r="C5" s="327"/>
      <c r="D5" s="327"/>
      <c r="E5" s="326" t="s">
        <v>6</v>
      </c>
      <c r="F5" s="326"/>
      <c r="G5" s="326"/>
      <c r="H5" s="331" t="s">
        <v>7</v>
      </c>
      <c r="I5" s="331"/>
      <c r="J5" s="331"/>
      <c r="K5" s="326" t="s">
        <v>8</v>
      </c>
      <c r="L5" s="326"/>
      <c r="M5" s="326"/>
      <c r="N5" s="331" t="s">
        <v>9</v>
      </c>
      <c r="O5" s="331"/>
      <c r="P5" s="331"/>
      <c r="Q5" s="326" t="s">
        <v>10</v>
      </c>
      <c r="R5" s="326"/>
      <c r="S5" s="326"/>
      <c r="T5" s="249"/>
      <c r="U5" s="328" t="s">
        <v>11</v>
      </c>
      <c r="V5" s="328"/>
      <c r="W5" s="328"/>
      <c r="X5" s="328"/>
      <c r="Y5" s="328"/>
      <c r="Z5" s="328"/>
      <c r="AA5" s="329" t="s">
        <v>12</v>
      </c>
      <c r="AB5" s="329"/>
      <c r="AC5" s="329"/>
      <c r="AD5" s="305"/>
      <c r="AE5" s="305"/>
      <c r="AF5" s="306"/>
      <c r="AG5" s="306"/>
      <c r="AH5" s="344" t="s">
        <v>3</v>
      </c>
      <c r="AI5" s="344"/>
      <c r="AJ5" s="282" t="s">
        <v>13</v>
      </c>
      <c r="AK5" s="282" t="s">
        <v>14</v>
      </c>
      <c r="AL5" s="282" t="s">
        <v>15</v>
      </c>
      <c r="AM5" s="282" t="s">
        <v>16</v>
      </c>
      <c r="AN5" s="282" t="s">
        <v>17</v>
      </c>
      <c r="AO5" s="297"/>
      <c r="AP5" s="344" t="s">
        <v>18</v>
      </c>
      <c r="AQ5" s="344"/>
      <c r="AR5" s="344"/>
      <c r="AS5" s="344"/>
      <c r="AT5" s="344"/>
      <c r="AU5" s="344" t="s">
        <v>19</v>
      </c>
      <c r="AV5" s="344"/>
      <c r="AW5" s="344"/>
      <c r="AX5" s="344"/>
      <c r="AY5" s="297"/>
      <c r="AZ5" s="346" t="s">
        <v>11</v>
      </c>
      <c r="BA5" s="346"/>
      <c r="BB5" s="346"/>
      <c r="BC5" s="346"/>
      <c r="BD5" s="346"/>
      <c r="BE5" s="346"/>
      <c r="BF5" s="245"/>
      <c r="BG5" s="345" t="s">
        <v>12</v>
      </c>
      <c r="BH5" s="345"/>
      <c r="BI5" s="345"/>
      <c r="BJ5" s="245"/>
      <c r="BK5" s="245"/>
      <c r="BL5" s="245"/>
      <c r="BM5" s="245"/>
      <c r="BN5" s="245"/>
      <c r="BO5" s="245"/>
      <c r="BP5" s="245"/>
      <c r="BQ5" s="245"/>
      <c r="BR5" s="245"/>
      <c r="BS5" s="245"/>
      <c r="BT5" s="245"/>
      <c r="BU5" s="245"/>
      <c r="BV5" s="245"/>
      <c r="BW5" s="245"/>
      <c r="BX5" s="245"/>
      <c r="BY5" s="245"/>
      <c r="BZ5" s="245"/>
      <c r="CA5" s="245"/>
      <c r="CB5" s="245"/>
      <c r="CC5" s="245"/>
      <c r="CD5" s="245"/>
      <c r="CE5" s="245"/>
      <c r="CF5" s="245"/>
      <c r="CG5" s="245"/>
      <c r="CH5" s="245"/>
      <c r="CI5" s="245"/>
      <c r="CJ5" s="245"/>
      <c r="CK5" s="245"/>
      <c r="CL5" s="245"/>
      <c r="CM5" s="245"/>
      <c r="CN5" s="245"/>
      <c r="CO5" s="245"/>
      <c r="CP5" s="245"/>
      <c r="CQ5" s="334" t="s">
        <v>20</v>
      </c>
      <c r="CR5" s="335"/>
      <c r="CS5" s="336"/>
      <c r="CT5" s="247"/>
      <c r="CU5" s="337" t="s">
        <v>20</v>
      </c>
      <c r="CV5" s="338"/>
      <c r="CW5" s="339"/>
      <c r="CX5" s="272"/>
      <c r="CZ5" s="332" t="s">
        <v>21</v>
      </c>
      <c r="DA5" s="333"/>
      <c r="DB5" s="333"/>
      <c r="DC5" s="333"/>
      <c r="DD5" s="333"/>
      <c r="DE5" s="333"/>
    </row>
    <row r="6" spans="1:109" s="248" customFormat="1" ht="51">
      <c r="A6" s="261" t="s">
        <v>22</v>
      </c>
      <c r="B6" s="260" t="s">
        <v>23</v>
      </c>
      <c r="C6" s="260" t="s">
        <v>24</v>
      </c>
      <c r="D6" s="262" t="s">
        <v>25</v>
      </c>
      <c r="E6" s="291" t="s">
        <v>26</v>
      </c>
      <c r="F6" s="291" t="s">
        <v>27</v>
      </c>
      <c r="G6" s="291" t="s">
        <v>28</v>
      </c>
      <c r="H6" s="292" t="s">
        <v>26</v>
      </c>
      <c r="I6" s="292" t="s">
        <v>27</v>
      </c>
      <c r="J6" s="292" t="s">
        <v>28</v>
      </c>
      <c r="K6" s="291" t="s">
        <v>26</v>
      </c>
      <c r="L6" s="291" t="s">
        <v>27</v>
      </c>
      <c r="M6" s="291" t="s">
        <v>28</v>
      </c>
      <c r="N6" s="292" t="s">
        <v>26</v>
      </c>
      <c r="O6" s="292" t="s">
        <v>27</v>
      </c>
      <c r="P6" s="292" t="s">
        <v>28</v>
      </c>
      <c r="Q6" s="291" t="s">
        <v>26</v>
      </c>
      <c r="R6" s="291" t="s">
        <v>27</v>
      </c>
      <c r="S6" s="291" t="s">
        <v>28</v>
      </c>
      <c r="T6" s="249"/>
      <c r="U6" s="307" t="s">
        <v>29</v>
      </c>
      <c r="V6" s="307" t="s">
        <v>30</v>
      </c>
      <c r="W6" s="307" t="s">
        <v>31</v>
      </c>
      <c r="X6" s="307" t="s">
        <v>32</v>
      </c>
      <c r="Y6" s="307" t="s">
        <v>33</v>
      </c>
      <c r="Z6" s="307" t="s">
        <v>34</v>
      </c>
      <c r="AA6" s="307" t="s">
        <v>26</v>
      </c>
      <c r="AB6" s="307" t="s">
        <v>35</v>
      </c>
      <c r="AC6" s="307" t="s">
        <v>36</v>
      </c>
      <c r="AD6" s="305"/>
      <c r="AE6" s="308"/>
      <c r="AF6" s="304" t="s">
        <v>37</v>
      </c>
      <c r="AG6" s="304" t="s">
        <v>38</v>
      </c>
      <c r="AH6" s="293" t="s">
        <v>39</v>
      </c>
      <c r="AI6" s="293" t="s">
        <v>40</v>
      </c>
      <c r="AJ6" s="293" t="s">
        <v>26</v>
      </c>
      <c r="AK6" s="293" t="s">
        <v>26</v>
      </c>
      <c r="AL6" s="293" t="s">
        <v>26</v>
      </c>
      <c r="AM6" s="293" t="s">
        <v>26</v>
      </c>
      <c r="AN6" s="293" t="s">
        <v>26</v>
      </c>
      <c r="AO6" s="297"/>
      <c r="AP6" s="79" t="s">
        <v>32</v>
      </c>
      <c r="AQ6" s="79" t="s">
        <v>31</v>
      </c>
      <c r="AR6" s="79" t="s">
        <v>41</v>
      </c>
      <c r="AS6" s="79" t="s">
        <v>42</v>
      </c>
      <c r="AT6" s="79" t="s">
        <v>33</v>
      </c>
      <c r="AU6" s="79" t="s">
        <v>43</v>
      </c>
      <c r="AV6" s="79" t="s">
        <v>44</v>
      </c>
      <c r="AW6" s="79" t="s">
        <v>45</v>
      </c>
      <c r="AX6" s="79" t="s">
        <v>46</v>
      </c>
      <c r="AY6" s="297"/>
      <c r="AZ6" s="249" t="s">
        <v>29</v>
      </c>
      <c r="BA6" s="249" t="s">
        <v>30</v>
      </c>
      <c r="BB6" s="249" t="s">
        <v>31</v>
      </c>
      <c r="BC6" s="249" t="s">
        <v>32</v>
      </c>
      <c r="BD6" s="249" t="s">
        <v>33</v>
      </c>
      <c r="BE6" s="417" t="s">
        <v>34</v>
      </c>
      <c r="BF6" s="245"/>
      <c r="BG6" s="117" t="s">
        <v>47</v>
      </c>
      <c r="BH6" s="117" t="s">
        <v>35</v>
      </c>
      <c r="BI6" s="117" t="s">
        <v>36</v>
      </c>
      <c r="BJ6" s="245"/>
      <c r="BK6" s="245"/>
      <c r="BL6" s="245"/>
      <c r="BM6" s="245"/>
      <c r="BN6" s="245"/>
      <c r="BO6" s="245"/>
      <c r="BP6" s="245"/>
      <c r="BQ6" s="245"/>
      <c r="BR6" s="245"/>
      <c r="BS6" s="245"/>
      <c r="BT6" s="245"/>
      <c r="BU6" s="245"/>
      <c r="BV6" s="245"/>
      <c r="BW6" s="245"/>
      <c r="BX6" s="245"/>
      <c r="BY6" s="245"/>
      <c r="BZ6" s="245"/>
      <c r="CA6" s="245"/>
      <c r="CB6" s="245"/>
      <c r="CC6" s="245"/>
      <c r="CD6" s="245"/>
      <c r="CE6" s="245"/>
      <c r="CF6" s="245"/>
      <c r="CG6" s="245"/>
      <c r="CH6" s="245"/>
      <c r="CI6" s="245"/>
      <c r="CJ6" s="245"/>
      <c r="CK6" s="245"/>
      <c r="CL6" s="245"/>
      <c r="CM6" s="245"/>
      <c r="CN6" s="245"/>
      <c r="CO6" s="245"/>
      <c r="CP6" s="245"/>
      <c r="CQ6" s="246" t="s">
        <v>32</v>
      </c>
      <c r="CR6" s="246" t="s">
        <v>48</v>
      </c>
      <c r="CS6" s="246" t="s">
        <v>49</v>
      </c>
      <c r="CT6" s="246" t="s">
        <v>50</v>
      </c>
      <c r="CU6" s="273" t="s">
        <v>31</v>
      </c>
      <c r="CV6" s="273" t="s">
        <v>48</v>
      </c>
      <c r="CW6" s="273" t="s">
        <v>49</v>
      </c>
      <c r="CX6" s="273" t="s">
        <v>50</v>
      </c>
      <c r="CZ6" s="249" t="s">
        <v>32</v>
      </c>
      <c r="DA6" s="249" t="s">
        <v>50</v>
      </c>
      <c r="DB6" s="249" t="s">
        <v>51</v>
      </c>
      <c r="DC6" s="249" t="s">
        <v>31</v>
      </c>
      <c r="DD6" s="249" t="s">
        <v>50</v>
      </c>
      <c r="DE6" s="249" t="s">
        <v>51</v>
      </c>
    </row>
    <row r="7" spans="1:109" s="265" customFormat="1" ht="100.5" customHeight="1">
      <c r="A7" s="298">
        <v>1</v>
      </c>
      <c r="B7" s="274" t="s">
        <v>52</v>
      </c>
      <c r="C7" s="250">
        <v>14</v>
      </c>
      <c r="D7" s="251">
        <v>0.19</v>
      </c>
      <c r="E7" s="252">
        <v>1125000</v>
      </c>
      <c r="F7" s="252">
        <f>ROUND((+E7*$D$7+E7),0)</f>
        <v>1338750</v>
      </c>
      <c r="G7" s="252">
        <f>ROUND((+F7*$C$7),0)</f>
        <v>18742500</v>
      </c>
      <c r="H7" s="252">
        <v>857143</v>
      </c>
      <c r="I7" s="252">
        <f>ROUND((+H7*$D$7+H7),0)</f>
        <v>1020000</v>
      </c>
      <c r="J7" s="252">
        <f>ROUND((+I7*$C$7),0)</f>
        <v>14280000</v>
      </c>
      <c r="K7" s="252">
        <v>173000</v>
      </c>
      <c r="L7" s="252">
        <f>ROUND((+K7*$D$7+K7),0)</f>
        <v>205870</v>
      </c>
      <c r="M7" s="252">
        <f>ROUND((+L7*$C$7),0)</f>
        <v>2882180</v>
      </c>
      <c r="N7" s="252">
        <v>514286</v>
      </c>
      <c r="O7" s="252">
        <f>ROUND((+N7*$D$7+N7),0)</f>
        <v>612000</v>
      </c>
      <c r="P7" s="252">
        <f>ROUND((+O7*$C$7),0)</f>
        <v>8568000</v>
      </c>
      <c r="Q7" s="252">
        <f>341417*5.1%+341417</f>
        <v>358829.26699999999</v>
      </c>
      <c r="R7" s="252">
        <f>ROUND((+Q7*$D$7+Q7),0)</f>
        <v>427007</v>
      </c>
      <c r="S7" s="252">
        <f>ROUND((+R7*$C$7),0)</f>
        <v>5978098</v>
      </c>
      <c r="T7" s="252"/>
      <c r="U7" s="309">
        <f>ROUND(MIN(E7,H7,K7,N7,Q7),0)</f>
        <v>173000</v>
      </c>
      <c r="V7" s="309">
        <f>ROUND(MAX(E7,H7,K7,N7,Q7),0)</f>
        <v>1125000</v>
      </c>
      <c r="W7" s="309">
        <f>ROUND(MEDIAN(E7,H7,K7,N7,Q7),0)</f>
        <v>514286</v>
      </c>
      <c r="X7" s="309">
        <f>ROUND(AVERAGE(E7,H7,K7,N7,Q7),0)</f>
        <v>605652</v>
      </c>
      <c r="Y7" s="309">
        <f>+STDEV(E7,H7,K7,N7,Q7)</f>
        <v>383870.75584432989</v>
      </c>
      <c r="Z7" s="310">
        <f>Y7/X7</f>
        <v>0.63381406458548784</v>
      </c>
      <c r="AA7" s="311">
        <f>ROUND((MIN(U7:W7)+(LARGE(U7:W7,2)*4)+MAX(U7:W7))/6,0)</f>
        <v>559191</v>
      </c>
      <c r="AB7" s="312">
        <f>ROUND(AA7*(1+$D7),0)</f>
        <v>665437</v>
      </c>
      <c r="AC7" s="312">
        <f>ROUND(AB7*$C7,0)</f>
        <v>9316118</v>
      </c>
      <c r="AD7" s="313"/>
      <c r="AE7" s="314"/>
      <c r="AF7" s="309">
        <f>$X7-$Y7</f>
        <v>221781.24415567011</v>
      </c>
      <c r="AG7" s="309">
        <f>$X7+$Y7</f>
        <v>989522.75584432995</v>
      </c>
      <c r="AH7" s="99">
        <f>+X7+Y7</f>
        <v>989522.75584432995</v>
      </c>
      <c r="AI7" s="99">
        <f>X7-Y7</f>
        <v>221781.24415567011</v>
      </c>
      <c r="AJ7" s="99" t="str">
        <f>IF(AND(E7&gt;=$AF7,E7&lt;$AG7),E7,"Exluido")</f>
        <v>Exluido</v>
      </c>
      <c r="AK7" s="99">
        <f>IF(AND(H7&gt;=$AF7,H7&lt;$AG7),H7,"Exluido")</f>
        <v>857143</v>
      </c>
      <c r="AL7" s="99" t="str">
        <f>IF(AND(K7&gt;=$AF7,K7&lt;$AG7),K7,"Exluido")</f>
        <v>Exluido</v>
      </c>
      <c r="AM7" s="99">
        <f>IF(AND(N7&gt;=$AF7,N7&lt;$AG7),N7,"Exluido")</f>
        <v>514286</v>
      </c>
      <c r="AN7" s="99">
        <f>IF(AND(Q7&gt;=$AF7,Q7&lt;$AG7),Q7,"Exluido")</f>
        <v>358829.26699999999</v>
      </c>
      <c r="AO7" s="299"/>
      <c r="AP7" s="99">
        <f>ROUND(+AVERAGE(AJ7:AN7),0)</f>
        <v>576753</v>
      </c>
      <c r="AQ7" s="99">
        <f>ROUND(MEDIAN(AJ7:AN7),0)</f>
        <v>514286</v>
      </c>
      <c r="AR7" s="99">
        <f>ROUND(GEOMEAN(AJ7:AN7),0)</f>
        <v>540815</v>
      </c>
      <c r="AS7" s="99">
        <f>ROUND(HARMEAN(AJ7:AN7),0)</f>
        <v>508651</v>
      </c>
      <c r="AT7" s="101">
        <f>STDEV(AJ7:AN7)</f>
        <v>254962.18503287522</v>
      </c>
      <c r="AU7" s="102">
        <f>AT7/AP7</f>
        <v>0.44206477475258077</v>
      </c>
      <c r="AV7" s="102">
        <f>AT7/AQ7</f>
        <v>0.49575952880863028</v>
      </c>
      <c r="AW7" s="102">
        <f>AT7/AR7</f>
        <v>0.47144066831148401</v>
      </c>
      <c r="AX7" s="102">
        <f>AT7/AS7</f>
        <v>0.50125171292865878</v>
      </c>
      <c r="AY7" s="299"/>
      <c r="AZ7" s="290">
        <f>ROUND(MIN(AJ7:AN7),0)</f>
        <v>358829</v>
      </c>
      <c r="BA7" s="290">
        <f>ROUND(MAX(AJ7:AN7),0)</f>
        <v>857143</v>
      </c>
      <c r="BB7" s="290">
        <f>ROUND(MEDIAN(AJ7:AN7),0)</f>
        <v>514286</v>
      </c>
      <c r="BC7" s="290">
        <f>ROUND(AVERAGE(AJ7:AN7),0)</f>
        <v>576753</v>
      </c>
      <c r="BD7" s="290">
        <f>+STDEV(AJ7:AN7)</f>
        <v>254962.18503287522</v>
      </c>
      <c r="BE7" s="253">
        <f>BD7/BC7</f>
        <v>0.44206477475258077</v>
      </c>
      <c r="BF7" s="264"/>
      <c r="BG7" s="119">
        <f>ROUND((MIN(AZ7:BB7)+(LARGE(AZ7:BB7,2)*4)+MAX(AZ7:BB7))/6,0)</f>
        <v>545519</v>
      </c>
      <c r="BH7" s="119">
        <f>ROUND(BG7*(1+$D7),0)</f>
        <v>649168</v>
      </c>
      <c r="BI7" s="119">
        <f>ROUND(BH7*$C7,0)</f>
        <v>9088352</v>
      </c>
      <c r="BJ7" s="264"/>
      <c r="BK7" s="264"/>
      <c r="BL7" s="264"/>
      <c r="BM7" s="264"/>
      <c r="BN7" s="264"/>
      <c r="BO7" s="264"/>
      <c r="BP7" s="264"/>
      <c r="BQ7" s="264"/>
      <c r="BR7" s="264"/>
      <c r="BS7" s="264"/>
      <c r="BT7" s="264"/>
      <c r="BU7" s="264"/>
      <c r="BV7" s="264"/>
      <c r="BW7" s="264"/>
      <c r="BX7" s="264"/>
      <c r="BY7" s="264"/>
      <c r="BZ7" s="264"/>
      <c r="CA7" s="264"/>
      <c r="CB7" s="264"/>
      <c r="CC7" s="264"/>
      <c r="CD7" s="264"/>
      <c r="CE7" s="264"/>
      <c r="CF7" s="264"/>
      <c r="CG7" s="264"/>
      <c r="CH7" s="264"/>
      <c r="CI7" s="264"/>
      <c r="CJ7" s="264"/>
      <c r="CK7" s="264"/>
      <c r="CL7" s="264"/>
      <c r="CM7" s="264"/>
      <c r="CN7" s="264"/>
      <c r="CO7" s="264"/>
      <c r="CP7" s="264"/>
      <c r="CQ7" s="252">
        <f>X7</f>
        <v>605652</v>
      </c>
      <c r="CR7" s="252">
        <f>ROUND((+CQ7*D7+CQ7),0)</f>
        <v>720726</v>
      </c>
      <c r="CS7" s="279">
        <f>ROUND((+CR7*C7),0)</f>
        <v>10090164</v>
      </c>
      <c r="CT7" s="263" t="e">
        <f>#REF!/CQ7</f>
        <v>#REF!</v>
      </c>
      <c r="CU7" s="252">
        <f>W7</f>
        <v>514286</v>
      </c>
      <c r="CV7" s="252">
        <f>ROUND((+CU7*D7+CU7),0)</f>
        <v>612000</v>
      </c>
      <c r="CW7" s="252">
        <f>ROUND((CV7*C7),0)</f>
        <v>8568000</v>
      </c>
      <c r="CX7" s="263" t="e">
        <f>#REF!/CU7</f>
        <v>#REF!</v>
      </c>
      <c r="CZ7" s="252">
        <f>ROUND((X7*1.19),0)</f>
        <v>720726</v>
      </c>
      <c r="DA7" s="253">
        <f>Y7/CZ7</f>
        <v>0.53261677231615046</v>
      </c>
      <c r="DB7" s="252">
        <f>CZ7*C7</f>
        <v>10090164</v>
      </c>
      <c r="DC7" s="252">
        <f>ROUND((W7*1.19),0)</f>
        <v>612000</v>
      </c>
      <c r="DD7" s="253">
        <f>Y7/DC7</f>
        <v>0.62723979713125799</v>
      </c>
      <c r="DE7" s="252">
        <f>ROUND((DC7*C7),0)</f>
        <v>8568000</v>
      </c>
    </row>
    <row r="8" spans="1:109" s="268" customFormat="1" ht="36" customHeight="1">
      <c r="A8" s="321" t="s">
        <v>53</v>
      </c>
      <c r="B8" s="321"/>
      <c r="C8" s="295">
        <f>SUM(C7:C7)</f>
        <v>14</v>
      </c>
      <c r="D8" s="296"/>
      <c r="E8" s="322">
        <f>SUM(G7:G7)</f>
        <v>18742500</v>
      </c>
      <c r="F8" s="323"/>
      <c r="G8" s="323"/>
      <c r="H8" s="322">
        <f>SUM(J7:J7)</f>
        <v>14280000</v>
      </c>
      <c r="I8" s="323"/>
      <c r="J8" s="323"/>
      <c r="K8" s="322">
        <f>SUM(M7:M7)</f>
        <v>2882180</v>
      </c>
      <c r="L8" s="323"/>
      <c r="M8" s="323"/>
      <c r="N8" s="322">
        <f>SUM(P7:P7)</f>
        <v>8568000</v>
      </c>
      <c r="O8" s="323"/>
      <c r="P8" s="323"/>
      <c r="Q8" s="322">
        <f>SUM(S7:S7)</f>
        <v>5978098</v>
      </c>
      <c r="R8" s="323"/>
      <c r="S8" s="323"/>
      <c r="T8" s="270"/>
      <c r="U8" s="315">
        <f>SUM(U7:U7)</f>
        <v>173000</v>
      </c>
      <c r="V8" s="315">
        <f>SUM(V7:V7)</f>
        <v>1125000</v>
      </c>
      <c r="W8" s="315">
        <f>SUM(W7:W7)</f>
        <v>514286</v>
      </c>
      <c r="X8" s="315">
        <f>SUM(X7:X7)</f>
        <v>605652</v>
      </c>
      <c r="Y8" s="315">
        <f>SUM(Y7:Y7)</f>
        <v>383870.75584432989</v>
      </c>
      <c r="Z8" s="316"/>
      <c r="AA8" s="330" t="s">
        <v>49</v>
      </c>
      <c r="AB8" s="330"/>
      <c r="AC8" s="315">
        <f>SUM(AC7:AC7)</f>
        <v>9316118</v>
      </c>
      <c r="AD8" s="317"/>
      <c r="AE8" s="317"/>
      <c r="AF8" s="317"/>
      <c r="AG8" s="318"/>
      <c r="AO8" s="267"/>
      <c r="AP8" s="267"/>
      <c r="AQ8" s="267"/>
      <c r="AR8" s="267"/>
      <c r="AS8" s="267"/>
      <c r="AT8" s="267"/>
      <c r="AU8" s="267"/>
      <c r="AV8" s="267"/>
      <c r="AW8" s="267"/>
      <c r="AX8" s="267"/>
      <c r="AY8" s="267"/>
      <c r="AZ8" s="267"/>
      <c r="BA8" s="267"/>
      <c r="BB8" s="267"/>
      <c r="BC8" s="267"/>
      <c r="BD8" s="267"/>
      <c r="BE8" s="418"/>
      <c r="BF8" s="267"/>
      <c r="BG8" s="267"/>
      <c r="BH8" s="267"/>
      <c r="BI8" s="267">
        <f>+BI7/1750905</f>
        <v>5.1906596874187922</v>
      </c>
      <c r="BJ8" s="267"/>
      <c r="BK8" s="267"/>
      <c r="BL8" s="267"/>
      <c r="BM8" s="267"/>
      <c r="BN8" s="267"/>
      <c r="BO8" s="267"/>
      <c r="BP8" s="267"/>
      <c r="BQ8" s="267"/>
      <c r="BR8" s="267"/>
      <c r="BS8" s="267"/>
      <c r="BT8" s="267"/>
      <c r="BU8" s="267"/>
      <c r="BV8" s="267"/>
      <c r="BW8" s="267"/>
      <c r="BX8" s="267"/>
      <c r="BY8" s="267"/>
      <c r="BZ8" s="267"/>
      <c r="CA8" s="267"/>
      <c r="CB8" s="267"/>
      <c r="CC8" s="267"/>
      <c r="CD8" s="267"/>
      <c r="CE8" s="267"/>
      <c r="CF8" s="267"/>
      <c r="CG8" s="267"/>
      <c r="CH8" s="267"/>
      <c r="CI8" s="267"/>
      <c r="CJ8" s="267"/>
      <c r="CK8" s="267"/>
      <c r="CL8" s="267"/>
      <c r="CM8" s="267"/>
      <c r="CN8" s="267"/>
      <c r="CO8" s="267"/>
      <c r="CP8" s="267"/>
      <c r="CS8" s="266">
        <f>SUM(CS7:CS7)</f>
        <v>10090164</v>
      </c>
      <c r="CW8" s="271">
        <f>SUM(CW7:CW7)</f>
        <v>8568000</v>
      </c>
      <c r="DB8" s="268">
        <f>SUM(DB7:DB7)</f>
        <v>10090164</v>
      </c>
      <c r="DE8" s="268">
        <f>SUM(DE7:DE7)</f>
        <v>8568000</v>
      </c>
    </row>
    <row r="9" spans="1:109">
      <c r="B9" s="241"/>
      <c r="C9" s="241"/>
      <c r="D9" s="241"/>
      <c r="E9" s="241"/>
      <c r="Z9" s="303"/>
      <c r="AD9" s="319"/>
      <c r="AE9" s="303"/>
      <c r="AO9" s="254"/>
      <c r="AP9" s="254"/>
      <c r="AQ9" s="254"/>
      <c r="AR9" s="254"/>
      <c r="AS9" s="254"/>
      <c r="AT9" s="254"/>
      <c r="AU9" s="254"/>
      <c r="AV9" s="254"/>
      <c r="AW9" s="254"/>
      <c r="AX9" s="254"/>
      <c r="AY9" s="254"/>
      <c r="AZ9" s="254"/>
      <c r="BA9" s="254"/>
      <c r="BB9" s="254"/>
      <c r="BC9" s="254"/>
      <c r="BD9" s="254"/>
      <c r="BE9" s="416"/>
      <c r="BF9" s="254"/>
      <c r="BG9" s="254"/>
      <c r="BH9" s="254"/>
      <c r="BI9" s="254"/>
      <c r="BJ9" s="254"/>
      <c r="BK9" s="254"/>
      <c r="BL9" s="254"/>
      <c r="BM9" s="254"/>
      <c r="BN9" s="254"/>
      <c r="BO9" s="254"/>
      <c r="BP9" s="254"/>
      <c r="BQ9" s="254"/>
      <c r="BR9" s="254"/>
      <c r="BS9" s="254"/>
      <c r="BT9" s="254"/>
      <c r="BU9" s="254"/>
      <c r="BV9" s="254"/>
      <c r="BW9" s="254"/>
      <c r="BX9" s="254"/>
      <c r="BY9" s="254"/>
      <c r="BZ9" s="254"/>
      <c r="CA9" s="254"/>
      <c r="CB9" s="254"/>
      <c r="CC9" s="254"/>
      <c r="CD9" s="254"/>
      <c r="CE9" s="254"/>
      <c r="CF9" s="254"/>
      <c r="CG9" s="254"/>
      <c r="CH9" s="254"/>
      <c r="CI9" s="254"/>
      <c r="CJ9" s="254"/>
      <c r="CK9" s="254"/>
      <c r="CL9" s="254"/>
      <c r="CM9" s="254"/>
      <c r="CN9" s="254"/>
      <c r="CO9" s="254"/>
      <c r="CP9" s="254"/>
      <c r="CX9" s="281">
        <f>+CW8/1750905</f>
        <v>4.8934693772648998</v>
      </c>
    </row>
    <row r="10" spans="1:109">
      <c r="B10" s="241"/>
      <c r="C10" s="241"/>
      <c r="D10" s="241"/>
      <c r="E10" s="241"/>
      <c r="Z10" s="303"/>
      <c r="AD10" s="303"/>
      <c r="AE10" s="303"/>
      <c r="AO10" s="243"/>
      <c r="AP10" s="243"/>
      <c r="AQ10" s="243"/>
      <c r="AR10" s="243"/>
      <c r="AS10" s="243"/>
      <c r="AT10" s="243"/>
      <c r="AU10" s="243"/>
      <c r="AV10" s="243"/>
      <c r="AW10" s="243"/>
      <c r="AX10" s="243"/>
      <c r="AY10" s="243"/>
      <c r="AZ10" s="243"/>
      <c r="BA10" s="243"/>
      <c r="BB10" s="243"/>
      <c r="BC10" s="243"/>
      <c r="BD10" s="243"/>
      <c r="BE10" s="416"/>
      <c r="BF10" s="243"/>
      <c r="BG10" s="243"/>
      <c r="BH10" s="243"/>
      <c r="BI10" s="243"/>
      <c r="BJ10" s="243"/>
      <c r="BK10" s="243"/>
      <c r="BL10" s="243"/>
      <c r="BM10" s="243"/>
      <c r="BN10" s="243"/>
      <c r="BO10" s="243"/>
      <c r="BP10" s="243"/>
      <c r="BQ10" s="243"/>
      <c r="BR10" s="243"/>
      <c r="BS10" s="243"/>
      <c r="BT10" s="243"/>
      <c r="BU10" s="243"/>
      <c r="BV10" s="243"/>
      <c r="BW10" s="243"/>
      <c r="BX10" s="243"/>
      <c r="BY10" s="243"/>
      <c r="BZ10" s="243"/>
      <c r="CA10" s="243"/>
      <c r="CB10" s="243"/>
      <c r="CC10" s="243"/>
      <c r="CD10" s="243"/>
      <c r="CE10" s="243"/>
      <c r="CF10" s="243"/>
      <c r="CG10" s="243"/>
      <c r="CH10" s="243"/>
      <c r="CI10" s="243"/>
      <c r="CJ10" s="243"/>
      <c r="CK10" s="243"/>
      <c r="CL10" s="243"/>
      <c r="CM10" s="243"/>
      <c r="CN10" s="243"/>
      <c r="CO10" s="243"/>
      <c r="CP10" s="243"/>
      <c r="CU10" s="241">
        <f>ROUND((+CU7/1.19),0)</f>
        <v>432173</v>
      </c>
    </row>
    <row r="11" spans="1:109">
      <c r="B11" s="241"/>
      <c r="C11" s="241"/>
      <c r="D11" s="241"/>
      <c r="E11" s="241"/>
      <c r="O11" s="241"/>
      <c r="Z11" s="303"/>
      <c r="AD11" s="303"/>
      <c r="AE11" s="303"/>
      <c r="AO11" s="243"/>
      <c r="AP11" s="243"/>
      <c r="AQ11" s="243"/>
      <c r="AR11" s="243"/>
      <c r="AS11" s="243"/>
      <c r="AT11" s="243"/>
      <c r="AU11" s="243"/>
      <c r="AV11" s="243"/>
      <c r="AW11" s="243"/>
      <c r="AX11" s="243"/>
      <c r="AY11" s="243"/>
      <c r="AZ11" s="243"/>
      <c r="BA11" s="243"/>
      <c r="BB11" s="243"/>
      <c r="BC11" s="243"/>
      <c r="BD11" s="243"/>
      <c r="BE11" s="416"/>
      <c r="BF11" s="243"/>
      <c r="BG11" s="243"/>
      <c r="BH11" s="243"/>
      <c r="BI11" s="243"/>
      <c r="BJ11" s="243"/>
      <c r="BK11" s="243"/>
      <c r="BL11" s="243"/>
      <c r="BM11" s="243"/>
      <c r="BN11" s="243"/>
      <c r="BO11" s="243"/>
      <c r="BP11" s="243"/>
      <c r="BQ11" s="243"/>
      <c r="BR11" s="243"/>
      <c r="BS11" s="243"/>
      <c r="BT11" s="243"/>
      <c r="BU11" s="243"/>
      <c r="BV11" s="243"/>
      <c r="BW11" s="243"/>
      <c r="BX11" s="243"/>
      <c r="BY11" s="243"/>
      <c r="BZ11" s="243"/>
      <c r="CA11" s="243"/>
      <c r="CB11" s="243"/>
      <c r="CC11" s="243"/>
      <c r="CD11" s="243"/>
      <c r="CE11" s="243"/>
      <c r="CF11" s="243"/>
      <c r="CG11" s="243"/>
      <c r="CH11" s="243"/>
      <c r="CI11" s="243"/>
      <c r="CJ11" s="243"/>
      <c r="CK11" s="243"/>
      <c r="CL11" s="243"/>
      <c r="CM11" s="243"/>
      <c r="CN11" s="243"/>
      <c r="CO11" s="243"/>
      <c r="CP11" s="243"/>
      <c r="CR11" s="240"/>
    </row>
    <row r="12" spans="1:109">
      <c r="B12" s="241"/>
      <c r="C12" s="241"/>
      <c r="D12" s="255"/>
      <c r="E12" s="255"/>
      <c r="Z12" s="303"/>
      <c r="AD12" s="303"/>
      <c r="AE12" s="303"/>
      <c r="AO12" s="243"/>
      <c r="AP12" s="243"/>
      <c r="AQ12" s="243"/>
      <c r="AR12" s="243"/>
      <c r="AS12" s="243"/>
      <c r="AT12" s="243"/>
      <c r="AU12" s="243"/>
      <c r="AV12" s="243"/>
      <c r="AW12" s="243"/>
      <c r="AX12" s="243"/>
      <c r="AY12" s="243"/>
      <c r="AZ12" s="243"/>
      <c r="BA12" s="243"/>
      <c r="BB12" s="243"/>
      <c r="BC12" s="243"/>
      <c r="BD12" s="243"/>
      <c r="BE12" s="416"/>
      <c r="BF12" s="243"/>
      <c r="BG12" s="243"/>
      <c r="BH12" s="243"/>
      <c r="BI12" s="243"/>
      <c r="BJ12" s="243"/>
      <c r="BK12" s="243"/>
      <c r="BL12" s="243"/>
      <c r="BM12" s="243"/>
      <c r="BN12" s="243"/>
      <c r="BO12" s="243"/>
      <c r="BP12" s="243"/>
      <c r="BQ12" s="243"/>
      <c r="BR12" s="243"/>
      <c r="BS12" s="243"/>
      <c r="BT12" s="243"/>
      <c r="BU12" s="243"/>
      <c r="BV12" s="243"/>
      <c r="BW12" s="243"/>
      <c r="BX12" s="243"/>
      <c r="BY12" s="243"/>
      <c r="BZ12" s="243"/>
      <c r="CA12" s="243"/>
      <c r="CB12" s="243"/>
      <c r="CC12" s="243"/>
      <c r="CD12" s="243"/>
      <c r="CE12" s="243"/>
      <c r="CF12" s="243"/>
      <c r="CG12" s="243"/>
      <c r="CH12" s="243"/>
      <c r="CI12" s="243"/>
      <c r="CJ12" s="243"/>
      <c r="CK12" s="243"/>
      <c r="CL12" s="243"/>
      <c r="CM12" s="243"/>
      <c r="CN12" s="243"/>
      <c r="CO12" s="243"/>
      <c r="CP12" s="243"/>
      <c r="CS12" s="240">
        <v>12240000</v>
      </c>
      <c r="CW12" s="240">
        <v>12240000</v>
      </c>
    </row>
    <row r="13" spans="1:109">
      <c r="B13" s="241"/>
      <c r="C13" s="241"/>
      <c r="D13" s="256"/>
      <c r="E13" s="256"/>
      <c r="F13" s="257"/>
      <c r="R13" s="243"/>
      <c r="Z13" s="303"/>
      <c r="AD13" s="303"/>
      <c r="AE13" s="303"/>
      <c r="AO13" s="243"/>
      <c r="AP13" s="243"/>
      <c r="AQ13" s="243"/>
      <c r="AR13" s="243"/>
      <c r="AS13" s="243"/>
      <c r="AT13" s="243"/>
      <c r="AU13" s="243"/>
      <c r="AV13" s="243"/>
      <c r="AW13" s="243"/>
      <c r="AX13" s="243"/>
      <c r="AY13" s="243"/>
      <c r="AZ13" s="243"/>
      <c r="BA13" s="243"/>
      <c r="BB13" s="243"/>
      <c r="BC13" s="243"/>
      <c r="BD13" s="243"/>
      <c r="BE13" s="416"/>
      <c r="BF13" s="243"/>
      <c r="BG13" s="243"/>
      <c r="BH13" s="243"/>
      <c r="BI13" s="243"/>
      <c r="BJ13" s="243"/>
      <c r="BK13" s="243"/>
      <c r="BL13" s="243"/>
      <c r="BM13" s="243"/>
      <c r="BN13" s="243"/>
      <c r="BO13" s="243"/>
      <c r="BP13" s="243"/>
      <c r="BQ13" s="243"/>
      <c r="BR13" s="243"/>
      <c r="BS13" s="243"/>
      <c r="BT13" s="243"/>
      <c r="BU13" s="243"/>
      <c r="BV13" s="243"/>
      <c r="BW13" s="243"/>
      <c r="BX13" s="243"/>
      <c r="BY13" s="243"/>
      <c r="BZ13" s="243"/>
      <c r="CA13" s="243"/>
      <c r="CB13" s="243"/>
      <c r="CC13" s="243"/>
      <c r="CD13" s="243"/>
      <c r="CE13" s="243"/>
      <c r="CF13" s="243"/>
      <c r="CG13" s="243"/>
      <c r="CH13" s="243"/>
      <c r="CI13" s="243"/>
      <c r="CJ13" s="243"/>
      <c r="CK13" s="243"/>
      <c r="CL13" s="243"/>
      <c r="CM13" s="243"/>
      <c r="CN13" s="243"/>
      <c r="CO13" s="243"/>
      <c r="CP13" s="243"/>
      <c r="CS13" s="240">
        <f>+CS12-CS8</f>
        <v>2149836</v>
      </c>
      <c r="CW13" s="240">
        <f>+CW12-CW7</f>
        <v>3672000</v>
      </c>
    </row>
    <row r="14" spans="1:109">
      <c r="B14" s="241"/>
      <c r="C14" s="241"/>
      <c r="D14" s="256"/>
      <c r="E14" s="256"/>
      <c r="F14" s="243"/>
      <c r="R14" s="243"/>
      <c r="Z14" s="303"/>
      <c r="AC14" s="300">
        <v>12240000</v>
      </c>
      <c r="AD14" s="303"/>
      <c r="AE14" s="303"/>
      <c r="AO14" s="243"/>
      <c r="AP14" s="243"/>
      <c r="AQ14" s="243"/>
      <c r="AR14" s="243"/>
      <c r="AS14" s="243"/>
      <c r="AT14" s="243"/>
      <c r="AU14" s="243"/>
      <c r="AV14" s="243"/>
      <c r="AW14" s="243"/>
      <c r="AX14" s="243"/>
      <c r="AY14" s="243"/>
      <c r="AZ14" s="243"/>
      <c r="BA14" s="243"/>
      <c r="BB14" s="243"/>
      <c r="BC14" s="243"/>
      <c r="BD14" s="243"/>
      <c r="BE14" s="416"/>
      <c r="BF14" s="243"/>
      <c r="BG14" s="243"/>
      <c r="BH14" s="243"/>
      <c r="BI14" s="243"/>
      <c r="BJ14" s="243"/>
      <c r="BK14" s="243"/>
      <c r="BL14" s="243"/>
      <c r="BM14" s="243"/>
      <c r="BN14" s="243"/>
      <c r="BO14" s="243"/>
      <c r="BP14" s="243"/>
      <c r="BQ14" s="243"/>
      <c r="BR14" s="243"/>
      <c r="BS14" s="243"/>
      <c r="BT14" s="243"/>
      <c r="BU14" s="243"/>
      <c r="BV14" s="243"/>
      <c r="BW14" s="243"/>
      <c r="BX14" s="243"/>
      <c r="BY14" s="243"/>
      <c r="BZ14" s="243"/>
      <c r="CA14" s="243"/>
      <c r="CB14" s="243"/>
      <c r="CC14" s="243"/>
      <c r="CD14" s="243"/>
      <c r="CE14" s="243"/>
      <c r="CF14" s="243"/>
      <c r="CG14" s="243"/>
      <c r="CH14" s="243"/>
      <c r="CI14" s="243"/>
      <c r="CJ14" s="243"/>
      <c r="CK14" s="243"/>
      <c r="CL14" s="243"/>
      <c r="CM14" s="243"/>
      <c r="CN14" s="243"/>
      <c r="CO14" s="243"/>
      <c r="CP14" s="243"/>
    </row>
    <row r="15" spans="1:109">
      <c r="B15" s="241"/>
      <c r="C15" s="241"/>
      <c r="D15" s="256"/>
      <c r="E15" s="256"/>
      <c r="F15" s="243"/>
      <c r="R15" s="243"/>
      <c r="Z15" s="303"/>
      <c r="AC15" s="300">
        <f>+AC14-AC8</f>
        <v>2923882</v>
      </c>
      <c r="AD15" s="303"/>
      <c r="AE15" s="303"/>
      <c r="AO15" s="243"/>
      <c r="AP15" s="243"/>
      <c r="AQ15" s="243"/>
      <c r="AR15" s="243"/>
      <c r="AS15" s="243"/>
      <c r="AT15" s="243"/>
      <c r="AU15" s="243"/>
      <c r="AV15" s="243"/>
      <c r="AW15" s="243"/>
      <c r="AX15" s="243"/>
      <c r="AY15" s="243"/>
      <c r="AZ15" s="243"/>
      <c r="BA15" s="243"/>
      <c r="BB15" s="243"/>
      <c r="BC15" s="243"/>
      <c r="BD15" s="243"/>
      <c r="BE15" s="416"/>
      <c r="BF15" s="243"/>
      <c r="BG15" s="243"/>
      <c r="BH15" s="243"/>
      <c r="BI15" s="243"/>
      <c r="BJ15" s="243"/>
      <c r="BK15" s="243"/>
      <c r="BL15" s="243"/>
      <c r="BM15" s="243"/>
      <c r="BN15" s="243"/>
      <c r="BO15" s="243"/>
      <c r="BP15" s="243"/>
      <c r="BQ15" s="243"/>
      <c r="BR15" s="243"/>
      <c r="BS15" s="243"/>
      <c r="BT15" s="243"/>
      <c r="BU15" s="243"/>
      <c r="BV15" s="243"/>
      <c r="BW15" s="243"/>
      <c r="BX15" s="243"/>
      <c r="BY15" s="243"/>
      <c r="BZ15" s="243"/>
      <c r="CA15" s="243"/>
      <c r="CB15" s="243"/>
      <c r="CC15" s="243"/>
      <c r="CD15" s="243"/>
      <c r="CE15" s="243"/>
      <c r="CF15" s="243"/>
      <c r="CG15" s="243"/>
      <c r="CH15" s="243"/>
      <c r="CI15" s="243"/>
      <c r="CJ15" s="243"/>
      <c r="CK15" s="243"/>
      <c r="CL15" s="243"/>
      <c r="CM15" s="243"/>
      <c r="CN15" s="243"/>
      <c r="CO15" s="243"/>
      <c r="CP15" s="243"/>
    </row>
    <row r="17" spans="3:100">
      <c r="CV17" s="280"/>
    </row>
    <row r="20" spans="3:100">
      <c r="C20" s="320"/>
      <c r="D20" s="320"/>
    </row>
    <row r="21" spans="3:100">
      <c r="C21" s="241"/>
      <c r="D21" s="241"/>
    </row>
    <row r="22" spans="3:100">
      <c r="C22" s="259"/>
      <c r="D22" s="258"/>
    </row>
  </sheetData>
  <mergeCells count="30">
    <mergeCell ref="CZ5:DE5"/>
    <mergeCell ref="AA3:AC3"/>
    <mergeCell ref="CQ5:CS5"/>
    <mergeCell ref="CU5:CW5"/>
    <mergeCell ref="AF3:AN3"/>
    <mergeCell ref="CQ3:CX3"/>
    <mergeCell ref="AP5:AT5"/>
    <mergeCell ref="AU5:AX5"/>
    <mergeCell ref="BG5:BI5"/>
    <mergeCell ref="AZ5:BE5"/>
    <mergeCell ref="AH5:AI5"/>
    <mergeCell ref="AH4:AI4"/>
    <mergeCell ref="AJ4:AN4"/>
    <mergeCell ref="U5:Z5"/>
    <mergeCell ref="AA5:AC5"/>
    <mergeCell ref="AA8:AB8"/>
    <mergeCell ref="Q5:S5"/>
    <mergeCell ref="H8:J8"/>
    <mergeCell ref="N8:P8"/>
    <mergeCell ref="Q8:S8"/>
    <mergeCell ref="H5:J5"/>
    <mergeCell ref="N5:P5"/>
    <mergeCell ref="K5:M5"/>
    <mergeCell ref="K8:M8"/>
    <mergeCell ref="C20:D20"/>
    <mergeCell ref="A8:B8"/>
    <mergeCell ref="E8:G8"/>
    <mergeCell ref="A3:C3"/>
    <mergeCell ref="E5:G5"/>
    <mergeCell ref="A5:D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FA5B2-D48E-485C-A4D1-9A655A9ED463}">
  <dimension ref="A1:I2"/>
  <sheetViews>
    <sheetView workbookViewId="0">
      <selection sqref="A1:I2"/>
    </sheetView>
  </sheetViews>
  <sheetFormatPr baseColWidth="10" defaultColWidth="11.42578125" defaultRowHeight="12.75"/>
  <cols>
    <col min="2" max="2" width="37" customWidth="1"/>
  </cols>
  <sheetData>
    <row r="1" spans="1:9" ht="45">
      <c r="A1" s="275" t="s">
        <v>54</v>
      </c>
      <c r="B1" s="275" t="s">
        <v>23</v>
      </c>
      <c r="C1" s="275" t="s">
        <v>55</v>
      </c>
      <c r="D1" s="275" t="s">
        <v>56</v>
      </c>
      <c r="E1" s="275" t="s">
        <v>25</v>
      </c>
      <c r="F1" s="275" t="s">
        <v>57</v>
      </c>
      <c r="G1" s="275" t="s">
        <v>58</v>
      </c>
      <c r="H1" s="275" t="s">
        <v>59</v>
      </c>
      <c r="I1" s="275" t="s">
        <v>60</v>
      </c>
    </row>
    <row r="2" spans="1:9" ht="90">
      <c r="A2" s="276">
        <v>1</v>
      </c>
      <c r="B2" s="274" t="s">
        <v>52</v>
      </c>
      <c r="C2" s="276">
        <v>14</v>
      </c>
      <c r="D2" s="276" t="s">
        <v>61</v>
      </c>
      <c r="E2" s="277">
        <v>0.19</v>
      </c>
      <c r="F2" s="278">
        <f>+Estudio_de_Mercado!CU7</f>
        <v>514286</v>
      </c>
      <c r="G2" s="278">
        <f>+F2*19%</f>
        <v>97714.34</v>
      </c>
      <c r="H2" s="278">
        <f>ROUND((+F2+G2),0)</f>
        <v>612000</v>
      </c>
      <c r="I2" s="278">
        <f>+H2*C2</f>
        <v>8568000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E6793-FF87-4A67-A76A-B8929AE969D4}">
  <dimension ref="A1:G12"/>
  <sheetViews>
    <sheetView workbookViewId="0">
      <selection activeCell="C8" sqref="C8"/>
    </sheetView>
  </sheetViews>
  <sheetFormatPr baseColWidth="10" defaultColWidth="11.42578125" defaultRowHeight="12.75"/>
  <sheetData>
    <row r="1" spans="1:7" ht="34.5" thickBot="1">
      <c r="A1" s="283" t="s">
        <v>62</v>
      </c>
      <c r="B1" s="283" t="s">
        <v>63</v>
      </c>
      <c r="C1" s="283" t="s">
        <v>64</v>
      </c>
      <c r="D1" s="283" t="s">
        <v>65</v>
      </c>
      <c r="E1" s="283" t="s">
        <v>49</v>
      </c>
      <c r="F1" s="285" t="s">
        <v>66</v>
      </c>
      <c r="G1" s="284" t="s">
        <v>67</v>
      </c>
    </row>
    <row r="2" spans="1:7" ht="147" thickBot="1">
      <c r="A2" s="286" t="s">
        <v>68</v>
      </c>
      <c r="B2" s="287" t="s">
        <v>69</v>
      </c>
      <c r="C2" s="287" t="s">
        <v>70</v>
      </c>
      <c r="D2" s="287" t="s">
        <v>71</v>
      </c>
      <c r="E2" s="288">
        <v>5688000</v>
      </c>
      <c r="F2" s="288">
        <f>+E2*5.1%</f>
        <v>290088</v>
      </c>
      <c r="G2" s="288">
        <f>+E2+F2</f>
        <v>5978088</v>
      </c>
    </row>
    <row r="12" spans="1:7" ht="409.5">
      <c r="E12" s="289" t="s">
        <v>72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485F5-F1D5-475C-AF5F-4465EB7A7E47}">
  <dimension ref="A3:AJ53"/>
  <sheetViews>
    <sheetView topLeftCell="A3" zoomScale="80" zoomScaleNormal="80" workbookViewId="0">
      <pane xSplit="3" ySplit="4" topLeftCell="Q7" activePane="bottomRight" state="frozen"/>
      <selection pane="topRight" activeCell="D3" sqref="D3"/>
      <selection pane="bottomLeft" activeCell="A7" sqref="A7"/>
      <selection pane="bottomRight" activeCell="R7" sqref="R7"/>
    </sheetView>
  </sheetViews>
  <sheetFormatPr baseColWidth="10" defaultColWidth="9.140625" defaultRowHeight="12.75"/>
  <cols>
    <col min="1" max="1" width="3" style="94" bestFit="1" customWidth="1"/>
    <col min="2" max="2" width="11.5703125" style="74" customWidth="1"/>
    <col min="3" max="3" width="7" style="74" customWidth="1"/>
    <col min="4" max="5" width="16.42578125" style="74" customWidth="1"/>
    <col min="6" max="20" width="16.42578125" style="86" customWidth="1"/>
    <col min="21" max="21" width="6" style="91" customWidth="1"/>
    <col min="22" max="24" width="16.42578125" style="86" customWidth="1"/>
    <col min="25" max="25" width="12.42578125" style="86" customWidth="1"/>
    <col min="26" max="26" width="10.85546875" style="86" bestFit="1" customWidth="1"/>
    <col min="27" max="27" width="11.140625" style="86" hidden="1" customWidth="1"/>
    <col min="28" max="28" width="11.85546875" style="86" hidden="1" customWidth="1"/>
    <col min="29" max="29" width="11.42578125" style="86" hidden="1" customWidth="1"/>
    <col min="30" max="30" width="9.5703125" style="86" hidden="1" customWidth="1"/>
    <col min="31" max="31" width="0.42578125" style="86" customWidth="1"/>
    <col min="32" max="32" width="16" style="86" bestFit="1" customWidth="1"/>
    <col min="33" max="33" width="12.42578125" style="86" bestFit="1" customWidth="1"/>
    <col min="34" max="34" width="14.140625" style="86" bestFit="1" customWidth="1"/>
    <col min="35" max="36" width="9.140625" style="86" customWidth="1"/>
    <col min="37" max="16381" width="9.140625" style="72"/>
    <col min="16382" max="16384" width="9.140625" style="72" bestFit="1"/>
  </cols>
  <sheetData>
    <row r="3" spans="1:35" ht="26.25" thickBot="1">
      <c r="A3" s="360" t="s">
        <v>73</v>
      </c>
      <c r="B3" s="361"/>
      <c r="C3" s="361"/>
      <c r="D3" s="362"/>
      <c r="E3" s="112"/>
      <c r="F3" s="76"/>
      <c r="G3" s="76"/>
      <c r="H3" s="76"/>
      <c r="I3" s="76"/>
      <c r="J3" s="76"/>
      <c r="K3" s="76"/>
      <c r="L3" s="76"/>
      <c r="M3" s="76"/>
      <c r="N3" s="76"/>
      <c r="O3" s="76"/>
      <c r="P3" s="76"/>
      <c r="Q3" s="76"/>
      <c r="R3" s="76"/>
      <c r="S3" s="76"/>
      <c r="T3" s="76"/>
      <c r="U3" s="76"/>
      <c r="W3" s="80" t="s">
        <v>74</v>
      </c>
      <c r="X3" s="80" t="s">
        <v>75</v>
      </c>
      <c r="Y3" s="80" t="s">
        <v>76</v>
      </c>
      <c r="Z3" s="76"/>
      <c r="AA3" s="76"/>
      <c r="AB3" s="76"/>
      <c r="AC3" s="76"/>
      <c r="AD3" s="76"/>
      <c r="AE3" s="76"/>
      <c r="AF3" s="76"/>
      <c r="AG3" s="76"/>
      <c r="AH3" s="128" t="e">
        <f>SUM(AH7:AH38)</f>
        <v>#REF!</v>
      </c>
      <c r="AI3" s="76"/>
    </row>
    <row r="4" spans="1:35" ht="13.5" customHeight="1">
      <c r="A4" s="92"/>
      <c r="B4" s="37"/>
      <c r="C4" s="20"/>
      <c r="D4" s="20"/>
      <c r="E4" s="20"/>
      <c r="F4" s="20"/>
      <c r="G4" s="20"/>
      <c r="H4" s="76"/>
      <c r="I4" s="76"/>
      <c r="J4" s="76"/>
      <c r="K4" s="76"/>
      <c r="L4" s="76"/>
      <c r="M4" s="76"/>
      <c r="N4" s="76"/>
      <c r="O4" s="20"/>
      <c r="P4" s="20"/>
      <c r="Q4" s="76"/>
      <c r="R4" s="76"/>
      <c r="S4" s="76"/>
      <c r="T4" s="76"/>
      <c r="U4" s="76"/>
      <c r="V4" s="76"/>
      <c r="X4" s="76"/>
      <c r="Y4" s="76"/>
      <c r="Z4" s="76"/>
      <c r="AA4" s="76"/>
      <c r="AB4" s="76"/>
      <c r="AC4" s="76"/>
      <c r="AD4" s="76"/>
      <c r="AE4" s="76"/>
      <c r="AF4" s="76"/>
      <c r="AG4" s="76"/>
      <c r="AH4" s="76"/>
      <c r="AI4" s="76"/>
    </row>
    <row r="5" spans="1:35" s="22" customFormat="1" ht="30.75" customHeight="1">
      <c r="A5" s="363" t="s">
        <v>5</v>
      </c>
      <c r="B5" s="364"/>
      <c r="C5" s="364"/>
      <c r="D5" s="364"/>
      <c r="E5" s="132"/>
      <c r="F5" s="365" t="s">
        <v>77</v>
      </c>
      <c r="G5" s="366"/>
      <c r="H5" s="367"/>
      <c r="I5" s="368" t="s">
        <v>78</v>
      </c>
      <c r="J5" s="369"/>
      <c r="K5" s="370"/>
      <c r="L5" s="356" t="s">
        <v>79</v>
      </c>
      <c r="M5" s="356"/>
      <c r="N5" s="356"/>
      <c r="O5" s="368" t="s">
        <v>80</v>
      </c>
      <c r="P5" s="369"/>
      <c r="Q5" s="370"/>
      <c r="R5" s="357" t="s">
        <v>81</v>
      </c>
      <c r="S5" s="358"/>
      <c r="T5" s="359"/>
      <c r="U5" s="182"/>
      <c r="V5" s="344" t="s">
        <v>11</v>
      </c>
      <c r="W5" s="344"/>
      <c r="X5" s="344"/>
      <c r="Y5" s="344"/>
      <c r="Z5" s="344"/>
      <c r="AA5" s="344" t="s">
        <v>19</v>
      </c>
      <c r="AB5" s="344"/>
      <c r="AC5" s="344"/>
      <c r="AD5" s="344"/>
      <c r="AE5" s="76"/>
      <c r="AF5" s="345" t="s">
        <v>12</v>
      </c>
      <c r="AG5" s="345"/>
      <c r="AH5" s="345"/>
      <c r="AI5" s="127"/>
    </row>
    <row r="6" spans="1:35" s="22" customFormat="1" ht="51">
      <c r="A6" s="133" t="s">
        <v>22</v>
      </c>
      <c r="B6" s="134" t="s">
        <v>23</v>
      </c>
      <c r="C6" s="135" t="s">
        <v>82</v>
      </c>
      <c r="D6" s="134" t="s">
        <v>56</v>
      </c>
      <c r="E6" s="136" t="s">
        <v>25</v>
      </c>
      <c r="F6" s="130" t="s">
        <v>83</v>
      </c>
      <c r="G6" s="130" t="s">
        <v>27</v>
      </c>
      <c r="H6" s="130" t="s">
        <v>28</v>
      </c>
      <c r="I6" s="131" t="s">
        <v>83</v>
      </c>
      <c r="J6" s="131" t="s">
        <v>27</v>
      </c>
      <c r="K6" s="131" t="s">
        <v>28</v>
      </c>
      <c r="L6" s="122" t="s">
        <v>83</v>
      </c>
      <c r="M6" s="122" t="s">
        <v>27</v>
      </c>
      <c r="N6" s="122" t="s">
        <v>28</v>
      </c>
      <c r="O6" s="131" t="s">
        <v>83</v>
      </c>
      <c r="P6" s="131" t="s">
        <v>27</v>
      </c>
      <c r="Q6" s="131" t="s">
        <v>28</v>
      </c>
      <c r="R6" s="129" t="s">
        <v>83</v>
      </c>
      <c r="S6" s="129" t="s">
        <v>27</v>
      </c>
      <c r="T6" s="129" t="s">
        <v>28</v>
      </c>
      <c r="U6" s="182"/>
      <c r="V6" s="115" t="s">
        <v>32</v>
      </c>
      <c r="W6" s="115" t="s">
        <v>31</v>
      </c>
      <c r="X6" s="115" t="s">
        <v>41</v>
      </c>
      <c r="Y6" s="115" t="s">
        <v>42</v>
      </c>
      <c r="Z6" s="115" t="s">
        <v>33</v>
      </c>
      <c r="AA6" s="79" t="s">
        <v>43</v>
      </c>
      <c r="AB6" s="79" t="s">
        <v>44</v>
      </c>
      <c r="AC6" s="79" t="s">
        <v>45</v>
      </c>
      <c r="AD6" s="79" t="s">
        <v>46</v>
      </c>
      <c r="AE6" s="76"/>
      <c r="AF6" s="117" t="s">
        <v>47</v>
      </c>
      <c r="AG6" s="117" t="s">
        <v>35</v>
      </c>
      <c r="AH6" s="117" t="s">
        <v>36</v>
      </c>
      <c r="AI6" s="127"/>
    </row>
    <row r="7" spans="1:35" s="27" customFormat="1" ht="12" customHeight="1">
      <c r="A7" s="140">
        <v>1</v>
      </c>
      <c r="B7" s="140" t="s">
        <v>84</v>
      </c>
      <c r="C7" s="193">
        <v>4</v>
      </c>
      <c r="D7" s="140" t="s">
        <v>61</v>
      </c>
      <c r="E7" s="141">
        <v>0.19</v>
      </c>
      <c r="F7" s="178">
        <v>1408451</v>
      </c>
      <c r="G7" s="176">
        <f>ROUND(F7*(1+$E7),0)</f>
        <v>1676057</v>
      </c>
      <c r="H7" s="177">
        <f>ROUND(G7*$C7,0)</f>
        <v>6704228</v>
      </c>
      <c r="I7" s="176">
        <v>1006400</v>
      </c>
      <c r="J7" s="176">
        <f t="shared" ref="J7:J38" si="0">ROUND(I7*(1+$E7),0)</f>
        <v>1197616</v>
      </c>
      <c r="K7" s="177">
        <f>ROUND(J7*$C7,0)</f>
        <v>4790464</v>
      </c>
      <c r="L7" s="176">
        <v>0</v>
      </c>
      <c r="M7" s="176">
        <f>ROUND(L7*(1+$E7),0)</f>
        <v>0</v>
      </c>
      <c r="N7" s="177">
        <f>ROUND(M7*$C7,0)</f>
        <v>0</v>
      </c>
      <c r="O7" s="176">
        <v>1390000</v>
      </c>
      <c r="P7" s="176">
        <f t="shared" ref="P7:P25" si="1">ROUND(O7*(1+$E7),0)</f>
        <v>1654100</v>
      </c>
      <c r="Q7" s="177">
        <f>ROUND(P7*$C7,0)</f>
        <v>6616400</v>
      </c>
      <c r="R7" s="176" t="e">
        <f>+#REF!</f>
        <v>#REF!</v>
      </c>
      <c r="S7" s="176" t="e">
        <f t="shared" ref="S7:S38" si="2">ROUND(R7*(1+$E7),0)</f>
        <v>#REF!</v>
      </c>
      <c r="T7" s="177" t="e">
        <f>ROUND(S7*$C7,0)</f>
        <v>#REF!</v>
      </c>
      <c r="U7" s="125"/>
      <c r="V7" s="116" t="e">
        <f>ROUND(AVERAGE($I7,$O7,$R7),0)</f>
        <v>#REF!</v>
      </c>
      <c r="W7" s="116" t="e">
        <f>ROUND(MEDIAN($I7,$O7,$R7),0)</f>
        <v>#REF!</v>
      </c>
      <c r="X7" s="116" t="e">
        <f>ROUND(GEOMEAN($I7,$O7,$R7),0)</f>
        <v>#REF!</v>
      </c>
      <c r="Y7" s="116" t="e">
        <f>ROUND((HARMEAN($R7,$I7,$O7)),0)</f>
        <v>#REF!</v>
      </c>
      <c r="Z7" s="116" t="e">
        <f>+STDEV($R7,$I7,$O7)</f>
        <v>#REF!</v>
      </c>
      <c r="AA7" s="181" t="e">
        <f>Z7/$V7</f>
        <v>#REF!</v>
      </c>
      <c r="AB7" s="181" t="e">
        <f>Z7/$W7</f>
        <v>#REF!</v>
      </c>
      <c r="AC7" s="181" t="e">
        <f>Z7/$X7</f>
        <v>#REF!</v>
      </c>
      <c r="AD7" s="181" t="e">
        <f>Z7/$Y7</f>
        <v>#REF!</v>
      </c>
      <c r="AE7" s="78"/>
      <c r="AF7" s="119" t="e">
        <f>ROUND((((MIN(W7:Y7)*3)+SMALL(W7:Y7,2)+SMALL(W7:Y7,3))/5),0)</f>
        <v>#REF!</v>
      </c>
      <c r="AG7" s="119" t="e">
        <f>ROUND(AF7*(1+$E7),0)</f>
        <v>#REF!</v>
      </c>
      <c r="AH7" s="119" t="e">
        <f>ROUND(AG7*$C7,0)</f>
        <v>#REF!</v>
      </c>
      <c r="AI7" s="127"/>
    </row>
    <row r="8" spans="1:35" s="28" customFormat="1" ht="12" customHeight="1">
      <c r="A8" s="140">
        <v>2</v>
      </c>
      <c r="B8" s="140" t="s">
        <v>85</v>
      </c>
      <c r="C8" s="194">
        <v>9</v>
      </c>
      <c r="D8" s="140" t="s">
        <v>61</v>
      </c>
      <c r="E8" s="141">
        <v>0.19</v>
      </c>
      <c r="F8" s="176">
        <v>1495443</v>
      </c>
      <c r="G8" s="176">
        <f t="shared" ref="G8:G38" si="3">ROUND(F8*(1+$E8),0)</f>
        <v>1779577</v>
      </c>
      <c r="H8" s="177">
        <f t="shared" ref="H8:H38" si="4">ROUND(G8*$C8,0)</f>
        <v>16016193</v>
      </c>
      <c r="I8" s="176">
        <v>1388166</v>
      </c>
      <c r="J8" s="176">
        <f t="shared" si="0"/>
        <v>1651918</v>
      </c>
      <c r="K8" s="177">
        <f t="shared" ref="K8:K38" si="5">ROUND(J8*$C8,0)</f>
        <v>14867262</v>
      </c>
      <c r="L8" s="176">
        <v>0</v>
      </c>
      <c r="M8" s="176">
        <f t="shared" ref="M8:M38" si="6">ROUND(L8*(1+$E8),0)</f>
        <v>0</v>
      </c>
      <c r="N8" s="177">
        <f t="shared" ref="N8:N38" si="7">ROUND(M8*$C8,0)</f>
        <v>0</v>
      </c>
      <c r="O8" s="176">
        <v>790000</v>
      </c>
      <c r="P8" s="176">
        <f t="shared" si="1"/>
        <v>940100</v>
      </c>
      <c r="Q8" s="177">
        <f t="shared" ref="Q8:Q38" si="8">ROUND(P8*$C8,0)</f>
        <v>8460900</v>
      </c>
      <c r="R8" s="176" t="e">
        <f>+#REF!</f>
        <v>#REF!</v>
      </c>
      <c r="S8" s="176" t="e">
        <f t="shared" si="2"/>
        <v>#REF!</v>
      </c>
      <c r="T8" s="177" t="e">
        <f t="shared" ref="T8:T38" si="9">ROUND(S8*$C8,0)</f>
        <v>#REF!</v>
      </c>
      <c r="U8" s="125"/>
      <c r="V8" s="116" t="e">
        <f>ROUND(AVERAGE($F8,$I8,$O8,$R8),0)</f>
        <v>#REF!</v>
      </c>
      <c r="W8" s="116" t="e">
        <f>ROUND(MEDIAN(F8,$I8,$O8,$R8),0)</f>
        <v>#REF!</v>
      </c>
      <c r="X8" s="116" t="e">
        <f>ROUND(GEOMEAN(F8,G8,$I8,$O8,$R8),0)</f>
        <v>#REF!</v>
      </c>
      <c r="Y8" s="116" t="e">
        <f>ROUND((HARMEAN($F8,$I8,$O8,R8)),0)</f>
        <v>#REF!</v>
      </c>
      <c r="Z8" s="116" t="e">
        <f>+STDEV($F8,$I8,$O8,R8)</f>
        <v>#REF!</v>
      </c>
      <c r="AA8" s="181" t="e">
        <f t="shared" ref="AA8:AA15" si="10">Z8/$V8</f>
        <v>#REF!</v>
      </c>
      <c r="AB8" s="181" t="e">
        <f>Z8/$W8</f>
        <v>#REF!</v>
      </c>
      <c r="AC8" s="181" t="e">
        <f t="shared" ref="AC8:AC38" si="11">Z8/$X8</f>
        <v>#REF!</v>
      </c>
      <c r="AD8" s="181" t="e">
        <f t="shared" ref="AD8:AD38" si="12">Z8/$Y8</f>
        <v>#REF!</v>
      </c>
      <c r="AE8" s="76"/>
      <c r="AF8" s="119" t="e">
        <f t="shared" ref="AF8:AF14" si="13">ROUND((((MIN(W8:Y8)*3)+SMALL(W8:Y8,2)+SMALL(W8:Y8,3))/5),0)</f>
        <v>#REF!</v>
      </c>
      <c r="AG8" s="119" t="e">
        <f t="shared" ref="AG8:AG38" si="14">ROUND(AF8*(1+$E8),0)</f>
        <v>#REF!</v>
      </c>
      <c r="AH8" s="119" t="e">
        <f t="shared" ref="AH8:AH38" si="15">ROUND(AG8*C8,0)</f>
        <v>#REF!</v>
      </c>
      <c r="AI8" s="127"/>
    </row>
    <row r="9" spans="1:35" s="28" customFormat="1" ht="12" customHeight="1">
      <c r="A9" s="140">
        <v>3</v>
      </c>
      <c r="B9" s="140" t="s">
        <v>86</v>
      </c>
      <c r="C9" s="194">
        <v>1</v>
      </c>
      <c r="D9" s="140" t="s">
        <v>61</v>
      </c>
      <c r="E9" s="141">
        <v>0.19</v>
      </c>
      <c r="F9" s="176">
        <v>510356</v>
      </c>
      <c r="G9" s="176">
        <f t="shared" si="3"/>
        <v>607324</v>
      </c>
      <c r="H9" s="177">
        <f t="shared" si="4"/>
        <v>607324</v>
      </c>
      <c r="I9" s="178">
        <v>600066</v>
      </c>
      <c r="J9" s="176">
        <f t="shared" si="0"/>
        <v>714079</v>
      </c>
      <c r="K9" s="177">
        <f t="shared" si="5"/>
        <v>714079</v>
      </c>
      <c r="L9" s="176">
        <v>415966.39</v>
      </c>
      <c r="M9" s="176">
        <f t="shared" si="6"/>
        <v>495000</v>
      </c>
      <c r="N9" s="177">
        <f t="shared" si="7"/>
        <v>495000</v>
      </c>
      <c r="O9" s="176">
        <v>585000</v>
      </c>
      <c r="P9" s="176">
        <f t="shared" si="1"/>
        <v>696150</v>
      </c>
      <c r="Q9" s="177">
        <f t="shared" si="8"/>
        <v>696150</v>
      </c>
      <c r="R9" s="176" t="e">
        <f>+#REF!</f>
        <v>#REF!</v>
      </c>
      <c r="S9" s="176" t="e">
        <f t="shared" si="2"/>
        <v>#REF!</v>
      </c>
      <c r="T9" s="177" t="e">
        <f t="shared" si="9"/>
        <v>#REF!</v>
      </c>
      <c r="U9" s="125"/>
      <c r="V9" s="116" t="e">
        <f>ROUND(AVERAGE($F9,$O9,L9,R9),0)</f>
        <v>#REF!</v>
      </c>
      <c r="W9" s="116" t="e">
        <f>ROUND(MEDIAN(F9,L9,$O9,$R9),0)</f>
        <v>#REF!</v>
      </c>
      <c r="X9" s="116" t="e">
        <f>ROUND(GEOMEAN(F9,L9,$O9,$R9),0)</f>
        <v>#REF!</v>
      </c>
      <c r="Y9" s="116" t="e">
        <f>ROUND((HARMEAN($F9,$R9,$O9,L9)),0)</f>
        <v>#REF!</v>
      </c>
      <c r="Z9" s="116" t="e">
        <f>+STDEV($F9,$R9,$O9,L9)</f>
        <v>#REF!</v>
      </c>
      <c r="AA9" s="181" t="e">
        <f t="shared" si="10"/>
        <v>#REF!</v>
      </c>
      <c r="AB9" s="181" t="e">
        <f>Z9/$W9</f>
        <v>#REF!</v>
      </c>
      <c r="AC9" s="181" t="e">
        <f t="shared" si="11"/>
        <v>#REF!</v>
      </c>
      <c r="AD9" s="181" t="e">
        <f t="shared" si="12"/>
        <v>#REF!</v>
      </c>
      <c r="AE9" s="76"/>
      <c r="AF9" s="119" t="e">
        <f t="shared" si="13"/>
        <v>#REF!</v>
      </c>
      <c r="AG9" s="119" t="e">
        <f t="shared" si="14"/>
        <v>#REF!</v>
      </c>
      <c r="AH9" s="119" t="e">
        <f t="shared" si="15"/>
        <v>#REF!</v>
      </c>
      <c r="AI9" s="127"/>
    </row>
    <row r="10" spans="1:35" s="28" customFormat="1" ht="12" customHeight="1">
      <c r="A10" s="140">
        <v>4</v>
      </c>
      <c r="B10" s="140" t="s">
        <v>87</v>
      </c>
      <c r="C10" s="194">
        <v>1</v>
      </c>
      <c r="D10" s="140" t="s">
        <v>61</v>
      </c>
      <c r="E10" s="141">
        <v>0.19</v>
      </c>
      <c r="F10" s="176">
        <v>583264</v>
      </c>
      <c r="G10" s="176">
        <f t="shared" si="3"/>
        <v>694084</v>
      </c>
      <c r="H10" s="177">
        <f t="shared" si="4"/>
        <v>694084</v>
      </c>
      <c r="I10" s="178">
        <v>689458</v>
      </c>
      <c r="J10" s="176">
        <f t="shared" si="0"/>
        <v>820455</v>
      </c>
      <c r="K10" s="177">
        <f t="shared" si="5"/>
        <v>820455</v>
      </c>
      <c r="L10" s="176">
        <v>470588.24</v>
      </c>
      <c r="M10" s="176">
        <f t="shared" si="6"/>
        <v>560000</v>
      </c>
      <c r="N10" s="177">
        <f t="shared" si="7"/>
        <v>560000</v>
      </c>
      <c r="O10" s="176">
        <v>590000</v>
      </c>
      <c r="P10" s="176">
        <f t="shared" si="1"/>
        <v>702100</v>
      </c>
      <c r="Q10" s="177">
        <f t="shared" si="8"/>
        <v>702100</v>
      </c>
      <c r="R10" s="176" t="e">
        <f>+#REF!</f>
        <v>#REF!</v>
      </c>
      <c r="S10" s="176" t="e">
        <f t="shared" si="2"/>
        <v>#REF!</v>
      </c>
      <c r="T10" s="177" t="e">
        <f t="shared" si="9"/>
        <v>#REF!</v>
      </c>
      <c r="U10" s="125"/>
      <c r="V10" s="116" t="e">
        <f>ROUND(AVERAGE($F10,$O10,L10,R10),0)</f>
        <v>#REF!</v>
      </c>
      <c r="W10" s="116" t="e">
        <f>ROUND(MEDIAN($F10,L10,$O10,$R10),0)</f>
        <v>#REF!</v>
      </c>
      <c r="X10" s="116" t="e">
        <f>ROUND(GEOMEAN($F10,L10,$O10,$R10),0)</f>
        <v>#REF!</v>
      </c>
      <c r="Y10" s="116" t="e">
        <f>ROUND((HARMEAN($F10,$R10,$O10,L10)),0)</f>
        <v>#REF!</v>
      </c>
      <c r="Z10" s="116" t="e">
        <f>+STDEV($F10,$R10,$O10,L10)</f>
        <v>#REF!</v>
      </c>
      <c r="AA10" s="181" t="e">
        <f t="shared" si="10"/>
        <v>#REF!</v>
      </c>
      <c r="AB10" s="181" t="e">
        <f>Z10/$W10</f>
        <v>#REF!</v>
      </c>
      <c r="AC10" s="181" t="e">
        <f t="shared" si="11"/>
        <v>#REF!</v>
      </c>
      <c r="AD10" s="181" t="e">
        <f t="shared" si="12"/>
        <v>#REF!</v>
      </c>
      <c r="AE10" s="76"/>
      <c r="AF10" s="119" t="e">
        <f t="shared" si="13"/>
        <v>#REF!</v>
      </c>
      <c r="AG10" s="119" t="e">
        <f t="shared" si="14"/>
        <v>#REF!</v>
      </c>
      <c r="AH10" s="119" t="e">
        <f t="shared" si="15"/>
        <v>#REF!</v>
      </c>
      <c r="AI10" s="127"/>
    </row>
    <row r="11" spans="1:35" s="28" customFormat="1" ht="12" customHeight="1">
      <c r="A11" s="140">
        <v>5</v>
      </c>
      <c r="B11" s="140" t="s">
        <v>88</v>
      </c>
      <c r="C11" s="194">
        <v>1</v>
      </c>
      <c r="D11" s="140" t="s">
        <v>61</v>
      </c>
      <c r="E11" s="141">
        <v>0.19</v>
      </c>
      <c r="F11" s="176">
        <v>510356</v>
      </c>
      <c r="G11" s="176">
        <f t="shared" si="3"/>
        <v>607324</v>
      </c>
      <c r="H11" s="177">
        <f t="shared" si="4"/>
        <v>607324</v>
      </c>
      <c r="I11" s="176">
        <v>541976</v>
      </c>
      <c r="J11" s="176">
        <f t="shared" si="0"/>
        <v>644951</v>
      </c>
      <c r="K11" s="177">
        <f t="shared" si="5"/>
        <v>644951</v>
      </c>
      <c r="L11" s="176">
        <v>393277.32</v>
      </c>
      <c r="M11" s="176">
        <f t="shared" si="6"/>
        <v>468000</v>
      </c>
      <c r="N11" s="177">
        <f t="shared" si="7"/>
        <v>468000</v>
      </c>
      <c r="O11" s="178">
        <v>599000</v>
      </c>
      <c r="P11" s="176">
        <f t="shared" si="1"/>
        <v>712810</v>
      </c>
      <c r="Q11" s="177">
        <f t="shared" si="8"/>
        <v>712810</v>
      </c>
      <c r="R11" s="176">
        <v>0</v>
      </c>
      <c r="S11" s="176">
        <f t="shared" si="2"/>
        <v>0</v>
      </c>
      <c r="T11" s="177">
        <f t="shared" si="9"/>
        <v>0</v>
      </c>
      <c r="U11" s="125"/>
      <c r="V11" s="116">
        <f>ROUND(AVERAGE($F11,$I11,L11),0)</f>
        <v>481870</v>
      </c>
      <c r="W11" s="116">
        <f>ROUND(MEDIAN($I11,$F11,L11),0)</f>
        <v>510356</v>
      </c>
      <c r="X11" s="116">
        <f>ROUND(GEOMEAN($I11,$F11,L11),0)</f>
        <v>477365</v>
      </c>
      <c r="Y11" s="116">
        <f>ROUND((HARMEAN($F11,I11,L11)),0)</f>
        <v>472646</v>
      </c>
      <c r="Z11" s="116">
        <f>+STDEV($F11,$I11,L11)</f>
        <v>78335.325305471939</v>
      </c>
      <c r="AA11" s="181">
        <f t="shared" si="10"/>
        <v>0.16256526719960143</v>
      </c>
      <c r="AB11" s="181">
        <f>Z11/$W11</f>
        <v>0.15349153395957318</v>
      </c>
      <c r="AC11" s="181">
        <f t="shared" si="11"/>
        <v>0.16409943189272766</v>
      </c>
      <c r="AD11" s="181">
        <f t="shared" si="12"/>
        <v>0.16573783615109816</v>
      </c>
      <c r="AE11" s="76"/>
      <c r="AF11" s="119">
        <f t="shared" si="13"/>
        <v>481132</v>
      </c>
      <c r="AG11" s="119">
        <f t="shared" si="14"/>
        <v>572547</v>
      </c>
      <c r="AH11" s="119">
        <f t="shared" si="15"/>
        <v>572547</v>
      </c>
      <c r="AI11" s="127"/>
    </row>
    <row r="12" spans="1:35" s="28" customFormat="1" ht="12" customHeight="1">
      <c r="A12" s="140">
        <v>6</v>
      </c>
      <c r="B12" s="140" t="s">
        <v>89</v>
      </c>
      <c r="C12" s="183">
        <v>4</v>
      </c>
      <c r="D12" s="140" t="s">
        <v>61</v>
      </c>
      <c r="E12" s="141">
        <v>0.19</v>
      </c>
      <c r="F12" s="176">
        <v>769452</v>
      </c>
      <c r="G12" s="176">
        <f t="shared" si="3"/>
        <v>915648</v>
      </c>
      <c r="H12" s="177">
        <f t="shared" si="4"/>
        <v>3662592</v>
      </c>
      <c r="I12" s="178">
        <v>845302</v>
      </c>
      <c r="J12" s="176">
        <f t="shared" si="0"/>
        <v>1005909</v>
      </c>
      <c r="K12" s="177">
        <f t="shared" si="5"/>
        <v>4023636</v>
      </c>
      <c r="L12" s="176">
        <v>0</v>
      </c>
      <c r="M12" s="176">
        <f t="shared" si="6"/>
        <v>0</v>
      </c>
      <c r="N12" s="177">
        <f t="shared" si="7"/>
        <v>0</v>
      </c>
      <c r="O12" s="176">
        <v>790000</v>
      </c>
      <c r="P12" s="176">
        <f t="shared" si="1"/>
        <v>940100</v>
      </c>
      <c r="Q12" s="177">
        <f t="shared" si="8"/>
        <v>3760400</v>
      </c>
      <c r="R12" s="176" t="e">
        <f>+#REF!</f>
        <v>#REF!</v>
      </c>
      <c r="S12" s="176" t="e">
        <f t="shared" si="2"/>
        <v>#REF!</v>
      </c>
      <c r="T12" s="177" t="e">
        <f t="shared" si="9"/>
        <v>#REF!</v>
      </c>
      <c r="U12" s="125"/>
      <c r="V12" s="116" t="e">
        <f>ROUND(AVERAGE($F12,$O12,R12),0)</f>
        <v>#REF!</v>
      </c>
      <c r="W12" s="116" t="e">
        <f>ROUND(MEDIAN($F12,$R12,O12),0)</f>
        <v>#REF!</v>
      </c>
      <c r="X12" s="116" t="e">
        <f>ROUND(GEOMEAN($F12,$R12,O12),0)</f>
        <v>#REF!</v>
      </c>
      <c r="Y12" s="116" t="e">
        <f>ROUND((HARMEAN($F12,$R12,$O12)),0)</f>
        <v>#REF!</v>
      </c>
      <c r="Z12" s="116" t="e">
        <f>+STDEV($F12,$R12,$O12)</f>
        <v>#REF!</v>
      </c>
      <c r="AA12" s="181" t="e">
        <f t="shared" si="10"/>
        <v>#REF!</v>
      </c>
      <c r="AB12" s="181" t="e">
        <f t="shared" ref="AB12:AB38" si="16">Z12/$W12</f>
        <v>#REF!</v>
      </c>
      <c r="AC12" s="181" t="e">
        <f t="shared" si="11"/>
        <v>#REF!</v>
      </c>
      <c r="AD12" s="181" t="e">
        <f t="shared" si="12"/>
        <v>#REF!</v>
      </c>
      <c r="AE12" s="76"/>
      <c r="AF12" s="119" t="e">
        <f t="shared" si="13"/>
        <v>#REF!</v>
      </c>
      <c r="AG12" s="119" t="e">
        <f t="shared" si="14"/>
        <v>#REF!</v>
      </c>
      <c r="AH12" s="119" t="e">
        <f t="shared" si="15"/>
        <v>#REF!</v>
      </c>
      <c r="AI12" s="127"/>
    </row>
    <row r="13" spans="1:35" s="28" customFormat="1" ht="12" customHeight="1">
      <c r="A13" s="140">
        <v>7</v>
      </c>
      <c r="B13" s="140" t="s">
        <v>90</v>
      </c>
      <c r="C13" s="194">
        <v>2</v>
      </c>
      <c r="D13" s="140" t="s">
        <v>61</v>
      </c>
      <c r="E13" s="141">
        <v>0.19</v>
      </c>
      <c r="F13" s="176">
        <v>402570</v>
      </c>
      <c r="G13" s="176">
        <f t="shared" si="3"/>
        <v>479058</v>
      </c>
      <c r="H13" s="177">
        <f t="shared" si="4"/>
        <v>958116</v>
      </c>
      <c r="I13" s="176">
        <v>442298</v>
      </c>
      <c r="J13" s="176">
        <f t="shared" si="0"/>
        <v>526335</v>
      </c>
      <c r="K13" s="177">
        <f t="shared" si="5"/>
        <v>1052670</v>
      </c>
      <c r="L13" s="176">
        <v>0</v>
      </c>
      <c r="M13" s="176">
        <f t="shared" si="6"/>
        <v>0</v>
      </c>
      <c r="N13" s="177">
        <f t="shared" si="7"/>
        <v>0</v>
      </c>
      <c r="O13" s="178">
        <v>540000</v>
      </c>
      <c r="P13" s="176">
        <f t="shared" si="1"/>
        <v>642600</v>
      </c>
      <c r="Q13" s="177">
        <f t="shared" si="8"/>
        <v>1285200</v>
      </c>
      <c r="R13" s="176" t="e">
        <f>+#REF!</f>
        <v>#REF!</v>
      </c>
      <c r="S13" s="176" t="e">
        <f t="shared" si="2"/>
        <v>#REF!</v>
      </c>
      <c r="T13" s="177" t="e">
        <f t="shared" si="9"/>
        <v>#REF!</v>
      </c>
      <c r="U13" s="125"/>
      <c r="V13" s="116" t="e">
        <f>ROUND(AVERAGE($F13,$I13,R13),0)</f>
        <v>#REF!</v>
      </c>
      <c r="W13" s="116" t="e">
        <f>ROUND(MEDIAN(F13,$I13,$R13),0)</f>
        <v>#REF!</v>
      </c>
      <c r="X13" s="116" t="e">
        <f>ROUND(GEOMEAN(F13,$I13,$R13),0)</f>
        <v>#REF!</v>
      </c>
      <c r="Y13" s="116" t="e">
        <f>ROUND((HARMEAN($F13,$I13,$R13)),0)</f>
        <v>#REF!</v>
      </c>
      <c r="Z13" s="116" t="e">
        <f>+STDEV($F13,$I13,$R13)</f>
        <v>#REF!</v>
      </c>
      <c r="AA13" s="181" t="e">
        <f t="shared" si="10"/>
        <v>#REF!</v>
      </c>
      <c r="AB13" s="181" t="e">
        <f>Z13/$W13</f>
        <v>#REF!</v>
      </c>
      <c r="AC13" s="181" t="e">
        <f t="shared" si="11"/>
        <v>#REF!</v>
      </c>
      <c r="AD13" s="181" t="e">
        <f t="shared" si="12"/>
        <v>#REF!</v>
      </c>
      <c r="AE13" s="76"/>
      <c r="AF13" s="119" t="e">
        <f t="shared" si="13"/>
        <v>#REF!</v>
      </c>
      <c r="AG13" s="119" t="e">
        <f t="shared" si="14"/>
        <v>#REF!</v>
      </c>
      <c r="AH13" s="119" t="e">
        <f t="shared" si="15"/>
        <v>#REF!</v>
      </c>
      <c r="AI13" s="127"/>
    </row>
    <row r="14" spans="1:35" s="28" customFormat="1" ht="12" customHeight="1">
      <c r="A14" s="140">
        <v>8</v>
      </c>
      <c r="B14" s="140" t="s">
        <v>91</v>
      </c>
      <c r="C14" s="194">
        <v>1</v>
      </c>
      <c r="D14" s="140" t="s">
        <v>61</v>
      </c>
      <c r="E14" s="141">
        <v>0.19</v>
      </c>
      <c r="F14" s="176">
        <v>581822</v>
      </c>
      <c r="G14" s="176">
        <f t="shared" si="3"/>
        <v>692368</v>
      </c>
      <c r="H14" s="177">
        <f t="shared" si="4"/>
        <v>692368</v>
      </c>
      <c r="I14" s="178">
        <v>631812</v>
      </c>
      <c r="J14" s="176">
        <f t="shared" si="0"/>
        <v>751856</v>
      </c>
      <c r="K14" s="177">
        <f t="shared" si="5"/>
        <v>751856</v>
      </c>
      <c r="L14" s="176">
        <v>0</v>
      </c>
      <c r="M14" s="176">
        <f t="shared" si="6"/>
        <v>0</v>
      </c>
      <c r="N14" s="177">
        <f t="shared" si="7"/>
        <v>0</v>
      </c>
      <c r="O14" s="176">
        <v>540000</v>
      </c>
      <c r="P14" s="176">
        <f t="shared" si="1"/>
        <v>642600</v>
      </c>
      <c r="Q14" s="177">
        <f t="shared" si="8"/>
        <v>642600</v>
      </c>
      <c r="R14" s="176" t="e">
        <f>+#REF!</f>
        <v>#REF!</v>
      </c>
      <c r="S14" s="176" t="e">
        <f t="shared" si="2"/>
        <v>#REF!</v>
      </c>
      <c r="T14" s="177" t="e">
        <f t="shared" si="9"/>
        <v>#REF!</v>
      </c>
      <c r="U14" s="125"/>
      <c r="V14" s="116" t="e">
        <f>ROUND(AVERAGE($F14,$O14,R14),0)</f>
        <v>#REF!</v>
      </c>
      <c r="W14" s="116" t="e">
        <f>ROUND(MEDIAN($F14,$O14,R14),0)</f>
        <v>#REF!</v>
      </c>
      <c r="X14" s="116" t="e">
        <f>ROUND(GEOMEAN($F14,$O14,R14),0)</f>
        <v>#REF!</v>
      </c>
      <c r="Y14" s="116" t="e">
        <f>ROUND((HARMEAN($F14,$R14,$O14)),0)</f>
        <v>#REF!</v>
      </c>
      <c r="Z14" s="116" t="e">
        <f>+STDEV($F14,$R14,$O14)</f>
        <v>#REF!</v>
      </c>
      <c r="AA14" s="181" t="e">
        <f t="shared" si="10"/>
        <v>#REF!</v>
      </c>
      <c r="AB14" s="181" t="e">
        <f>Z14/$W14</f>
        <v>#REF!</v>
      </c>
      <c r="AC14" s="181" t="e">
        <f t="shared" si="11"/>
        <v>#REF!</v>
      </c>
      <c r="AD14" s="181" t="e">
        <f t="shared" si="12"/>
        <v>#REF!</v>
      </c>
      <c r="AE14" s="76"/>
      <c r="AF14" s="119" t="e">
        <f t="shared" si="13"/>
        <v>#REF!</v>
      </c>
      <c r="AG14" s="119" t="e">
        <f t="shared" si="14"/>
        <v>#REF!</v>
      </c>
      <c r="AH14" s="119" t="e">
        <f t="shared" si="15"/>
        <v>#REF!</v>
      </c>
      <c r="AI14" s="127"/>
    </row>
    <row r="15" spans="1:35" s="28" customFormat="1" ht="12" customHeight="1">
      <c r="A15" s="140">
        <v>9</v>
      </c>
      <c r="B15" s="140" t="s">
        <v>92</v>
      </c>
      <c r="C15" s="194">
        <v>1</v>
      </c>
      <c r="D15" s="140" t="s">
        <v>61</v>
      </c>
      <c r="E15" s="141">
        <v>0.19</v>
      </c>
      <c r="F15" s="176">
        <v>575056</v>
      </c>
      <c r="G15" s="176">
        <f t="shared" si="3"/>
        <v>684317</v>
      </c>
      <c r="H15" s="177">
        <f t="shared" si="4"/>
        <v>684317</v>
      </c>
      <c r="I15" s="178">
        <v>631812</v>
      </c>
      <c r="J15" s="176">
        <f t="shared" si="0"/>
        <v>751856</v>
      </c>
      <c r="K15" s="177">
        <f t="shared" si="5"/>
        <v>751856</v>
      </c>
      <c r="L15" s="176">
        <v>0</v>
      </c>
      <c r="M15" s="176">
        <f t="shared" si="6"/>
        <v>0</v>
      </c>
      <c r="N15" s="177">
        <f t="shared" si="7"/>
        <v>0</v>
      </c>
      <c r="O15" s="176">
        <v>540000</v>
      </c>
      <c r="P15" s="176">
        <f t="shared" si="1"/>
        <v>642600</v>
      </c>
      <c r="Q15" s="177">
        <f t="shared" si="8"/>
        <v>642600</v>
      </c>
      <c r="R15" s="176" t="e">
        <f>+#REF!</f>
        <v>#REF!</v>
      </c>
      <c r="S15" s="176" t="e">
        <f t="shared" si="2"/>
        <v>#REF!</v>
      </c>
      <c r="T15" s="177" t="e">
        <f t="shared" si="9"/>
        <v>#REF!</v>
      </c>
      <c r="U15" s="125"/>
      <c r="V15" s="116" t="e">
        <f>ROUND(AVERAGE($F15,$O15,R15),0)</f>
        <v>#REF!</v>
      </c>
      <c r="W15" s="116" t="e">
        <f>ROUND(MEDIAN($F15,$O15,R15),0)</f>
        <v>#REF!</v>
      </c>
      <c r="X15" s="116" t="e">
        <f>ROUND(GEOMEAN($F15,$O15,R15),0)</f>
        <v>#REF!</v>
      </c>
      <c r="Y15" s="116" t="e">
        <f>ROUND((HARMEAN($F15,$R15,$O15)),0)</f>
        <v>#REF!</v>
      </c>
      <c r="Z15" s="116" t="e">
        <f>+STDEV($F15,$R15,$O15)</f>
        <v>#REF!</v>
      </c>
      <c r="AA15" s="181" t="e">
        <f t="shared" si="10"/>
        <v>#REF!</v>
      </c>
      <c r="AB15" s="181" t="e">
        <f>Z15/$W15</f>
        <v>#REF!</v>
      </c>
      <c r="AC15" s="181" t="e">
        <f t="shared" si="11"/>
        <v>#REF!</v>
      </c>
      <c r="AD15" s="181" t="e">
        <f t="shared" si="12"/>
        <v>#REF!</v>
      </c>
      <c r="AE15" s="76"/>
      <c r="AF15" s="119" t="e">
        <f t="shared" ref="AF15:AF38" si="17">ROUND((((MIN(W15:Y15)*3)+SMALL(W15:Y15,2)+SMALL(W15:Y15,3))/5),0)</f>
        <v>#REF!</v>
      </c>
      <c r="AG15" s="119" t="e">
        <f t="shared" si="14"/>
        <v>#REF!</v>
      </c>
      <c r="AH15" s="119" t="e">
        <f t="shared" si="15"/>
        <v>#REF!</v>
      </c>
      <c r="AI15" s="127"/>
    </row>
    <row r="16" spans="1:35" s="28" customFormat="1" ht="12" customHeight="1">
      <c r="A16" s="140">
        <v>10</v>
      </c>
      <c r="B16" s="140" t="s">
        <v>93</v>
      </c>
      <c r="C16" s="194">
        <v>1</v>
      </c>
      <c r="D16" s="140" t="s">
        <v>61</v>
      </c>
      <c r="E16" s="141">
        <v>0.19</v>
      </c>
      <c r="F16" s="176">
        <v>575056</v>
      </c>
      <c r="G16" s="176">
        <f t="shared" si="3"/>
        <v>684317</v>
      </c>
      <c r="H16" s="177">
        <f t="shared" si="4"/>
        <v>684317</v>
      </c>
      <c r="I16" s="178">
        <v>631812</v>
      </c>
      <c r="J16" s="176">
        <f t="shared" si="0"/>
        <v>751856</v>
      </c>
      <c r="K16" s="177">
        <f t="shared" si="5"/>
        <v>751856</v>
      </c>
      <c r="L16" s="176">
        <v>0</v>
      </c>
      <c r="M16" s="176">
        <f t="shared" si="6"/>
        <v>0</v>
      </c>
      <c r="N16" s="177" t="s">
        <v>94</v>
      </c>
      <c r="O16" s="176">
        <v>540000</v>
      </c>
      <c r="P16" s="176">
        <f t="shared" si="1"/>
        <v>642600</v>
      </c>
      <c r="Q16" s="177">
        <f t="shared" si="8"/>
        <v>642600</v>
      </c>
      <c r="R16" s="176" t="e">
        <f>+#REF!</f>
        <v>#REF!</v>
      </c>
      <c r="S16" s="176" t="e">
        <f t="shared" si="2"/>
        <v>#REF!</v>
      </c>
      <c r="T16" s="177" t="e">
        <f t="shared" si="9"/>
        <v>#REF!</v>
      </c>
      <c r="U16" s="125"/>
      <c r="V16" s="116" t="e">
        <f>ROUND(AVERAGE($F16,$O16,R16),0)</f>
        <v>#REF!</v>
      </c>
      <c r="W16" s="116" t="e">
        <f>ROUND(MEDIAN($F16,$O16,R16),0)</f>
        <v>#REF!</v>
      </c>
      <c r="X16" s="116" t="e">
        <f>ROUND(GEOMEAN($F16,$O16,R16),0)</f>
        <v>#REF!</v>
      </c>
      <c r="Y16" s="116" t="e">
        <f>ROUND((HARMEAN($F16,$R16,$O16)),0)</f>
        <v>#REF!</v>
      </c>
      <c r="Z16" s="116" t="e">
        <f>+STDEV($F16,$R16,$O16)</f>
        <v>#REF!</v>
      </c>
      <c r="AA16" s="181" t="e">
        <f t="shared" ref="AA16:AA38" si="18">Z16/$V16</f>
        <v>#REF!</v>
      </c>
      <c r="AB16" s="181" t="e">
        <f>Z16/$W16</f>
        <v>#REF!</v>
      </c>
      <c r="AC16" s="181" t="e">
        <f t="shared" si="11"/>
        <v>#REF!</v>
      </c>
      <c r="AD16" s="181" t="e">
        <f t="shared" si="12"/>
        <v>#REF!</v>
      </c>
      <c r="AE16" s="76"/>
      <c r="AF16" s="119" t="e">
        <f t="shared" si="17"/>
        <v>#REF!</v>
      </c>
      <c r="AG16" s="119" t="e">
        <f t="shared" si="14"/>
        <v>#REF!</v>
      </c>
      <c r="AH16" s="119" t="e">
        <f t="shared" si="15"/>
        <v>#REF!</v>
      </c>
      <c r="AI16" s="127"/>
    </row>
    <row r="17" spans="1:35" s="28" customFormat="1" ht="12" customHeight="1">
      <c r="A17" s="140">
        <v>11</v>
      </c>
      <c r="B17" s="140" t="s">
        <v>95</v>
      </c>
      <c r="C17" s="183">
        <v>6</v>
      </c>
      <c r="D17" s="140" t="s">
        <v>61</v>
      </c>
      <c r="E17" s="141">
        <v>0.19</v>
      </c>
      <c r="F17" s="176">
        <v>1271703</v>
      </c>
      <c r="G17" s="176">
        <f t="shared" si="3"/>
        <v>1513327</v>
      </c>
      <c r="H17" s="177">
        <f t="shared" si="4"/>
        <v>9079962</v>
      </c>
      <c r="I17" s="178">
        <v>1895436</v>
      </c>
      <c r="J17" s="176">
        <f t="shared" si="0"/>
        <v>2255569</v>
      </c>
      <c r="K17" s="177">
        <f t="shared" si="5"/>
        <v>13533414</v>
      </c>
      <c r="L17" s="176">
        <v>0</v>
      </c>
      <c r="M17" s="176">
        <f t="shared" si="6"/>
        <v>0</v>
      </c>
      <c r="N17" s="177">
        <f t="shared" si="7"/>
        <v>0</v>
      </c>
      <c r="O17" s="176">
        <v>980000</v>
      </c>
      <c r="P17" s="176">
        <f t="shared" si="1"/>
        <v>1166200</v>
      </c>
      <c r="Q17" s="177">
        <f t="shared" si="8"/>
        <v>6997200</v>
      </c>
      <c r="R17" s="176" t="e">
        <f>+#REF!</f>
        <v>#REF!</v>
      </c>
      <c r="S17" s="176" t="e">
        <f t="shared" si="2"/>
        <v>#REF!</v>
      </c>
      <c r="T17" s="177" t="e">
        <f t="shared" si="9"/>
        <v>#REF!</v>
      </c>
      <c r="U17" s="125"/>
      <c r="V17" s="116" t="e">
        <f>ROUND(AVERAGE($F17,$O17,R17),0)</f>
        <v>#REF!</v>
      </c>
      <c r="W17" s="116" t="e">
        <f>ROUND(MEDIAN($F17,$O17,R17),0)</f>
        <v>#REF!</v>
      </c>
      <c r="X17" s="116" t="e">
        <f>ROUND(GEOMEAN($F17,$O17,R17),0)</f>
        <v>#REF!</v>
      </c>
      <c r="Y17" s="116" t="e">
        <f>ROUND(HARMEAN($F17,$R17,$O17),)</f>
        <v>#REF!</v>
      </c>
      <c r="Z17" s="116" t="e">
        <f>+STDEV($F17,$R17,$O17)</f>
        <v>#REF!</v>
      </c>
      <c r="AA17" s="181" t="e">
        <f t="shared" ref="AA17:AA24" si="19">Z17/$V17</f>
        <v>#REF!</v>
      </c>
      <c r="AB17" s="181" t="e">
        <f>Z17/$W17</f>
        <v>#REF!</v>
      </c>
      <c r="AC17" s="181" t="e">
        <f t="shared" si="11"/>
        <v>#REF!</v>
      </c>
      <c r="AD17" s="181" t="e">
        <f t="shared" si="12"/>
        <v>#REF!</v>
      </c>
      <c r="AE17" s="76"/>
      <c r="AF17" s="119" t="e">
        <f t="shared" si="17"/>
        <v>#REF!</v>
      </c>
      <c r="AG17" s="119" t="e">
        <f t="shared" si="14"/>
        <v>#REF!</v>
      </c>
      <c r="AH17" s="119" t="e">
        <f t="shared" si="15"/>
        <v>#REF!</v>
      </c>
      <c r="AI17" s="127"/>
    </row>
    <row r="18" spans="1:35" s="28" customFormat="1" ht="12" customHeight="1">
      <c r="A18" s="140">
        <v>12</v>
      </c>
      <c r="B18" s="140" t="s">
        <v>96</v>
      </c>
      <c r="C18" s="194">
        <v>16</v>
      </c>
      <c r="D18" s="140" t="s">
        <v>61</v>
      </c>
      <c r="E18" s="141">
        <v>0.19</v>
      </c>
      <c r="F18" s="176">
        <v>577229</v>
      </c>
      <c r="G18" s="176">
        <f t="shared" si="3"/>
        <v>686903</v>
      </c>
      <c r="H18" s="177">
        <f t="shared" si="4"/>
        <v>10990448</v>
      </c>
      <c r="I18" s="176">
        <v>683538</v>
      </c>
      <c r="J18" s="176">
        <f t="shared" si="0"/>
        <v>813410</v>
      </c>
      <c r="K18" s="177">
        <f t="shared" si="5"/>
        <v>13014560</v>
      </c>
      <c r="L18" s="176">
        <v>406600</v>
      </c>
      <c r="M18" s="176">
        <f t="shared" si="6"/>
        <v>483854</v>
      </c>
      <c r="N18" s="177">
        <f t="shared" si="7"/>
        <v>7741664</v>
      </c>
      <c r="O18" s="176">
        <v>670000</v>
      </c>
      <c r="P18" s="176">
        <f t="shared" si="1"/>
        <v>797300</v>
      </c>
      <c r="Q18" s="177">
        <f t="shared" si="8"/>
        <v>12756800</v>
      </c>
      <c r="R18" s="176" t="e">
        <f>+#REF!</f>
        <v>#REF!</v>
      </c>
      <c r="S18" s="176" t="e">
        <f t="shared" si="2"/>
        <v>#REF!</v>
      </c>
      <c r="T18" s="177" t="e">
        <f t="shared" si="9"/>
        <v>#REF!</v>
      </c>
      <c r="U18" s="125"/>
      <c r="V18" s="116" t="e">
        <f>ROUND(AVERAGE($F18,$I18,$O18,L18,R18),0)</f>
        <v>#REF!</v>
      </c>
      <c r="W18" s="116" t="e">
        <f>ROUND(MEDIAN($F18,$I18,$O18,L18,R18),0)</f>
        <v>#REF!</v>
      </c>
      <c r="X18" s="116" t="e">
        <f>ROUND(GEOMEAN($F18,$I18,$O18,L18,R18),0)</f>
        <v>#REF!</v>
      </c>
      <c r="Y18" s="116" t="e">
        <f>ROUND(HARMEAN($F18,$I18,$O18,L18,R18),0)</f>
        <v>#REF!</v>
      </c>
      <c r="Z18" s="116" t="e">
        <f>+STDEV($F18,$I18,$O18,L18,R18)</f>
        <v>#REF!</v>
      </c>
      <c r="AA18" s="181" t="e">
        <f t="shared" si="19"/>
        <v>#REF!</v>
      </c>
      <c r="AB18" s="181" t="e">
        <f t="shared" si="16"/>
        <v>#REF!</v>
      </c>
      <c r="AC18" s="181" t="e">
        <f t="shared" si="11"/>
        <v>#REF!</v>
      </c>
      <c r="AD18" s="181" t="e">
        <f t="shared" si="12"/>
        <v>#REF!</v>
      </c>
      <c r="AE18" s="76"/>
      <c r="AF18" s="119" t="e">
        <f t="shared" si="17"/>
        <v>#REF!</v>
      </c>
      <c r="AG18" s="119" t="e">
        <f t="shared" si="14"/>
        <v>#REF!</v>
      </c>
      <c r="AH18" s="119" t="e">
        <f t="shared" si="15"/>
        <v>#REF!</v>
      </c>
      <c r="AI18" s="127"/>
    </row>
    <row r="19" spans="1:35" s="28" customFormat="1" ht="12" customHeight="1">
      <c r="A19" s="140">
        <v>13</v>
      </c>
      <c r="B19" s="140" t="s">
        <v>97</v>
      </c>
      <c r="C19" s="194">
        <v>5</v>
      </c>
      <c r="D19" s="140" t="s">
        <v>61</v>
      </c>
      <c r="E19" s="141">
        <v>0.19</v>
      </c>
      <c r="F19" s="176">
        <v>571022</v>
      </c>
      <c r="G19" s="176">
        <f t="shared" si="3"/>
        <v>679516</v>
      </c>
      <c r="H19" s="177">
        <f t="shared" si="4"/>
        <v>3397580</v>
      </c>
      <c r="I19" s="176">
        <v>712176</v>
      </c>
      <c r="J19" s="176">
        <f t="shared" si="0"/>
        <v>847489</v>
      </c>
      <c r="K19" s="177">
        <f t="shared" si="5"/>
        <v>4237445</v>
      </c>
      <c r="L19" s="176">
        <v>126050</v>
      </c>
      <c r="M19" s="176">
        <f t="shared" si="6"/>
        <v>150000</v>
      </c>
      <c r="N19" s="177">
        <f t="shared" si="7"/>
        <v>750000</v>
      </c>
      <c r="O19" s="176">
        <v>665000</v>
      </c>
      <c r="P19" s="176">
        <f t="shared" si="1"/>
        <v>791350</v>
      </c>
      <c r="Q19" s="177">
        <f t="shared" si="8"/>
        <v>3956750</v>
      </c>
      <c r="R19" s="176" t="e">
        <f>+#REF!</f>
        <v>#REF!</v>
      </c>
      <c r="S19" s="176" t="e">
        <f t="shared" si="2"/>
        <v>#REF!</v>
      </c>
      <c r="T19" s="177" t="e">
        <f t="shared" si="9"/>
        <v>#REF!</v>
      </c>
      <c r="U19" s="125"/>
      <c r="V19" s="116" t="e">
        <f>ROUND(AVERAGE($F19,$I19,$O19,L19,R19),0)</f>
        <v>#REF!</v>
      </c>
      <c r="W19" s="116" t="e">
        <f>ROUND(MEDIAN($F19,$I19,$O19,L19,R19),0)</f>
        <v>#REF!</v>
      </c>
      <c r="X19" s="116" t="e">
        <f>ROUND(GEOMEAN($F19,$I19,$O19,L19,R19),0)</f>
        <v>#REF!</v>
      </c>
      <c r="Y19" s="116" t="e">
        <f>ROUND(HARMEAN($F19,$I19,$O19,L19,R19),0)</f>
        <v>#REF!</v>
      </c>
      <c r="Z19" s="116" t="e">
        <f>+STDEV($F19,$I19,$O19,L19,R19)</f>
        <v>#REF!</v>
      </c>
      <c r="AA19" s="181" t="e">
        <f t="shared" si="19"/>
        <v>#REF!</v>
      </c>
      <c r="AB19" s="181" t="e">
        <f t="shared" si="16"/>
        <v>#REF!</v>
      </c>
      <c r="AC19" s="181" t="e">
        <f t="shared" si="11"/>
        <v>#REF!</v>
      </c>
      <c r="AD19" s="181" t="e">
        <f t="shared" si="12"/>
        <v>#REF!</v>
      </c>
      <c r="AE19" s="76"/>
      <c r="AF19" s="119" t="e">
        <f t="shared" si="17"/>
        <v>#REF!</v>
      </c>
      <c r="AG19" s="119" t="e">
        <f t="shared" si="14"/>
        <v>#REF!</v>
      </c>
      <c r="AH19" s="119" t="e">
        <f t="shared" si="15"/>
        <v>#REF!</v>
      </c>
      <c r="AI19" s="127"/>
    </row>
    <row r="20" spans="1:35" s="28" customFormat="1" ht="12" customHeight="1">
      <c r="A20" s="140">
        <v>14</v>
      </c>
      <c r="B20" s="140" t="s">
        <v>98</v>
      </c>
      <c r="C20" s="183">
        <v>4</v>
      </c>
      <c r="D20" s="140" t="s">
        <v>61</v>
      </c>
      <c r="E20" s="141">
        <v>0.19</v>
      </c>
      <c r="F20" s="176">
        <v>266891</v>
      </c>
      <c r="G20" s="176">
        <f t="shared" si="3"/>
        <v>317600</v>
      </c>
      <c r="H20" s="177">
        <f t="shared" si="4"/>
        <v>1270400</v>
      </c>
      <c r="I20" s="176">
        <v>294742</v>
      </c>
      <c r="J20" s="176">
        <f t="shared" si="0"/>
        <v>350743</v>
      </c>
      <c r="K20" s="177">
        <f t="shared" si="5"/>
        <v>1402972</v>
      </c>
      <c r="L20" s="176">
        <v>174800</v>
      </c>
      <c r="M20" s="176">
        <f t="shared" si="6"/>
        <v>208012</v>
      </c>
      <c r="N20" s="177">
        <f t="shared" si="7"/>
        <v>832048</v>
      </c>
      <c r="O20" s="178">
        <v>340000</v>
      </c>
      <c r="P20" s="176">
        <f t="shared" si="1"/>
        <v>404600</v>
      </c>
      <c r="Q20" s="177">
        <f t="shared" si="8"/>
        <v>1618400</v>
      </c>
      <c r="R20" s="176" t="e">
        <f>+#REF!</f>
        <v>#REF!</v>
      </c>
      <c r="S20" s="176" t="e">
        <f t="shared" si="2"/>
        <v>#REF!</v>
      </c>
      <c r="T20" s="177" t="e">
        <f t="shared" si="9"/>
        <v>#REF!</v>
      </c>
      <c r="U20" s="125"/>
      <c r="V20" s="116" t="e">
        <f>ROUND(AVERAGE($F20,$I20,L20,R20),0)</f>
        <v>#REF!</v>
      </c>
      <c r="W20" s="116" t="e">
        <f>ROUND(MEDIAN($F20,$I20,L20,R20),0)</f>
        <v>#REF!</v>
      </c>
      <c r="X20" s="116" t="e">
        <f>ROUND(GEOMEAN($F20,$I20,L20,R20),0)</f>
        <v>#REF!</v>
      </c>
      <c r="Y20" s="116" t="e">
        <f>ROUND(HARMEAN($F20,$I20,L20,R20),0)</f>
        <v>#REF!</v>
      </c>
      <c r="Z20" s="116" t="e">
        <f>+STDEV($F20,$I20,$R20,L20)</f>
        <v>#REF!</v>
      </c>
      <c r="AA20" s="181" t="e">
        <f t="shared" si="19"/>
        <v>#REF!</v>
      </c>
      <c r="AB20" s="181" t="e">
        <f t="shared" si="16"/>
        <v>#REF!</v>
      </c>
      <c r="AC20" s="181" t="e">
        <f t="shared" si="11"/>
        <v>#REF!</v>
      </c>
      <c r="AD20" s="181" t="e">
        <f t="shared" si="12"/>
        <v>#REF!</v>
      </c>
      <c r="AE20" s="76"/>
      <c r="AF20" s="119" t="e">
        <f t="shared" si="17"/>
        <v>#REF!</v>
      </c>
      <c r="AG20" s="119" t="e">
        <f t="shared" si="14"/>
        <v>#REF!</v>
      </c>
      <c r="AH20" s="119" t="e">
        <f t="shared" si="15"/>
        <v>#REF!</v>
      </c>
      <c r="AI20" s="127"/>
    </row>
    <row r="21" spans="1:35" s="28" customFormat="1" ht="12" customHeight="1">
      <c r="A21" s="140">
        <v>15</v>
      </c>
      <c r="B21" s="140" t="s">
        <v>99</v>
      </c>
      <c r="C21" s="183">
        <v>4</v>
      </c>
      <c r="D21" s="140" t="s">
        <v>61</v>
      </c>
      <c r="E21" s="141">
        <v>0.19</v>
      </c>
      <c r="F21" s="176">
        <v>254477</v>
      </c>
      <c r="G21" s="176">
        <f t="shared" si="3"/>
        <v>302828</v>
      </c>
      <c r="H21" s="177">
        <f t="shared" si="4"/>
        <v>1211312</v>
      </c>
      <c r="I21" s="176">
        <v>292300</v>
      </c>
      <c r="J21" s="176">
        <f t="shared" si="0"/>
        <v>347837</v>
      </c>
      <c r="K21" s="177">
        <f t="shared" si="5"/>
        <v>1391348</v>
      </c>
      <c r="L21" s="176">
        <v>174800</v>
      </c>
      <c r="M21" s="176">
        <f t="shared" si="6"/>
        <v>208012</v>
      </c>
      <c r="N21" s="177">
        <f t="shared" si="7"/>
        <v>832048</v>
      </c>
      <c r="O21" s="176">
        <v>365000</v>
      </c>
      <c r="P21" s="176">
        <f t="shared" si="1"/>
        <v>434350</v>
      </c>
      <c r="Q21" s="177">
        <f t="shared" si="8"/>
        <v>1737400</v>
      </c>
      <c r="R21" s="178" t="e">
        <f>+#REF!</f>
        <v>#REF!</v>
      </c>
      <c r="S21" s="176" t="e">
        <f t="shared" si="2"/>
        <v>#REF!</v>
      </c>
      <c r="T21" s="177" t="e">
        <f t="shared" si="9"/>
        <v>#REF!</v>
      </c>
      <c r="U21" s="125"/>
      <c r="V21" s="116">
        <f>ROUND(AVERAGE($F21,$I21,$O21,L21),0)</f>
        <v>271644</v>
      </c>
      <c r="W21" s="116">
        <f>ROUND(MEDIAN($F21,$I21,$O21,L21),0)</f>
        <v>273389</v>
      </c>
      <c r="X21" s="116">
        <f>ROUND(GEOMEAN($F21,$I21,$O21,L21),0)</f>
        <v>262469</v>
      </c>
      <c r="Y21" s="116">
        <f>ROUND(HARMEAN($F21,$I21,$O21,L21),0)</f>
        <v>252983</v>
      </c>
      <c r="Z21" s="116">
        <f>+STDEV($F21,$I21,$O21,L21)</f>
        <v>79194.863673410029</v>
      </c>
      <c r="AA21" s="181">
        <f t="shared" si="19"/>
        <v>0.29153916034740335</v>
      </c>
      <c r="AB21" s="181">
        <f t="shared" si="16"/>
        <v>0.28967831066140198</v>
      </c>
      <c r="AC21" s="181">
        <f t="shared" si="11"/>
        <v>0.30173035167356915</v>
      </c>
      <c r="AD21" s="181">
        <f t="shared" si="12"/>
        <v>0.31304421116600734</v>
      </c>
      <c r="AE21" s="76"/>
      <c r="AF21" s="119">
        <f t="shared" si="17"/>
        <v>258961</v>
      </c>
      <c r="AG21" s="119">
        <f t="shared" si="14"/>
        <v>308164</v>
      </c>
      <c r="AH21" s="119">
        <f t="shared" si="15"/>
        <v>1232656</v>
      </c>
      <c r="AI21" s="127"/>
    </row>
    <row r="22" spans="1:35" s="28" customFormat="1" ht="12" customHeight="1">
      <c r="A22" s="140">
        <v>16</v>
      </c>
      <c r="B22" s="140" t="s">
        <v>100</v>
      </c>
      <c r="C22" s="183">
        <v>2</v>
      </c>
      <c r="D22" s="140" t="s">
        <v>61</v>
      </c>
      <c r="E22" s="141">
        <v>0.19</v>
      </c>
      <c r="F22" s="178">
        <v>717765</v>
      </c>
      <c r="G22" s="176">
        <f t="shared" si="3"/>
        <v>854140</v>
      </c>
      <c r="H22" s="177">
        <f t="shared" si="4"/>
        <v>1708280</v>
      </c>
      <c r="I22" s="176">
        <v>529100</v>
      </c>
      <c r="J22" s="176">
        <f t="shared" si="0"/>
        <v>629629</v>
      </c>
      <c r="K22" s="177">
        <f t="shared" si="5"/>
        <v>1259258</v>
      </c>
      <c r="L22" s="176">
        <v>0</v>
      </c>
      <c r="M22" s="176">
        <f t="shared" si="6"/>
        <v>0</v>
      </c>
      <c r="N22" s="177">
        <f t="shared" si="7"/>
        <v>0</v>
      </c>
      <c r="O22" s="176"/>
      <c r="P22" s="176">
        <f t="shared" si="1"/>
        <v>0</v>
      </c>
      <c r="Q22" s="177">
        <f t="shared" si="8"/>
        <v>0</v>
      </c>
      <c r="R22" s="176" t="e">
        <f>+#REF!</f>
        <v>#REF!</v>
      </c>
      <c r="S22" s="176" t="e">
        <f t="shared" si="2"/>
        <v>#REF!</v>
      </c>
      <c r="T22" s="177" t="e">
        <f t="shared" si="9"/>
        <v>#REF!</v>
      </c>
      <c r="U22" s="125"/>
      <c r="V22" s="116" t="e">
        <f>ROUND(AVERAGE($I22,R22),0)</f>
        <v>#REF!</v>
      </c>
      <c r="W22" s="116" t="e">
        <f>ROUND(MEDIAN($I22,R22),0)</f>
        <v>#REF!</v>
      </c>
      <c r="X22" s="116" t="e">
        <f>ROUND(GEOMEAN($I22,R22),0)</f>
        <v>#REF!</v>
      </c>
      <c r="Y22" s="116" t="e">
        <f>ROUND(HARMEAN($I22,$R22),0)</f>
        <v>#REF!</v>
      </c>
      <c r="Z22" s="116" t="e">
        <f>+STDEV($R22,$I22)</f>
        <v>#REF!</v>
      </c>
      <c r="AA22" s="181" t="e">
        <f t="shared" si="19"/>
        <v>#REF!</v>
      </c>
      <c r="AB22" s="181" t="e">
        <f t="shared" si="16"/>
        <v>#REF!</v>
      </c>
      <c r="AC22" s="181" t="e">
        <f t="shared" si="11"/>
        <v>#REF!</v>
      </c>
      <c r="AD22" s="181" t="e">
        <f t="shared" si="12"/>
        <v>#REF!</v>
      </c>
      <c r="AE22" s="76"/>
      <c r="AF22" s="119" t="e">
        <f t="shared" si="17"/>
        <v>#REF!</v>
      </c>
      <c r="AG22" s="119" t="e">
        <f t="shared" si="14"/>
        <v>#REF!</v>
      </c>
      <c r="AH22" s="119" t="e">
        <f t="shared" si="15"/>
        <v>#REF!</v>
      </c>
      <c r="AI22" s="127"/>
    </row>
    <row r="23" spans="1:35" s="28" customFormat="1" ht="12" customHeight="1">
      <c r="A23" s="140">
        <v>17</v>
      </c>
      <c r="B23" s="140" t="s">
        <v>101</v>
      </c>
      <c r="C23" s="194">
        <v>3</v>
      </c>
      <c r="D23" s="140" t="s">
        <v>61</v>
      </c>
      <c r="E23" s="141">
        <v>0.19</v>
      </c>
      <c r="F23" s="176">
        <v>0</v>
      </c>
      <c r="G23" s="176">
        <f t="shared" si="3"/>
        <v>0</v>
      </c>
      <c r="H23" s="177">
        <f t="shared" si="4"/>
        <v>0</v>
      </c>
      <c r="I23" s="178">
        <v>780000</v>
      </c>
      <c r="J23" s="176">
        <f t="shared" si="0"/>
        <v>928200</v>
      </c>
      <c r="K23" s="177">
        <f t="shared" si="5"/>
        <v>2784600</v>
      </c>
      <c r="L23" s="176">
        <v>75630</v>
      </c>
      <c r="M23" s="176">
        <f t="shared" si="6"/>
        <v>90000</v>
      </c>
      <c r="N23" s="177">
        <f t="shared" si="7"/>
        <v>270000</v>
      </c>
      <c r="O23" s="176">
        <v>560000</v>
      </c>
      <c r="P23" s="176">
        <f t="shared" si="1"/>
        <v>666400</v>
      </c>
      <c r="Q23" s="177">
        <f t="shared" si="8"/>
        <v>1999200</v>
      </c>
      <c r="R23" s="176" t="e">
        <f>+#REF!</f>
        <v>#REF!</v>
      </c>
      <c r="S23" s="176" t="e">
        <f t="shared" si="2"/>
        <v>#REF!</v>
      </c>
      <c r="T23" s="177" t="e">
        <f t="shared" si="9"/>
        <v>#REF!</v>
      </c>
      <c r="U23" s="125"/>
      <c r="V23" s="116" t="e">
        <f>ROUND(AVERAGE($O23,L23,R23),0)</f>
        <v>#REF!</v>
      </c>
      <c r="W23" s="116" t="e">
        <f>ROUND(MEDIAN($O23,L23,R23),0)</f>
        <v>#REF!</v>
      </c>
      <c r="X23" s="116" t="e">
        <f>ROUND(GEOMEAN($O23,L23,R23),0)</f>
        <v>#REF!</v>
      </c>
      <c r="Y23" s="116" t="e">
        <f>ROUND(HARMEAN($R23,$O23,L23),0)</f>
        <v>#REF!</v>
      </c>
      <c r="Z23" s="116" t="e">
        <f>+STDEV($R23,$O23,L23)</f>
        <v>#REF!</v>
      </c>
      <c r="AA23" s="181" t="e">
        <f t="shared" si="19"/>
        <v>#REF!</v>
      </c>
      <c r="AB23" s="181" t="e">
        <f t="shared" si="16"/>
        <v>#REF!</v>
      </c>
      <c r="AC23" s="181" t="e">
        <f t="shared" si="11"/>
        <v>#REF!</v>
      </c>
      <c r="AD23" s="181" t="e">
        <f t="shared" si="12"/>
        <v>#REF!</v>
      </c>
      <c r="AE23" s="76"/>
      <c r="AF23" s="119" t="e">
        <f t="shared" si="17"/>
        <v>#REF!</v>
      </c>
      <c r="AG23" s="119" t="e">
        <f t="shared" si="14"/>
        <v>#REF!</v>
      </c>
      <c r="AH23" s="119" t="e">
        <f t="shared" si="15"/>
        <v>#REF!</v>
      </c>
      <c r="AI23" s="127"/>
    </row>
    <row r="24" spans="1:35" s="28" customFormat="1" ht="12" customHeight="1">
      <c r="A24" s="140">
        <v>18</v>
      </c>
      <c r="B24" s="140" t="s">
        <v>102</v>
      </c>
      <c r="C24" s="194">
        <v>3</v>
      </c>
      <c r="D24" s="140" t="s">
        <v>61</v>
      </c>
      <c r="E24" s="141">
        <v>0.19</v>
      </c>
      <c r="F24" s="180">
        <v>1822694</v>
      </c>
      <c r="G24" s="176">
        <f t="shared" si="3"/>
        <v>2169006</v>
      </c>
      <c r="H24" s="177">
        <f t="shared" si="4"/>
        <v>6507018</v>
      </c>
      <c r="I24" s="178">
        <v>2197800</v>
      </c>
      <c r="J24" s="176">
        <f t="shared" si="0"/>
        <v>2615382</v>
      </c>
      <c r="K24" s="177">
        <f t="shared" si="5"/>
        <v>7846146</v>
      </c>
      <c r="L24" s="176">
        <v>0</v>
      </c>
      <c r="M24" s="176">
        <f t="shared" si="6"/>
        <v>0</v>
      </c>
      <c r="N24" s="177">
        <f t="shared" si="7"/>
        <v>0</v>
      </c>
      <c r="O24" s="180">
        <v>1950000</v>
      </c>
      <c r="P24" s="176">
        <f t="shared" si="1"/>
        <v>2320500</v>
      </c>
      <c r="Q24" s="177">
        <f t="shared" si="8"/>
        <v>6961500</v>
      </c>
      <c r="R24" s="176">
        <v>0</v>
      </c>
      <c r="S24" s="176">
        <f t="shared" si="2"/>
        <v>0</v>
      </c>
      <c r="T24" s="177">
        <f t="shared" si="9"/>
        <v>0</v>
      </c>
      <c r="U24" s="125"/>
      <c r="V24" s="116">
        <f>ROUND(AVERAGE(F24,O24),0)</f>
        <v>1886347</v>
      </c>
      <c r="W24" s="116">
        <f>ROUND(MEDIAN(F24,O24),0)</f>
        <v>1886347</v>
      </c>
      <c r="X24" s="116">
        <f>ROUND(GEOMEAN(F24,O24),0)</f>
        <v>1885273</v>
      </c>
      <c r="Y24" s="116">
        <f>ROUND(HARMEAN($F24,$O24),0)</f>
        <v>1884199</v>
      </c>
      <c r="Z24" s="116">
        <f>+STDEV($O24,$F24)</f>
        <v>90018.935885734623</v>
      </c>
      <c r="AA24" s="181">
        <f t="shared" si="19"/>
        <v>4.7721302541756432E-2</v>
      </c>
      <c r="AB24" s="181">
        <f t="shared" si="16"/>
        <v>4.7721302541756432E-2</v>
      </c>
      <c r="AC24" s="181">
        <f t="shared" si="11"/>
        <v>4.7748488354596191E-2</v>
      </c>
      <c r="AD24" s="181">
        <f t="shared" si="12"/>
        <v>4.7775705159452175E-2</v>
      </c>
      <c r="AE24" s="76"/>
      <c r="AF24" s="119">
        <f t="shared" si="17"/>
        <v>1884843</v>
      </c>
      <c r="AG24" s="119">
        <f t="shared" si="14"/>
        <v>2242963</v>
      </c>
      <c r="AH24" s="119">
        <f t="shared" si="15"/>
        <v>6728889</v>
      </c>
      <c r="AI24" s="127"/>
    </row>
    <row r="25" spans="1:35" s="28" customFormat="1" ht="12" customHeight="1">
      <c r="A25" s="140">
        <v>19</v>
      </c>
      <c r="B25" s="140" t="s">
        <v>103</v>
      </c>
      <c r="C25" s="194">
        <v>5</v>
      </c>
      <c r="D25" s="140" t="s">
        <v>61</v>
      </c>
      <c r="E25" s="141">
        <v>0.19</v>
      </c>
      <c r="F25" s="176">
        <v>993082</v>
      </c>
      <c r="G25" s="176">
        <f t="shared" si="3"/>
        <v>1181768</v>
      </c>
      <c r="H25" s="177">
        <f t="shared" si="4"/>
        <v>5908840</v>
      </c>
      <c r="I25" s="178">
        <v>1307135</v>
      </c>
      <c r="J25" s="176">
        <f t="shared" si="0"/>
        <v>1555491</v>
      </c>
      <c r="K25" s="177">
        <f t="shared" si="5"/>
        <v>7777455</v>
      </c>
      <c r="L25" s="176">
        <v>0</v>
      </c>
      <c r="M25" s="176">
        <f t="shared" si="6"/>
        <v>0</v>
      </c>
      <c r="N25" s="177">
        <f t="shared" si="7"/>
        <v>0</v>
      </c>
      <c r="O25" s="176">
        <v>488000</v>
      </c>
      <c r="P25" s="176">
        <f t="shared" si="1"/>
        <v>580720</v>
      </c>
      <c r="Q25" s="177">
        <f t="shared" si="8"/>
        <v>2903600</v>
      </c>
      <c r="R25" s="176">
        <v>0</v>
      </c>
      <c r="S25" s="176">
        <f t="shared" si="2"/>
        <v>0</v>
      </c>
      <c r="T25" s="177">
        <f t="shared" si="9"/>
        <v>0</v>
      </c>
      <c r="U25" s="125"/>
      <c r="V25" s="116">
        <f>ROUND(AVERAGE($F25,O25),0)</f>
        <v>740541</v>
      </c>
      <c r="W25" s="116">
        <f>ROUND(MEDIAN($F25,O25),0)</f>
        <v>740541</v>
      </c>
      <c r="X25" s="116">
        <f>ROUND(GEOMEAN($F25,O25),0)</f>
        <v>696149</v>
      </c>
      <c r="Y25" s="116">
        <f>ROUND(HARMEAN($F25,$O25),0)</f>
        <v>654419</v>
      </c>
      <c r="Z25" s="116">
        <f>+STDEV($O25,$F25)</f>
        <v>357146.90725526382</v>
      </c>
      <c r="AA25" s="181">
        <f t="shared" si="18"/>
        <v>0.48227837115738875</v>
      </c>
      <c r="AB25" s="181">
        <f t="shared" si="16"/>
        <v>0.48227837115738875</v>
      </c>
      <c r="AC25" s="181">
        <f t="shared" si="11"/>
        <v>0.51303227793944084</v>
      </c>
      <c r="AD25" s="181">
        <f t="shared" si="12"/>
        <v>0.54574654350693341</v>
      </c>
      <c r="AE25" s="76"/>
      <c r="AF25" s="119">
        <f t="shared" si="17"/>
        <v>679989</v>
      </c>
      <c r="AG25" s="119">
        <f t="shared" si="14"/>
        <v>809187</v>
      </c>
      <c r="AH25" s="119">
        <f t="shared" si="15"/>
        <v>4045935</v>
      </c>
      <c r="AI25" s="127"/>
    </row>
    <row r="26" spans="1:35" s="28" customFormat="1" ht="12" customHeight="1">
      <c r="A26" s="140">
        <v>20</v>
      </c>
      <c r="B26" s="140" t="s">
        <v>104</v>
      </c>
      <c r="C26" s="183">
        <v>4</v>
      </c>
      <c r="D26" s="140" t="s">
        <v>61</v>
      </c>
      <c r="E26" s="141">
        <v>0.19</v>
      </c>
      <c r="F26" s="176">
        <v>1822701</v>
      </c>
      <c r="G26" s="176">
        <f t="shared" si="3"/>
        <v>2169014</v>
      </c>
      <c r="H26" s="177">
        <f t="shared" si="4"/>
        <v>8676056</v>
      </c>
      <c r="I26" s="176">
        <v>982000</v>
      </c>
      <c r="J26" s="176">
        <f>ROUND(I26*(1+$E26),0)</f>
        <v>1168580</v>
      </c>
      <c r="K26" s="177">
        <f t="shared" si="5"/>
        <v>4674320</v>
      </c>
      <c r="L26" s="176">
        <v>817000</v>
      </c>
      <c r="M26" s="176">
        <f t="shared" si="6"/>
        <v>972230</v>
      </c>
      <c r="N26" s="177">
        <f t="shared" si="7"/>
        <v>3888920</v>
      </c>
      <c r="O26" s="178">
        <v>2095000</v>
      </c>
      <c r="P26" s="176">
        <f>ROUND(O26*(1+$E26),0)</f>
        <v>2493050</v>
      </c>
      <c r="Q26" s="177">
        <f t="shared" si="8"/>
        <v>9972200</v>
      </c>
      <c r="R26" s="176">
        <v>0</v>
      </c>
      <c r="S26" s="176">
        <f t="shared" si="2"/>
        <v>0</v>
      </c>
      <c r="T26" s="177">
        <f t="shared" si="9"/>
        <v>0</v>
      </c>
      <c r="U26" s="125"/>
      <c r="V26" s="116">
        <f>ROUND(AVERAGE($F26,$I26,L26),0)</f>
        <v>1207234</v>
      </c>
      <c r="W26" s="116">
        <f>ROUND(MEDIAN($F26,$I26,L26),0)</f>
        <v>982000</v>
      </c>
      <c r="X26" s="116">
        <f>ROUND(GEOMEAN($F26,$I26,L26),0)</f>
        <v>1135053</v>
      </c>
      <c r="Y26" s="116">
        <f>ROUND(HARMEAN($F26,$I26,L26),0)</f>
        <v>1074900</v>
      </c>
      <c r="Z26" s="116">
        <f>+STDEV($F26,$I26,L26)</f>
        <v>539357.28306970443</v>
      </c>
      <c r="AA26" s="181">
        <f>Z26/$V26</f>
        <v>0.44677111733906139</v>
      </c>
      <c r="AB26" s="181">
        <f t="shared" si="16"/>
        <v>0.549243669113752</v>
      </c>
      <c r="AC26" s="181">
        <f t="shared" si="11"/>
        <v>0.47518246554980642</v>
      </c>
      <c r="AD26" s="181">
        <f t="shared" si="12"/>
        <v>0.50177438186780576</v>
      </c>
      <c r="AE26" s="76"/>
      <c r="AF26" s="119">
        <f t="shared" si="17"/>
        <v>1031191</v>
      </c>
      <c r="AG26" s="119">
        <f t="shared" si="14"/>
        <v>1227117</v>
      </c>
      <c r="AH26" s="119">
        <f t="shared" si="15"/>
        <v>4908468</v>
      </c>
      <c r="AI26" s="127"/>
    </row>
    <row r="27" spans="1:35" s="28" customFormat="1" ht="12" customHeight="1">
      <c r="A27" s="140">
        <v>21</v>
      </c>
      <c r="B27" s="140" t="s">
        <v>105</v>
      </c>
      <c r="C27" s="194">
        <v>7</v>
      </c>
      <c r="D27" s="140" t="s">
        <v>61</v>
      </c>
      <c r="E27" s="141">
        <v>0.19</v>
      </c>
      <c r="F27" s="178">
        <v>2816901</v>
      </c>
      <c r="G27" s="176">
        <f t="shared" si="3"/>
        <v>3352112</v>
      </c>
      <c r="H27" s="177">
        <f t="shared" si="4"/>
        <v>23464784</v>
      </c>
      <c r="I27" s="176">
        <v>2590200</v>
      </c>
      <c r="J27" s="176">
        <f t="shared" si="0"/>
        <v>3082338</v>
      </c>
      <c r="K27" s="177">
        <f t="shared" si="5"/>
        <v>21576366</v>
      </c>
      <c r="L27" s="176">
        <v>1018400</v>
      </c>
      <c r="M27" s="176">
        <f t="shared" si="6"/>
        <v>1211896</v>
      </c>
      <c r="N27" s="177">
        <f t="shared" si="7"/>
        <v>8483272</v>
      </c>
      <c r="O27" s="176">
        <v>1950000</v>
      </c>
      <c r="P27" s="176">
        <f t="shared" ref="P27:P38" si="20">ROUND(O27*(1+$E27),0)</f>
        <v>2320500</v>
      </c>
      <c r="Q27" s="177">
        <f t="shared" si="8"/>
        <v>16243500</v>
      </c>
      <c r="R27" s="176">
        <v>0</v>
      </c>
      <c r="S27" s="176">
        <f t="shared" si="2"/>
        <v>0</v>
      </c>
      <c r="T27" s="177">
        <f t="shared" si="9"/>
        <v>0</v>
      </c>
      <c r="U27" s="125"/>
      <c r="V27" s="116">
        <f>ROUND(AVERAGE($I27,L27,O27),0)</f>
        <v>1852867</v>
      </c>
      <c r="W27" s="116">
        <f>ROUND(MEDIAN($I27,L27,O27),0)</f>
        <v>1950000</v>
      </c>
      <c r="X27" s="116">
        <f>ROUND(GEOMEAN($I27,L27,O27),0)</f>
        <v>1726217</v>
      </c>
      <c r="Y27" s="116">
        <f>ROUND(HARMEAN($O27,$I27,L27),0)</f>
        <v>1595046</v>
      </c>
      <c r="Z27" s="116">
        <f>+STDEV($O27,$I27,L27)</f>
        <v>790389.12779297074</v>
      </c>
      <c r="AA27" s="181">
        <f>Z27/$V27</f>
        <v>0.42657628841841899</v>
      </c>
      <c r="AB27" s="181">
        <f t="shared" si="16"/>
        <v>0.4053277578425491</v>
      </c>
      <c r="AC27" s="181">
        <f t="shared" si="11"/>
        <v>0.45787356270559887</v>
      </c>
      <c r="AD27" s="181">
        <f t="shared" si="12"/>
        <v>0.49552748183624218</v>
      </c>
      <c r="AE27" s="76"/>
      <c r="AF27" s="119">
        <f t="shared" si="17"/>
        <v>1692271</v>
      </c>
      <c r="AG27" s="119">
        <f t="shared" si="14"/>
        <v>2013802</v>
      </c>
      <c r="AH27" s="119">
        <f t="shared" si="15"/>
        <v>14096614</v>
      </c>
      <c r="AI27" s="127"/>
    </row>
    <row r="28" spans="1:35" s="28" customFormat="1" ht="12" customHeight="1">
      <c r="A28" s="140">
        <v>22</v>
      </c>
      <c r="B28" s="140" t="s">
        <v>106</v>
      </c>
      <c r="C28" s="183">
        <v>1</v>
      </c>
      <c r="D28" s="140" t="s">
        <v>61</v>
      </c>
      <c r="E28" s="141">
        <v>0.19</v>
      </c>
      <c r="F28" s="176">
        <v>1988401</v>
      </c>
      <c r="G28" s="176">
        <f t="shared" si="3"/>
        <v>2366197</v>
      </c>
      <c r="H28" s="177">
        <f t="shared" si="4"/>
        <v>2366197</v>
      </c>
      <c r="I28" s="176">
        <v>1958400</v>
      </c>
      <c r="J28" s="176">
        <f t="shared" si="0"/>
        <v>2330496</v>
      </c>
      <c r="K28" s="177">
        <f t="shared" si="5"/>
        <v>2330496</v>
      </c>
      <c r="L28" s="176">
        <v>767600</v>
      </c>
      <c r="M28" s="176">
        <f t="shared" si="6"/>
        <v>913444</v>
      </c>
      <c r="N28" s="177">
        <f t="shared" si="7"/>
        <v>913444</v>
      </c>
      <c r="O28" s="176">
        <v>1450000</v>
      </c>
      <c r="P28" s="176">
        <f t="shared" si="20"/>
        <v>1725500</v>
      </c>
      <c r="Q28" s="177">
        <f t="shared" si="8"/>
        <v>1725500</v>
      </c>
      <c r="R28" s="176">
        <v>0</v>
      </c>
      <c r="S28" s="176">
        <f t="shared" si="2"/>
        <v>0</v>
      </c>
      <c r="T28" s="177">
        <f t="shared" si="9"/>
        <v>0</v>
      </c>
      <c r="U28" s="125"/>
      <c r="V28" s="116">
        <f>ROUND(AVERAGE($F28,$I28,L28,O28),0)</f>
        <v>1541100</v>
      </c>
      <c r="W28" s="116">
        <f>ROUND(MEDIAN($F28,$I28,L28,O28),0)</f>
        <v>1704200</v>
      </c>
      <c r="X28" s="116">
        <f>ROUND(GEOMEAN($F28,$I28,L28,O28),0)</f>
        <v>1442870</v>
      </c>
      <c r="Y28" s="116">
        <f>ROUND(HARMEAN($F28,$I28,L28,O28),0)</f>
        <v>1330692</v>
      </c>
      <c r="Z28" s="116">
        <f>+STDEV($F28,$I28,L28,O28)</f>
        <v>571786.36295990541</v>
      </c>
      <c r="AA28" s="181">
        <f t="shared" si="18"/>
        <v>0.37102482834332973</v>
      </c>
      <c r="AB28" s="181">
        <f t="shared" si="16"/>
        <v>0.33551599751197358</v>
      </c>
      <c r="AC28" s="181">
        <f t="shared" si="11"/>
        <v>0.39628404704505976</v>
      </c>
      <c r="AD28" s="181">
        <f t="shared" si="12"/>
        <v>0.42969099007126021</v>
      </c>
      <c r="AE28" s="76"/>
      <c r="AF28" s="119">
        <f t="shared" si="17"/>
        <v>1427829</v>
      </c>
      <c r="AG28" s="119">
        <f t="shared" si="14"/>
        <v>1699117</v>
      </c>
      <c r="AH28" s="119">
        <f t="shared" si="15"/>
        <v>1699117</v>
      </c>
      <c r="AI28" s="127"/>
    </row>
    <row r="29" spans="1:35" s="28" customFormat="1" ht="12" customHeight="1">
      <c r="A29" s="140">
        <v>23</v>
      </c>
      <c r="B29" s="140" t="s">
        <v>107</v>
      </c>
      <c r="C29" s="183">
        <v>4</v>
      </c>
      <c r="D29" s="140" t="s">
        <v>61</v>
      </c>
      <c r="E29" s="141">
        <v>0.19</v>
      </c>
      <c r="F29" s="176">
        <v>1905551</v>
      </c>
      <c r="G29" s="176">
        <f t="shared" si="3"/>
        <v>2267606</v>
      </c>
      <c r="H29" s="177">
        <f t="shared" si="4"/>
        <v>9070424</v>
      </c>
      <c r="I29" s="176">
        <v>1964922</v>
      </c>
      <c r="J29" s="176">
        <f t="shared" si="0"/>
        <v>2338257</v>
      </c>
      <c r="K29" s="177">
        <f t="shared" si="5"/>
        <v>9353028</v>
      </c>
      <c r="L29" s="176">
        <v>1250200</v>
      </c>
      <c r="M29" s="176">
        <f t="shared" si="6"/>
        <v>1487738</v>
      </c>
      <c r="N29" s="177">
        <f t="shared" si="7"/>
        <v>5950952</v>
      </c>
      <c r="O29" s="178">
        <v>2190000</v>
      </c>
      <c r="P29" s="176">
        <f t="shared" si="20"/>
        <v>2606100</v>
      </c>
      <c r="Q29" s="177">
        <f t="shared" si="8"/>
        <v>10424400</v>
      </c>
      <c r="R29" s="176">
        <v>0</v>
      </c>
      <c r="S29" s="176">
        <f t="shared" si="2"/>
        <v>0</v>
      </c>
      <c r="T29" s="177">
        <f t="shared" si="9"/>
        <v>0</v>
      </c>
      <c r="U29" s="125"/>
      <c r="V29" s="116">
        <f>ROUND(AVERAGE($F29,$I29,L29),0)</f>
        <v>1706891</v>
      </c>
      <c r="W29" s="116">
        <f>ROUND(MEDIAN($F29,$I29,L29),0)</f>
        <v>1905551</v>
      </c>
      <c r="X29" s="116">
        <f>ROUND(GEOMEAN($F29,$I29,L29),0)</f>
        <v>1672817</v>
      </c>
      <c r="Y29" s="116">
        <f>ROUND(HARMEAN($F29,$I29,L29),0)</f>
        <v>1636143</v>
      </c>
      <c r="Z29" s="116">
        <f>+STDEV($F29,$I29,L29)</f>
        <v>396618.49556091049</v>
      </c>
      <c r="AA29" s="181">
        <f t="shared" si="18"/>
        <v>0.23236310670154714</v>
      </c>
      <c r="AB29" s="181">
        <f t="shared" si="16"/>
        <v>0.20813848359918496</v>
      </c>
      <c r="AC29" s="181">
        <f t="shared" si="11"/>
        <v>0.23709616506821157</v>
      </c>
      <c r="AD29" s="181">
        <f t="shared" si="12"/>
        <v>0.24241065454603325</v>
      </c>
      <c r="AE29" s="76"/>
      <c r="AF29" s="119">
        <f t="shared" si="17"/>
        <v>1697359</v>
      </c>
      <c r="AG29" s="119">
        <f t="shared" si="14"/>
        <v>2019857</v>
      </c>
      <c r="AH29" s="119">
        <f t="shared" si="15"/>
        <v>8079428</v>
      </c>
      <c r="AI29" s="127"/>
    </row>
    <row r="30" spans="1:35" s="28" customFormat="1" ht="12" customHeight="1">
      <c r="A30" s="140">
        <v>24</v>
      </c>
      <c r="B30" s="140" t="s">
        <v>108</v>
      </c>
      <c r="C30" s="183">
        <v>4</v>
      </c>
      <c r="D30" s="140" t="s">
        <v>61</v>
      </c>
      <c r="E30" s="141">
        <v>0.19</v>
      </c>
      <c r="F30" s="176">
        <v>911350</v>
      </c>
      <c r="G30" s="176">
        <f t="shared" si="3"/>
        <v>1084507</v>
      </c>
      <c r="H30" s="177">
        <f t="shared" si="4"/>
        <v>4338028</v>
      </c>
      <c r="I30" s="176">
        <v>1964922</v>
      </c>
      <c r="J30" s="176">
        <f t="shared" si="0"/>
        <v>2338257</v>
      </c>
      <c r="K30" s="177">
        <f t="shared" si="5"/>
        <v>9353028</v>
      </c>
      <c r="L30" s="176">
        <v>1185600</v>
      </c>
      <c r="M30" s="176">
        <f t="shared" si="6"/>
        <v>1410864</v>
      </c>
      <c r="N30" s="177">
        <f t="shared" si="7"/>
        <v>5643456</v>
      </c>
      <c r="O30" s="178">
        <v>2090000</v>
      </c>
      <c r="P30" s="176">
        <f t="shared" si="20"/>
        <v>2487100</v>
      </c>
      <c r="Q30" s="177">
        <f t="shared" si="8"/>
        <v>9948400</v>
      </c>
      <c r="R30" s="176">
        <v>0</v>
      </c>
      <c r="S30" s="176">
        <f t="shared" si="2"/>
        <v>0</v>
      </c>
      <c r="T30" s="177">
        <f t="shared" si="9"/>
        <v>0</v>
      </c>
      <c r="U30" s="125"/>
      <c r="V30" s="116">
        <f>ROUND(AVERAGE($F30,$I30,L30),0)</f>
        <v>1353957</v>
      </c>
      <c r="W30" s="116">
        <f>ROUND(MEDIAN($F30,$I30,L30),0)</f>
        <v>1185600</v>
      </c>
      <c r="X30" s="116">
        <f>ROUND(GEOMEAN($F30,$I30,L30),0)</f>
        <v>1285256</v>
      </c>
      <c r="Y30" s="116">
        <f>ROUND(HARMEAN($F30,$I30,L30),0)</f>
        <v>1224663</v>
      </c>
      <c r="Z30" s="116">
        <f>+STDEV($F30,$I30,L30)</f>
        <v>546590.91975748504</v>
      </c>
      <c r="AA30" s="181">
        <f t="shared" si="18"/>
        <v>0.40369887652080905</v>
      </c>
      <c r="AB30" s="181">
        <f t="shared" si="16"/>
        <v>0.46102472988991655</v>
      </c>
      <c r="AC30" s="181">
        <f t="shared" si="11"/>
        <v>0.42527785885262159</v>
      </c>
      <c r="AD30" s="181">
        <f t="shared" si="12"/>
        <v>0.44631945258204503</v>
      </c>
      <c r="AE30" s="76"/>
      <c r="AF30" s="119">
        <f t="shared" si="17"/>
        <v>1213344</v>
      </c>
      <c r="AG30" s="119">
        <f t="shared" si="14"/>
        <v>1443879</v>
      </c>
      <c r="AH30" s="119">
        <f t="shared" si="15"/>
        <v>5775516</v>
      </c>
      <c r="AI30" s="127"/>
    </row>
    <row r="31" spans="1:35" s="28" customFormat="1" ht="12" customHeight="1">
      <c r="A31" s="140">
        <v>25</v>
      </c>
      <c r="B31" s="140" t="s">
        <v>109</v>
      </c>
      <c r="C31" s="183">
        <v>1</v>
      </c>
      <c r="D31" s="140" t="s">
        <v>61</v>
      </c>
      <c r="E31" s="141">
        <v>0.19</v>
      </c>
      <c r="F31" s="176">
        <v>248550</v>
      </c>
      <c r="G31" s="176">
        <f t="shared" si="3"/>
        <v>295775</v>
      </c>
      <c r="H31" s="177">
        <f t="shared" si="4"/>
        <v>295775</v>
      </c>
      <c r="I31" s="176">
        <v>142200</v>
      </c>
      <c r="J31" s="176">
        <f t="shared" si="0"/>
        <v>169218</v>
      </c>
      <c r="K31" s="177">
        <f t="shared" si="5"/>
        <v>169218</v>
      </c>
      <c r="L31" s="176">
        <v>288800</v>
      </c>
      <c r="M31" s="176">
        <f t="shared" si="6"/>
        <v>343672</v>
      </c>
      <c r="N31" s="177">
        <f t="shared" si="7"/>
        <v>343672</v>
      </c>
      <c r="O31" s="178">
        <v>420000</v>
      </c>
      <c r="P31" s="176">
        <f t="shared" si="20"/>
        <v>499800</v>
      </c>
      <c r="Q31" s="177">
        <f t="shared" si="8"/>
        <v>499800</v>
      </c>
      <c r="R31" s="176">
        <v>0</v>
      </c>
      <c r="S31" s="176">
        <f t="shared" si="2"/>
        <v>0</v>
      </c>
      <c r="T31" s="177">
        <f t="shared" si="9"/>
        <v>0</v>
      </c>
      <c r="U31" s="125"/>
      <c r="V31" s="116">
        <f>ROUND(AVERAGE($F31,$I31,L31),0)</f>
        <v>226517</v>
      </c>
      <c r="W31" s="116">
        <f>ROUND(MEDIAN($F31,$I31,L31),0)</f>
        <v>248550</v>
      </c>
      <c r="X31" s="116">
        <f>ROUND(GEOMEAN($F31,$I31,L31),0)</f>
        <v>216922</v>
      </c>
      <c r="Y31" s="116">
        <f>ROUND(HARMEAN($F31,$I31,L31),0)</f>
        <v>206636</v>
      </c>
      <c r="Z31" s="116">
        <f>+STDEV($F31,$I31,L31)</f>
        <v>75742.925962318943</v>
      </c>
      <c r="AA31" s="181">
        <f t="shared" si="18"/>
        <v>0.33438075712780474</v>
      </c>
      <c r="AB31" s="181">
        <f t="shared" si="16"/>
        <v>0.30473919115799214</v>
      </c>
      <c r="AC31" s="181">
        <f t="shared" si="11"/>
        <v>0.34917125032186197</v>
      </c>
      <c r="AD31" s="181">
        <f t="shared" si="12"/>
        <v>0.36655242049942383</v>
      </c>
      <c r="AE31" s="76"/>
      <c r="AF31" s="119">
        <f t="shared" si="17"/>
        <v>217076</v>
      </c>
      <c r="AG31" s="119">
        <f t="shared" si="14"/>
        <v>258320</v>
      </c>
      <c r="AH31" s="119">
        <f t="shared" si="15"/>
        <v>258320</v>
      </c>
      <c r="AI31" s="127"/>
    </row>
    <row r="32" spans="1:35" s="103" customFormat="1" ht="12" customHeight="1">
      <c r="A32" s="140">
        <v>26</v>
      </c>
      <c r="B32" s="140" t="s">
        <v>110</v>
      </c>
      <c r="C32" s="183">
        <v>1</v>
      </c>
      <c r="D32" s="140" t="s">
        <v>61</v>
      </c>
      <c r="E32" s="141">
        <v>0.19</v>
      </c>
      <c r="F32" s="176">
        <v>322752</v>
      </c>
      <c r="G32" s="176">
        <f t="shared" si="3"/>
        <v>384075</v>
      </c>
      <c r="H32" s="177">
        <f t="shared" si="4"/>
        <v>384075</v>
      </c>
      <c r="I32" s="178">
        <v>1881820</v>
      </c>
      <c r="J32" s="176">
        <f t="shared" si="0"/>
        <v>2239366</v>
      </c>
      <c r="K32" s="177">
        <f t="shared" si="5"/>
        <v>2239366</v>
      </c>
      <c r="L32" s="176">
        <v>0</v>
      </c>
      <c r="M32" s="176">
        <f t="shared" si="6"/>
        <v>0</v>
      </c>
      <c r="N32" s="177">
        <f t="shared" si="7"/>
        <v>0</v>
      </c>
      <c r="O32" s="176">
        <v>590000</v>
      </c>
      <c r="P32" s="176">
        <f t="shared" si="20"/>
        <v>702100</v>
      </c>
      <c r="Q32" s="177">
        <f t="shared" si="8"/>
        <v>702100</v>
      </c>
      <c r="R32" s="176">
        <v>0</v>
      </c>
      <c r="S32" s="176">
        <f t="shared" si="2"/>
        <v>0</v>
      </c>
      <c r="T32" s="177">
        <f t="shared" si="9"/>
        <v>0</v>
      </c>
      <c r="U32" s="125"/>
      <c r="V32" s="116">
        <f>ROUND(AVERAGE($F32,O32),0)</f>
        <v>456376</v>
      </c>
      <c r="W32" s="116">
        <f>ROUND(MEDIAN($F32,O32),0)</f>
        <v>456376</v>
      </c>
      <c r="X32" s="116">
        <f>ROUND(GEOMEAN($F32,O32),0)</f>
        <v>436376</v>
      </c>
      <c r="Y32" s="116">
        <f>ROUND(HARMEAN($F32,$O32),0)</f>
        <v>417252</v>
      </c>
      <c r="Z32" s="116">
        <f>+STDEV($F32,$O32)</f>
        <v>188972.87305854246</v>
      </c>
      <c r="AA32" s="181">
        <f t="shared" si="18"/>
        <v>0.41407276688200623</v>
      </c>
      <c r="AB32" s="181">
        <f t="shared" si="16"/>
        <v>0.41407276688200623</v>
      </c>
      <c r="AC32" s="181">
        <f t="shared" si="11"/>
        <v>0.43305056432650391</v>
      </c>
      <c r="AD32" s="181">
        <f t="shared" si="12"/>
        <v>0.45289866329830047</v>
      </c>
      <c r="AE32" s="76"/>
      <c r="AF32" s="119">
        <f t="shared" si="17"/>
        <v>428902</v>
      </c>
      <c r="AG32" s="119">
        <f t="shared" si="14"/>
        <v>510393</v>
      </c>
      <c r="AH32" s="119">
        <f t="shared" si="15"/>
        <v>510393</v>
      </c>
      <c r="AI32" s="127"/>
    </row>
    <row r="33" spans="1:35" s="28" customFormat="1" ht="12" customHeight="1">
      <c r="A33" s="140">
        <v>27</v>
      </c>
      <c r="B33" s="140" t="s">
        <v>111</v>
      </c>
      <c r="C33" s="183">
        <v>1</v>
      </c>
      <c r="D33" s="144" t="s">
        <v>61</v>
      </c>
      <c r="E33" s="145">
        <v>0.19</v>
      </c>
      <c r="F33" s="176">
        <v>291097</v>
      </c>
      <c r="G33" s="176">
        <f t="shared" si="3"/>
        <v>346405</v>
      </c>
      <c r="H33" s="177">
        <f t="shared" si="4"/>
        <v>346405</v>
      </c>
      <c r="I33" s="176">
        <v>316424</v>
      </c>
      <c r="J33" s="176">
        <f t="shared" si="0"/>
        <v>376545</v>
      </c>
      <c r="K33" s="177">
        <f t="shared" si="5"/>
        <v>376545</v>
      </c>
      <c r="L33" s="176">
        <v>0</v>
      </c>
      <c r="M33" s="176">
        <f t="shared" si="6"/>
        <v>0</v>
      </c>
      <c r="N33" s="177">
        <f t="shared" si="7"/>
        <v>0</v>
      </c>
      <c r="O33" s="176">
        <v>520000</v>
      </c>
      <c r="P33" s="176">
        <f t="shared" si="20"/>
        <v>618800</v>
      </c>
      <c r="Q33" s="177">
        <f t="shared" si="8"/>
        <v>618800</v>
      </c>
      <c r="R33" s="176">
        <v>0</v>
      </c>
      <c r="S33" s="176">
        <f t="shared" si="2"/>
        <v>0</v>
      </c>
      <c r="T33" s="177">
        <f t="shared" si="9"/>
        <v>0</v>
      </c>
      <c r="U33" s="125"/>
      <c r="V33" s="116">
        <f>ROUND(AVERAGE($F33,$I33,O33),0)</f>
        <v>375840</v>
      </c>
      <c r="W33" s="116">
        <f>ROUND(MEDIAN($F33,$I33,O33),0)</f>
        <v>316424</v>
      </c>
      <c r="X33" s="116">
        <f>ROUND(GEOMEAN($F33,$I33,O33),0)</f>
        <v>363165</v>
      </c>
      <c r="Y33" s="116">
        <f>ROUND(HARMEAN($F33,$I33,O33),0)</f>
        <v>352167</v>
      </c>
      <c r="Z33" s="116">
        <f>+STDEV($F33,$I33,O33)</f>
        <v>125486.53853036725</v>
      </c>
      <c r="AA33" s="181">
        <f t="shared" si="18"/>
        <v>0.33388287178152204</v>
      </c>
      <c r="AB33" s="181">
        <f t="shared" si="16"/>
        <v>0.39657718292660243</v>
      </c>
      <c r="AC33" s="181">
        <f t="shared" si="11"/>
        <v>0.345535881845352</v>
      </c>
      <c r="AD33" s="181">
        <f t="shared" si="12"/>
        <v>0.35632679532825973</v>
      </c>
      <c r="AE33" s="76"/>
      <c r="AF33" s="119">
        <f t="shared" si="17"/>
        <v>332921</v>
      </c>
      <c r="AG33" s="119">
        <f t="shared" si="14"/>
        <v>396176</v>
      </c>
      <c r="AH33" s="119">
        <f t="shared" si="15"/>
        <v>396176</v>
      </c>
      <c r="AI33" s="127"/>
    </row>
    <row r="34" spans="1:35" s="28" customFormat="1" ht="12" customHeight="1">
      <c r="A34" s="140">
        <v>28</v>
      </c>
      <c r="B34" s="140" t="s">
        <v>112</v>
      </c>
      <c r="C34" s="183">
        <v>1</v>
      </c>
      <c r="D34" s="144" t="s">
        <v>61</v>
      </c>
      <c r="E34" s="145">
        <v>0.19</v>
      </c>
      <c r="F34" s="176">
        <v>1761897</v>
      </c>
      <c r="G34" s="176">
        <f t="shared" si="3"/>
        <v>2096657</v>
      </c>
      <c r="H34" s="177">
        <f t="shared" si="4"/>
        <v>2096657</v>
      </c>
      <c r="I34" s="176">
        <v>1971508</v>
      </c>
      <c r="J34" s="176">
        <f t="shared" si="0"/>
        <v>2346095</v>
      </c>
      <c r="K34" s="177">
        <f t="shared" si="5"/>
        <v>2346095</v>
      </c>
      <c r="L34" s="176">
        <v>0</v>
      </c>
      <c r="M34" s="176">
        <f t="shared" si="6"/>
        <v>0</v>
      </c>
      <c r="N34" s="177">
        <f t="shared" si="7"/>
        <v>0</v>
      </c>
      <c r="O34" s="176"/>
      <c r="P34" s="176">
        <f t="shared" si="20"/>
        <v>0</v>
      </c>
      <c r="Q34" s="177">
        <f t="shared" si="8"/>
        <v>0</v>
      </c>
      <c r="R34" s="176">
        <v>0</v>
      </c>
      <c r="S34" s="176">
        <f t="shared" si="2"/>
        <v>0</v>
      </c>
      <c r="T34" s="177">
        <f t="shared" si="9"/>
        <v>0</v>
      </c>
      <c r="U34" s="125"/>
      <c r="V34" s="116">
        <f>ROUND(AVERAGE($F34,$I34),0)</f>
        <v>1866703</v>
      </c>
      <c r="W34" s="116">
        <f>ROUND(MEDIAN($F34,$I34),0)</f>
        <v>1866703</v>
      </c>
      <c r="X34" s="116">
        <f>ROUND(GEOMEAN($F34,$I34),0)</f>
        <v>1863758</v>
      </c>
      <c r="Y34" s="116">
        <f>ROUND(HARMEAN($F34,$I34),0)</f>
        <v>1860818</v>
      </c>
      <c r="Z34" s="116">
        <f>+STDEV($F34,$I34)</f>
        <v>148217.35951129341</v>
      </c>
      <c r="AA34" s="181">
        <f t="shared" si="18"/>
        <v>7.9400611404863763E-2</v>
      </c>
      <c r="AB34" s="181">
        <f t="shared" si="16"/>
        <v>7.9400611404863763E-2</v>
      </c>
      <c r="AC34" s="181">
        <f t="shared" si="11"/>
        <v>7.9526075548055811E-2</v>
      </c>
      <c r="AD34" s="181">
        <f t="shared" si="12"/>
        <v>7.9651722796798732E-2</v>
      </c>
      <c r="AE34" s="76"/>
      <c r="AF34" s="119">
        <f t="shared" si="17"/>
        <v>1862583</v>
      </c>
      <c r="AG34" s="119">
        <f t="shared" si="14"/>
        <v>2216474</v>
      </c>
      <c r="AH34" s="119">
        <f t="shared" si="15"/>
        <v>2216474</v>
      </c>
      <c r="AI34" s="127"/>
    </row>
    <row r="35" spans="1:35" s="28" customFormat="1" ht="12" customHeight="1">
      <c r="A35" s="140">
        <v>29</v>
      </c>
      <c r="B35" s="140" t="s">
        <v>113</v>
      </c>
      <c r="C35" s="183">
        <v>1</v>
      </c>
      <c r="D35" s="144" t="s">
        <v>61</v>
      </c>
      <c r="E35" s="145">
        <v>0.19</v>
      </c>
      <c r="F35" s="176">
        <v>2317572</v>
      </c>
      <c r="G35" s="176">
        <f t="shared" si="3"/>
        <v>2757911</v>
      </c>
      <c r="H35" s="177">
        <f t="shared" si="4"/>
        <v>2757911</v>
      </c>
      <c r="I35" s="176">
        <v>1739222</v>
      </c>
      <c r="J35" s="176">
        <f t="shared" si="0"/>
        <v>2069674</v>
      </c>
      <c r="K35" s="177">
        <f t="shared" si="5"/>
        <v>2069674</v>
      </c>
      <c r="L35" s="176">
        <v>0</v>
      </c>
      <c r="M35" s="176">
        <f t="shared" si="6"/>
        <v>0</v>
      </c>
      <c r="N35" s="177">
        <f t="shared" si="7"/>
        <v>0</v>
      </c>
      <c r="O35" s="176"/>
      <c r="P35" s="176">
        <f t="shared" si="20"/>
        <v>0</v>
      </c>
      <c r="Q35" s="177">
        <f t="shared" si="8"/>
        <v>0</v>
      </c>
      <c r="R35" s="176">
        <v>0</v>
      </c>
      <c r="S35" s="176">
        <f t="shared" si="2"/>
        <v>0</v>
      </c>
      <c r="T35" s="177">
        <f t="shared" si="9"/>
        <v>0</v>
      </c>
      <c r="U35" s="125"/>
      <c r="V35" s="116">
        <f>ROUND(AVERAGE($F35,$I35),0)</f>
        <v>2028397</v>
      </c>
      <c r="W35" s="116">
        <f>ROUND(MEDIAN($F35,$I35),0)</f>
        <v>2028397</v>
      </c>
      <c r="X35" s="116">
        <f>ROUND(GEOMEAN($F35,$I35),0)</f>
        <v>2007678</v>
      </c>
      <c r="Y35" s="116">
        <f>ROUND(HARMEAN($F35,$I35),0)</f>
        <v>1987171</v>
      </c>
      <c r="Z35" s="116">
        <f>+STDEV($F35,$I35)</f>
        <v>408955.20689923974</v>
      </c>
      <c r="AA35" s="181">
        <f t="shared" si="18"/>
        <v>0.20161497325190272</v>
      </c>
      <c r="AB35" s="181">
        <f t="shared" si="16"/>
        <v>0.20161497325190272</v>
      </c>
      <c r="AC35" s="181">
        <f t="shared" si="11"/>
        <v>0.20369561597987312</v>
      </c>
      <c r="AD35" s="181">
        <f t="shared" si="12"/>
        <v>0.20579769274976323</v>
      </c>
      <c r="AE35" s="76"/>
      <c r="AF35" s="119">
        <f t="shared" si="17"/>
        <v>1999518</v>
      </c>
      <c r="AG35" s="119">
        <f t="shared" si="14"/>
        <v>2379426</v>
      </c>
      <c r="AH35" s="119">
        <f t="shared" si="15"/>
        <v>2379426</v>
      </c>
      <c r="AI35" s="127"/>
    </row>
    <row r="36" spans="1:35" s="28" customFormat="1" ht="12" customHeight="1">
      <c r="A36" s="140">
        <v>30</v>
      </c>
      <c r="B36" s="140" t="s">
        <v>114</v>
      </c>
      <c r="C36" s="183">
        <v>1</v>
      </c>
      <c r="D36" s="144" t="s">
        <v>61</v>
      </c>
      <c r="E36" s="145">
        <v>0.19</v>
      </c>
      <c r="F36" s="176">
        <v>999493</v>
      </c>
      <c r="G36" s="176">
        <f t="shared" si="3"/>
        <v>1189397</v>
      </c>
      <c r="H36" s="177">
        <f t="shared" si="4"/>
        <v>1189397</v>
      </c>
      <c r="I36" s="176">
        <v>1046582</v>
      </c>
      <c r="J36" s="176">
        <f t="shared" si="0"/>
        <v>1245433</v>
      </c>
      <c r="K36" s="177">
        <f t="shared" si="5"/>
        <v>1245433</v>
      </c>
      <c r="L36" s="176">
        <v>0</v>
      </c>
      <c r="M36" s="176">
        <f t="shared" si="6"/>
        <v>0</v>
      </c>
      <c r="N36" s="177">
        <f t="shared" si="7"/>
        <v>0</v>
      </c>
      <c r="O36" s="176"/>
      <c r="P36" s="176">
        <f t="shared" si="20"/>
        <v>0</v>
      </c>
      <c r="Q36" s="177">
        <f t="shared" si="8"/>
        <v>0</v>
      </c>
      <c r="R36" s="176">
        <v>0</v>
      </c>
      <c r="S36" s="176">
        <f t="shared" si="2"/>
        <v>0</v>
      </c>
      <c r="T36" s="177">
        <f t="shared" si="9"/>
        <v>0</v>
      </c>
      <c r="U36" s="125"/>
      <c r="V36" s="116">
        <f>ROUND(AVERAGE($F36,$I36),0)</f>
        <v>1023038</v>
      </c>
      <c r="W36" s="116">
        <f>ROUND(MEDIAN($F36,$I36),0)</f>
        <v>1023038</v>
      </c>
      <c r="X36" s="116">
        <f>ROUND(GEOMEAN($F36,$I36),0)</f>
        <v>1022767</v>
      </c>
      <c r="Y36" s="116">
        <f>ROUND(HARMEAN($F36,$I36),0)</f>
        <v>1022496</v>
      </c>
      <c r="Z36" s="116">
        <f>+STDEV($F36,$I36)</f>
        <v>33296.95121929334</v>
      </c>
      <c r="AA36" s="181">
        <f t="shared" si="18"/>
        <v>3.2547130428481973E-2</v>
      </c>
      <c r="AB36" s="181">
        <f t="shared" si="16"/>
        <v>3.2547130428481973E-2</v>
      </c>
      <c r="AC36" s="181">
        <f t="shared" si="11"/>
        <v>3.2555754359784132E-2</v>
      </c>
      <c r="AD36" s="181">
        <f t="shared" si="12"/>
        <v>3.2564382862420332E-2</v>
      </c>
      <c r="AE36" s="76"/>
      <c r="AF36" s="119">
        <f t="shared" si="17"/>
        <v>1022659</v>
      </c>
      <c r="AG36" s="119">
        <f t="shared" si="14"/>
        <v>1216964</v>
      </c>
      <c r="AH36" s="119">
        <f t="shared" si="15"/>
        <v>1216964</v>
      </c>
      <c r="AI36" s="127"/>
    </row>
    <row r="37" spans="1:35" s="28" customFormat="1" ht="12" customHeight="1">
      <c r="A37" s="140">
        <v>31</v>
      </c>
      <c r="B37" s="140" t="s">
        <v>115</v>
      </c>
      <c r="C37" s="183">
        <v>1</v>
      </c>
      <c r="D37" s="144" t="s">
        <v>61</v>
      </c>
      <c r="E37" s="145">
        <v>0.19</v>
      </c>
      <c r="F37" s="176">
        <v>744811</v>
      </c>
      <c r="G37" s="176">
        <f t="shared" si="3"/>
        <v>886325</v>
      </c>
      <c r="H37" s="177">
        <f t="shared" si="4"/>
        <v>886325</v>
      </c>
      <c r="I37" s="176">
        <v>1820400</v>
      </c>
      <c r="J37" s="176">
        <f t="shared" si="0"/>
        <v>2166276</v>
      </c>
      <c r="K37" s="177">
        <f t="shared" si="5"/>
        <v>2166276</v>
      </c>
      <c r="L37" s="176">
        <v>0</v>
      </c>
      <c r="M37" s="176">
        <f t="shared" si="6"/>
        <v>0</v>
      </c>
      <c r="N37" s="177">
        <f t="shared" si="7"/>
        <v>0</v>
      </c>
      <c r="O37" s="176"/>
      <c r="P37" s="176">
        <f t="shared" si="20"/>
        <v>0</v>
      </c>
      <c r="Q37" s="177">
        <f t="shared" si="8"/>
        <v>0</v>
      </c>
      <c r="R37" s="176">
        <v>0</v>
      </c>
      <c r="S37" s="176">
        <f t="shared" si="2"/>
        <v>0</v>
      </c>
      <c r="T37" s="177">
        <f t="shared" si="9"/>
        <v>0</v>
      </c>
      <c r="U37" s="125"/>
      <c r="V37" s="116">
        <f>ROUND(AVERAGE($F37,$I37),0)</f>
        <v>1282606</v>
      </c>
      <c r="W37" s="116">
        <f>ROUND(MEDIAN($F37,$I37),0)</f>
        <v>1282606</v>
      </c>
      <c r="X37" s="116">
        <f>ROUND(GEOMEAN($F37,$I37),0)</f>
        <v>1164411</v>
      </c>
      <c r="Y37" s="116">
        <f>ROUND(HARMEAN($F37,$I37),0)</f>
        <v>1057109</v>
      </c>
      <c r="Z37" s="116">
        <f>+STDEV($F37,$I37)</f>
        <v>760556.27566965751</v>
      </c>
      <c r="AA37" s="181">
        <f t="shared" si="18"/>
        <v>0.59297732559309524</v>
      </c>
      <c r="AB37" s="181">
        <f t="shared" si="16"/>
        <v>0.59297732559309524</v>
      </c>
      <c r="AC37" s="181">
        <f t="shared" si="11"/>
        <v>0.65316823326957363</v>
      </c>
      <c r="AD37" s="181">
        <f t="shared" si="12"/>
        <v>0.71946816805992331</v>
      </c>
      <c r="AE37" s="76"/>
      <c r="AF37" s="119">
        <f t="shared" si="17"/>
        <v>1123669</v>
      </c>
      <c r="AG37" s="119">
        <f t="shared" si="14"/>
        <v>1337166</v>
      </c>
      <c r="AH37" s="119">
        <f t="shared" si="15"/>
        <v>1337166</v>
      </c>
      <c r="AI37" s="127"/>
    </row>
    <row r="38" spans="1:35" s="28" customFormat="1" ht="12" customHeight="1">
      <c r="A38" s="140">
        <v>32</v>
      </c>
      <c r="B38" s="140" t="s">
        <v>116</v>
      </c>
      <c r="C38" s="183">
        <v>1</v>
      </c>
      <c r="D38" s="144" t="s">
        <v>61</v>
      </c>
      <c r="E38" s="145">
        <v>0.19</v>
      </c>
      <c r="F38" s="176">
        <v>775845</v>
      </c>
      <c r="G38" s="176">
        <f t="shared" si="3"/>
        <v>923256</v>
      </c>
      <c r="H38" s="177">
        <f t="shared" si="4"/>
        <v>923256</v>
      </c>
      <c r="I38" s="176">
        <v>946000</v>
      </c>
      <c r="J38" s="176">
        <f t="shared" si="0"/>
        <v>1125740</v>
      </c>
      <c r="K38" s="177">
        <f t="shared" si="5"/>
        <v>1125740</v>
      </c>
      <c r="L38" s="176">
        <v>0</v>
      </c>
      <c r="M38" s="176">
        <f t="shared" si="6"/>
        <v>0</v>
      </c>
      <c r="N38" s="177">
        <f t="shared" si="7"/>
        <v>0</v>
      </c>
      <c r="O38" s="176"/>
      <c r="P38" s="176">
        <f t="shared" si="20"/>
        <v>0</v>
      </c>
      <c r="Q38" s="177">
        <f t="shared" si="8"/>
        <v>0</v>
      </c>
      <c r="R38" s="176">
        <v>0</v>
      </c>
      <c r="S38" s="176">
        <f t="shared" si="2"/>
        <v>0</v>
      </c>
      <c r="T38" s="177">
        <f t="shared" si="9"/>
        <v>0</v>
      </c>
      <c r="U38" s="125"/>
      <c r="V38" s="116">
        <f>ROUND(AVERAGE($F38,$I38),0)</f>
        <v>860923</v>
      </c>
      <c r="W38" s="116">
        <f>ROUND(MEDIAN($F38,$I38),0)</f>
        <v>860923</v>
      </c>
      <c r="X38" s="116">
        <f>ROUND(GEOMEAN($F38,$I38),0)</f>
        <v>856708</v>
      </c>
      <c r="Y38" s="116">
        <f>ROUND(HARMEAN($F38,$I38),0)</f>
        <v>852515</v>
      </c>
      <c r="Z38" s="116">
        <f>+STDEV($F38,$I38)</f>
        <v>120317.754352797</v>
      </c>
      <c r="AA38" s="181">
        <f t="shared" si="18"/>
        <v>0.13975437333280327</v>
      </c>
      <c r="AB38" s="181">
        <f t="shared" si="16"/>
        <v>0.13975437333280327</v>
      </c>
      <c r="AC38" s="181">
        <f t="shared" si="11"/>
        <v>0.14044196430148545</v>
      </c>
      <c r="AD38" s="181">
        <f t="shared" si="12"/>
        <v>0.1411327124482232</v>
      </c>
      <c r="AE38" s="76"/>
      <c r="AF38" s="119">
        <f t="shared" si="17"/>
        <v>855035</v>
      </c>
      <c r="AG38" s="119">
        <f t="shared" si="14"/>
        <v>1017492</v>
      </c>
      <c r="AH38" s="119">
        <f t="shared" si="15"/>
        <v>1017492</v>
      </c>
      <c r="AI38" s="127"/>
    </row>
    <row r="39" spans="1:35" s="28" customFormat="1" ht="13.5" customHeight="1" thickBot="1">
      <c r="A39" s="349" t="s">
        <v>53</v>
      </c>
      <c r="B39" s="350"/>
      <c r="C39" s="108">
        <f>SUM(C7:C38)</f>
        <v>101</v>
      </c>
      <c r="D39" s="123"/>
      <c r="E39" s="123"/>
      <c r="F39" s="353">
        <f>SUM(H7:H38)</f>
        <v>128179993</v>
      </c>
      <c r="G39" s="354"/>
      <c r="H39" s="355"/>
      <c r="I39" s="353">
        <f>SUM(K7:K38)</f>
        <v>141441868</v>
      </c>
      <c r="J39" s="354"/>
      <c r="K39" s="355"/>
      <c r="L39" s="353">
        <f>SUM(N7:N38)</f>
        <v>37172476</v>
      </c>
      <c r="M39" s="354"/>
      <c r="N39" s="355"/>
      <c r="O39" s="353">
        <f>SUM(Q7:Q38)</f>
        <v>113227310</v>
      </c>
      <c r="P39" s="354"/>
      <c r="Q39" s="355"/>
      <c r="R39" s="179"/>
      <c r="S39" s="179"/>
      <c r="T39" s="179"/>
      <c r="U39" s="126"/>
      <c r="V39" s="124" t="e">
        <f>SUM(V7:V38)</f>
        <v>#REF!</v>
      </c>
      <c r="W39" s="124" t="e">
        <f>SUM(W7:W38)</f>
        <v>#REF!</v>
      </c>
      <c r="X39" s="124" t="e">
        <f>SUM(X7:X38)</f>
        <v>#REF!</v>
      </c>
      <c r="Y39" s="124" t="e">
        <f>SUM(Y7:Y38)</f>
        <v>#REF!</v>
      </c>
      <c r="Z39" s="124" t="e">
        <f>SUM(Z7:Z38)</f>
        <v>#REF!</v>
      </c>
      <c r="AA39" s="82"/>
      <c r="AB39" s="82"/>
      <c r="AC39" s="82"/>
      <c r="AD39" s="82"/>
      <c r="AE39" s="76"/>
      <c r="AF39" s="351" t="s">
        <v>49</v>
      </c>
      <c r="AG39" s="351"/>
      <c r="AH39" s="118" t="e">
        <f>SUM(AH7:AH38)</f>
        <v>#REF!</v>
      </c>
      <c r="AI39" s="184" t="e">
        <f>+AH39/1750905</f>
        <v>#REF!</v>
      </c>
    </row>
    <row r="40" spans="1:35">
      <c r="B40" s="72"/>
      <c r="C40" s="72"/>
      <c r="D40" s="72"/>
      <c r="E40" s="72"/>
      <c r="AE40" s="76"/>
      <c r="AI40" s="76"/>
    </row>
    <row r="41" spans="1:35">
      <c r="B41" s="72"/>
      <c r="C41" s="72"/>
      <c r="D41" s="72"/>
      <c r="E41" s="72"/>
      <c r="AE41" s="76"/>
      <c r="AH41" s="86">
        <v>108272000</v>
      </c>
      <c r="AI41" s="76"/>
    </row>
    <row r="42" spans="1:35">
      <c r="B42" s="72"/>
      <c r="C42" s="72"/>
      <c r="D42" s="72"/>
      <c r="E42" s="72"/>
      <c r="AE42" s="76"/>
      <c r="AH42" s="86" t="e">
        <f>+AH41-AH39</f>
        <v>#REF!</v>
      </c>
      <c r="AI42" s="76"/>
    </row>
    <row r="51" spans="3:6">
      <c r="C51" s="352"/>
      <c r="D51" s="352"/>
      <c r="E51" s="352"/>
      <c r="F51" s="352"/>
    </row>
    <row r="52" spans="3:6">
      <c r="C52" s="72"/>
      <c r="D52" s="72"/>
      <c r="E52" s="72"/>
      <c r="F52" s="77"/>
    </row>
    <row r="53" spans="3:6">
      <c r="C53" s="73"/>
      <c r="D53" s="352"/>
      <c r="E53" s="352"/>
      <c r="F53" s="352"/>
    </row>
  </sheetData>
  <mergeCells count="18">
    <mergeCell ref="A3:D3"/>
    <mergeCell ref="A5:D5"/>
    <mergeCell ref="F5:H5"/>
    <mergeCell ref="I5:K5"/>
    <mergeCell ref="O5:Q5"/>
    <mergeCell ref="V5:Z5"/>
    <mergeCell ref="L5:N5"/>
    <mergeCell ref="R5:T5"/>
    <mergeCell ref="AA5:AD5"/>
    <mergeCell ref="AF5:AH5"/>
    <mergeCell ref="A39:B39"/>
    <mergeCell ref="AF39:AG39"/>
    <mergeCell ref="C51:F51"/>
    <mergeCell ref="D53:F53"/>
    <mergeCell ref="F39:H39"/>
    <mergeCell ref="I39:K39"/>
    <mergeCell ref="O39:Q39"/>
    <mergeCell ref="L39:N3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C31AD-A663-4A43-9089-A5D5BA71E4CC}">
  <dimension ref="A3:AG53"/>
  <sheetViews>
    <sheetView zoomScale="85" zoomScaleNormal="85" workbookViewId="0">
      <selection activeCell="B7" sqref="B7:B38"/>
    </sheetView>
  </sheetViews>
  <sheetFormatPr baseColWidth="10" defaultColWidth="11.42578125" defaultRowHeight="13.5"/>
  <cols>
    <col min="1" max="1" width="6.42578125" style="160" bestFit="1" customWidth="1"/>
    <col min="2" max="2" width="23" style="165" customWidth="1"/>
    <col min="3" max="3" width="6.42578125" style="165" customWidth="1"/>
    <col min="4" max="4" width="11.42578125" style="165" bestFit="1" customWidth="1"/>
    <col min="5" max="5" width="10.42578125" style="165" bestFit="1" customWidth="1"/>
    <col min="6" max="20" width="13.42578125" style="162" customWidth="1"/>
    <col min="21" max="21" width="1.85546875" style="147" customWidth="1"/>
    <col min="22" max="22" width="12.42578125" style="147" bestFit="1" customWidth="1"/>
    <col min="23" max="23" width="12.85546875" style="147" customWidth="1"/>
    <col min="24" max="24" width="13.85546875" style="147" bestFit="1" customWidth="1"/>
    <col min="25" max="25" width="13" style="147" bestFit="1" customWidth="1"/>
    <col min="26" max="26" width="16.42578125" style="147" bestFit="1" customWidth="1"/>
    <col min="27" max="27" width="17" style="147" bestFit="1" customWidth="1"/>
    <col min="28" max="29" width="9" style="147" bestFit="1" customWidth="1"/>
    <col min="30" max="30" width="6.85546875" style="147" bestFit="1" customWidth="1"/>
    <col min="31" max="32" width="9" style="147" bestFit="1" customWidth="1"/>
    <col min="34" max="16384" width="11.42578125" style="147"/>
  </cols>
  <sheetData>
    <row r="3" spans="1:32" ht="14.25" thickBot="1">
      <c r="A3" s="372" t="s">
        <v>73</v>
      </c>
      <c r="B3" s="373"/>
      <c r="C3" s="373"/>
      <c r="D3" s="374"/>
      <c r="E3" s="148"/>
      <c r="F3" s="146"/>
      <c r="G3" s="146"/>
      <c r="H3" s="146"/>
      <c r="I3" s="146"/>
      <c r="J3" s="146"/>
      <c r="K3" s="146"/>
      <c r="L3" s="146"/>
      <c r="M3" s="146"/>
      <c r="N3" s="146"/>
      <c r="O3" s="146"/>
      <c r="P3" s="146"/>
      <c r="Q3" s="146"/>
      <c r="R3" s="146"/>
      <c r="S3" s="146"/>
      <c r="T3" s="146"/>
      <c r="X3" s="170"/>
    </row>
    <row r="4" spans="1:32">
      <c r="A4" s="149"/>
      <c r="B4" s="150"/>
      <c r="C4" s="151"/>
      <c r="D4" s="151"/>
      <c r="E4" s="151"/>
      <c r="F4" s="151"/>
      <c r="G4" s="151"/>
      <c r="H4" s="146"/>
      <c r="I4" s="146"/>
      <c r="J4" s="146"/>
      <c r="K4" s="146"/>
      <c r="L4" s="146"/>
      <c r="M4" s="146"/>
      <c r="N4" s="146"/>
      <c r="O4" s="146"/>
      <c r="P4" s="146"/>
      <c r="Q4" s="146"/>
      <c r="R4" s="151"/>
      <c r="S4" s="151"/>
      <c r="T4" s="146"/>
    </row>
    <row r="5" spans="1:32" ht="37.5" customHeight="1">
      <c r="A5" s="375" t="s">
        <v>5</v>
      </c>
      <c r="B5" s="376"/>
      <c r="C5" s="376"/>
      <c r="D5" s="376"/>
      <c r="E5" s="152"/>
      <c r="F5" s="365" t="s">
        <v>77</v>
      </c>
      <c r="G5" s="366"/>
      <c r="H5" s="367"/>
      <c r="I5" s="368" t="s">
        <v>78</v>
      </c>
      <c r="J5" s="369"/>
      <c r="K5" s="370"/>
      <c r="L5" s="356" t="s">
        <v>79</v>
      </c>
      <c r="M5" s="356"/>
      <c r="N5" s="356"/>
      <c r="O5" s="368" t="s">
        <v>80</v>
      </c>
      <c r="P5" s="369"/>
      <c r="Q5" s="370"/>
      <c r="R5" s="357" t="s">
        <v>117</v>
      </c>
      <c r="S5" s="358"/>
      <c r="T5" s="359"/>
    </row>
    <row r="6" spans="1:32" ht="40.5">
      <c r="A6" s="153" t="s">
        <v>22</v>
      </c>
      <c r="B6" s="154" t="s">
        <v>23</v>
      </c>
      <c r="C6" s="155" t="s">
        <v>82</v>
      </c>
      <c r="D6" s="171" t="s">
        <v>56</v>
      </c>
      <c r="E6" s="172" t="s">
        <v>25</v>
      </c>
      <c r="F6" s="130" t="s">
        <v>83</v>
      </c>
      <c r="G6" s="130" t="s">
        <v>27</v>
      </c>
      <c r="H6" s="130" t="s">
        <v>28</v>
      </c>
      <c r="I6" s="131" t="s">
        <v>83</v>
      </c>
      <c r="J6" s="131" t="s">
        <v>27</v>
      </c>
      <c r="K6" s="131" t="s">
        <v>28</v>
      </c>
      <c r="L6" s="122" t="s">
        <v>83</v>
      </c>
      <c r="M6" s="122" t="s">
        <v>27</v>
      </c>
      <c r="N6" s="122" t="s">
        <v>28</v>
      </c>
      <c r="O6" s="131" t="s">
        <v>83</v>
      </c>
      <c r="P6" s="131" t="s">
        <v>27</v>
      </c>
      <c r="Q6" s="131" t="s">
        <v>28</v>
      </c>
      <c r="R6" s="129" t="s">
        <v>83</v>
      </c>
      <c r="S6" s="129" t="s">
        <v>27</v>
      </c>
      <c r="T6" s="129" t="s">
        <v>28</v>
      </c>
      <c r="V6" s="166" t="s">
        <v>118</v>
      </c>
      <c r="W6" s="166" t="s">
        <v>119</v>
      </c>
      <c r="X6" s="166" t="s">
        <v>120</v>
      </c>
      <c r="Y6" s="166" t="s">
        <v>121</v>
      </c>
      <c r="Z6" s="166" t="s">
        <v>122</v>
      </c>
      <c r="AA6" s="166" t="s">
        <v>123</v>
      </c>
      <c r="AB6" s="147">
        <v>1</v>
      </c>
      <c r="AC6" s="147">
        <v>2</v>
      </c>
      <c r="AD6" s="147">
        <v>3</v>
      </c>
      <c r="AE6" s="147">
        <v>4</v>
      </c>
      <c r="AF6" s="147">
        <v>5</v>
      </c>
    </row>
    <row r="7" spans="1:32" ht="13.5" customHeight="1">
      <c r="A7" s="137">
        <v>1</v>
      </c>
      <c r="B7" s="138" t="s">
        <v>84</v>
      </c>
      <c r="C7" s="139">
        <v>5</v>
      </c>
      <c r="D7" s="140" t="s">
        <v>61</v>
      </c>
      <c r="E7" s="141">
        <v>0.19</v>
      </c>
      <c r="F7" s="178">
        <v>1408451</v>
      </c>
      <c r="G7" s="176">
        <f>ROUND(F7*(1+$E7),0)</f>
        <v>1676057</v>
      </c>
      <c r="H7" s="177">
        <f>ROUND(G7*$C7,0)</f>
        <v>8380285</v>
      </c>
      <c r="I7" s="176">
        <v>1006400</v>
      </c>
      <c r="J7" s="176">
        <f t="shared" ref="J7:J38" si="0">ROUND(I7*(1+$E7),0)</f>
        <v>1197616</v>
      </c>
      <c r="K7" s="177">
        <f>ROUND(J7*$C7,0)</f>
        <v>5988080</v>
      </c>
      <c r="L7" s="176">
        <v>0</v>
      </c>
      <c r="M7" s="176">
        <f>ROUND(L7*(1+$E7),0)</f>
        <v>0</v>
      </c>
      <c r="N7" s="177">
        <f>ROUND(M7*$C7,0)</f>
        <v>0</v>
      </c>
      <c r="O7" s="176">
        <v>1390000</v>
      </c>
      <c r="P7" s="176">
        <f t="shared" ref="P7:P25" si="1">ROUND(O7*(1+$E7),0)</f>
        <v>1654100</v>
      </c>
      <c r="Q7" s="177">
        <f>ROUND(P7*$C7,0)</f>
        <v>8270500</v>
      </c>
      <c r="R7" s="176" t="e">
        <f>+#REF!</f>
        <v>#REF!</v>
      </c>
      <c r="S7" s="176" t="e">
        <f t="shared" ref="S7:S38" si="2">ROUND(R7*(1+$E7),0)</f>
        <v>#REF!</v>
      </c>
      <c r="T7" s="177" t="e">
        <f>ROUND(S7*$C7,0)</f>
        <v>#REF!</v>
      </c>
      <c r="V7" s="156">
        <v>4</v>
      </c>
      <c r="W7" s="168" t="e">
        <f>+AVERAGE(F7,I7,O7,R7)</f>
        <v>#REF!</v>
      </c>
      <c r="X7" s="168" t="e">
        <f>+_xlfn.STDEV.P(F7,I7,O7,R7)</f>
        <v>#REF!</v>
      </c>
      <c r="Y7" s="167" t="e">
        <f>+X7/W7</f>
        <v>#REF!</v>
      </c>
      <c r="Z7" s="169" t="e">
        <f>+W7-X7</f>
        <v>#REF!</v>
      </c>
      <c r="AA7" s="157" t="e">
        <f>+W7+X7</f>
        <v>#REF!</v>
      </c>
      <c r="AB7" s="147" t="e">
        <f>IF(AND(F7&gt;Z7,F7&gt;AA7),"No cumple","Cumple")</f>
        <v>#REF!</v>
      </c>
      <c r="AC7" s="147" t="e">
        <f>IF(AND(I7&gt;Z7,I7&gt;AA7),"No cumple","Cumple")</f>
        <v>#REF!</v>
      </c>
      <c r="AD7" s="147" t="e">
        <f>IF(AND(L7&gt;Z7,L7&gt;AA7),"No cumple","Cumple")</f>
        <v>#REF!</v>
      </c>
      <c r="AE7" s="147" t="e">
        <f>IF(AND(O7&gt;Z7,O7&gt;AA7),"No cumple","Cumple")</f>
        <v>#REF!</v>
      </c>
      <c r="AF7" s="147" t="e">
        <f>IF(AND(R7&gt;Z7,R7&gt;AA7),"No cumple","Cumple")</f>
        <v>#REF!</v>
      </c>
    </row>
    <row r="8" spans="1:32" ht="13.5" customHeight="1">
      <c r="A8" s="137">
        <v>2</v>
      </c>
      <c r="B8" s="138" t="s">
        <v>85</v>
      </c>
      <c r="C8" s="139">
        <v>15</v>
      </c>
      <c r="D8" s="140" t="s">
        <v>61</v>
      </c>
      <c r="E8" s="141">
        <v>0.19</v>
      </c>
      <c r="F8" s="176">
        <v>1495443</v>
      </c>
      <c r="G8" s="176">
        <f t="shared" ref="G8:G38" si="3">ROUND(F8*(1+$E8),0)</f>
        <v>1779577</v>
      </c>
      <c r="H8" s="177">
        <f t="shared" ref="H8:H38" si="4">ROUND(G8*$C8,0)</f>
        <v>26693655</v>
      </c>
      <c r="I8" s="176">
        <v>1388166</v>
      </c>
      <c r="J8" s="176">
        <f t="shared" si="0"/>
        <v>1651918</v>
      </c>
      <c r="K8" s="177">
        <f t="shared" ref="K8:K38" si="5">ROUND(J8*$C8,0)</f>
        <v>24778770</v>
      </c>
      <c r="L8" s="176">
        <v>0</v>
      </c>
      <c r="M8" s="176">
        <f t="shared" ref="M8:M38" si="6">ROUND(L8*(1+$E8),0)</f>
        <v>0</v>
      </c>
      <c r="N8" s="177">
        <f t="shared" ref="N8:N38" si="7">ROUND(M8*$C8,0)</f>
        <v>0</v>
      </c>
      <c r="O8" s="176">
        <v>790000</v>
      </c>
      <c r="P8" s="176">
        <f t="shared" si="1"/>
        <v>940100</v>
      </c>
      <c r="Q8" s="177">
        <f t="shared" ref="Q8:Q38" si="8">ROUND(P8*$C8,0)</f>
        <v>14101500</v>
      </c>
      <c r="R8" s="176" t="e">
        <f>+#REF!</f>
        <v>#REF!</v>
      </c>
      <c r="S8" s="176" t="e">
        <f t="shared" si="2"/>
        <v>#REF!</v>
      </c>
      <c r="T8" s="177" t="e">
        <f t="shared" ref="T8:T38" si="9">ROUND(S8*$C8,0)</f>
        <v>#REF!</v>
      </c>
      <c r="V8" s="156">
        <v>4</v>
      </c>
      <c r="W8" s="168" t="e">
        <f>+AVERAGE(F8,I8,O8,R8)</f>
        <v>#REF!</v>
      </c>
      <c r="X8" s="168" t="e">
        <f>+_xlfn.STDEV.P(F8,I8,O8,R8)</f>
        <v>#REF!</v>
      </c>
      <c r="Y8" s="167" t="e">
        <f>+X8/W8</f>
        <v>#REF!</v>
      </c>
      <c r="Z8" s="169" t="e">
        <f>+W8-X8</f>
        <v>#REF!</v>
      </c>
      <c r="AA8" s="157" t="e">
        <f t="shared" ref="AA8:AA38" si="10">+W8+X8</f>
        <v>#REF!</v>
      </c>
      <c r="AB8" s="147" t="e">
        <f t="shared" ref="AB8:AB38" si="11">IF(AND(F8&gt;Z8,F8&gt;AA8),"No cumple","Cumple")</f>
        <v>#REF!</v>
      </c>
      <c r="AC8" s="147" t="e">
        <f t="shared" ref="AC8:AC38" si="12">IF(AND(I8&gt;Z8,I8&gt;AA8),"No cumple","Cumple")</f>
        <v>#REF!</v>
      </c>
      <c r="AD8" s="147" t="e">
        <f t="shared" ref="AD8:AD38" si="13">IF(AND(L8&gt;Z8,L8&gt;AA8),"No cumple","Cumple")</f>
        <v>#REF!</v>
      </c>
      <c r="AE8" s="147" t="e">
        <f t="shared" ref="AE8:AE38" si="14">IF(AND(O8&gt;Z8,O8&gt;AA8),"No cumple","Cumple")</f>
        <v>#REF!</v>
      </c>
      <c r="AF8" s="147" t="e">
        <f t="shared" ref="AF8:AF38" si="15">IF(AND(R8&gt;Z8,R8&gt;AA8),"No cumple","Cumple")</f>
        <v>#REF!</v>
      </c>
    </row>
    <row r="9" spans="1:32" ht="13.5" customHeight="1">
      <c r="A9" s="137">
        <v>3</v>
      </c>
      <c r="B9" s="138" t="s">
        <v>86</v>
      </c>
      <c r="C9" s="139">
        <v>2</v>
      </c>
      <c r="D9" s="140" t="s">
        <v>61</v>
      </c>
      <c r="E9" s="141">
        <v>0.19</v>
      </c>
      <c r="F9" s="176">
        <v>510356</v>
      </c>
      <c r="G9" s="176">
        <f t="shared" si="3"/>
        <v>607324</v>
      </c>
      <c r="H9" s="177">
        <f t="shared" si="4"/>
        <v>1214648</v>
      </c>
      <c r="I9" s="178">
        <v>600066</v>
      </c>
      <c r="J9" s="176">
        <f t="shared" si="0"/>
        <v>714079</v>
      </c>
      <c r="K9" s="177">
        <f t="shared" si="5"/>
        <v>1428158</v>
      </c>
      <c r="L9" s="176">
        <v>415966.39</v>
      </c>
      <c r="M9" s="176">
        <f t="shared" si="6"/>
        <v>495000</v>
      </c>
      <c r="N9" s="177">
        <f t="shared" si="7"/>
        <v>990000</v>
      </c>
      <c r="O9" s="176">
        <v>585000</v>
      </c>
      <c r="P9" s="176">
        <f t="shared" si="1"/>
        <v>696150</v>
      </c>
      <c r="Q9" s="177">
        <f t="shared" si="8"/>
        <v>1392300</v>
      </c>
      <c r="R9" s="176" t="e">
        <f>+#REF!</f>
        <v>#REF!</v>
      </c>
      <c r="S9" s="176" t="e">
        <f t="shared" si="2"/>
        <v>#REF!</v>
      </c>
      <c r="T9" s="177" t="e">
        <f t="shared" si="9"/>
        <v>#REF!</v>
      </c>
      <c r="V9" s="156">
        <v>5</v>
      </c>
      <c r="W9" s="168" t="e">
        <f>+AVERAGE(F9,I9,R9,O9,L9)</f>
        <v>#REF!</v>
      </c>
      <c r="X9" s="168" t="e">
        <f>+_xlfn.STDEV.P(F9,I9,R9,O9,L9)</f>
        <v>#REF!</v>
      </c>
      <c r="Y9" s="167" t="e">
        <f t="shared" ref="Y9:Y38" si="16">+X9/W9</f>
        <v>#REF!</v>
      </c>
      <c r="Z9" s="169" t="e">
        <f t="shared" ref="Z9:Z38" si="17">+W9-X9</f>
        <v>#REF!</v>
      </c>
      <c r="AA9" s="157" t="e">
        <f t="shared" si="10"/>
        <v>#REF!</v>
      </c>
      <c r="AB9" s="147" t="e">
        <f t="shared" si="11"/>
        <v>#REF!</v>
      </c>
      <c r="AC9" s="147" t="e">
        <f t="shared" si="12"/>
        <v>#REF!</v>
      </c>
      <c r="AD9" s="147" t="e">
        <f t="shared" si="13"/>
        <v>#REF!</v>
      </c>
      <c r="AE9" s="147" t="e">
        <f t="shared" si="14"/>
        <v>#REF!</v>
      </c>
      <c r="AF9" s="147" t="e">
        <f t="shared" si="15"/>
        <v>#REF!</v>
      </c>
    </row>
    <row r="10" spans="1:32" ht="13.5" customHeight="1">
      <c r="A10" s="137">
        <v>4</v>
      </c>
      <c r="B10" s="138" t="s">
        <v>87</v>
      </c>
      <c r="C10" s="139">
        <v>2</v>
      </c>
      <c r="D10" s="140" t="s">
        <v>61</v>
      </c>
      <c r="E10" s="141">
        <v>0.19</v>
      </c>
      <c r="F10" s="176">
        <v>583264</v>
      </c>
      <c r="G10" s="176">
        <f t="shared" si="3"/>
        <v>694084</v>
      </c>
      <c r="H10" s="177">
        <f t="shared" si="4"/>
        <v>1388168</v>
      </c>
      <c r="I10" s="178">
        <v>689458</v>
      </c>
      <c r="J10" s="176">
        <f t="shared" si="0"/>
        <v>820455</v>
      </c>
      <c r="K10" s="177">
        <f t="shared" si="5"/>
        <v>1640910</v>
      </c>
      <c r="L10" s="176">
        <v>470588.24</v>
      </c>
      <c r="M10" s="176">
        <f t="shared" si="6"/>
        <v>560000</v>
      </c>
      <c r="N10" s="177">
        <f t="shared" si="7"/>
        <v>1120000</v>
      </c>
      <c r="O10" s="176">
        <v>590000</v>
      </c>
      <c r="P10" s="176">
        <f t="shared" si="1"/>
        <v>702100</v>
      </c>
      <c r="Q10" s="177">
        <f t="shared" si="8"/>
        <v>1404200</v>
      </c>
      <c r="R10" s="176" t="e">
        <f>+#REF!</f>
        <v>#REF!</v>
      </c>
      <c r="S10" s="176" t="e">
        <f t="shared" si="2"/>
        <v>#REF!</v>
      </c>
      <c r="T10" s="177" t="e">
        <f t="shared" si="9"/>
        <v>#REF!</v>
      </c>
      <c r="V10" s="156">
        <v>5</v>
      </c>
      <c r="W10" s="168" t="e">
        <f>+AVERAGE(F10,I10,R10,O10,L10)</f>
        <v>#REF!</v>
      </c>
      <c r="X10" s="168" t="e">
        <f>+_xlfn.STDEV.P(F10,I10,R10,O10,L10)</f>
        <v>#REF!</v>
      </c>
      <c r="Y10" s="167" t="e">
        <f t="shared" si="16"/>
        <v>#REF!</v>
      </c>
      <c r="Z10" s="169" t="e">
        <f t="shared" si="17"/>
        <v>#REF!</v>
      </c>
      <c r="AA10" s="157" t="e">
        <f t="shared" si="10"/>
        <v>#REF!</v>
      </c>
      <c r="AB10" s="147" t="e">
        <f t="shared" si="11"/>
        <v>#REF!</v>
      </c>
      <c r="AC10" s="147" t="e">
        <f t="shared" si="12"/>
        <v>#REF!</v>
      </c>
      <c r="AD10" s="147" t="e">
        <f t="shared" si="13"/>
        <v>#REF!</v>
      </c>
      <c r="AE10" s="147" t="e">
        <f t="shared" si="14"/>
        <v>#REF!</v>
      </c>
      <c r="AF10" s="147" t="e">
        <f t="shared" si="15"/>
        <v>#REF!</v>
      </c>
    </row>
    <row r="11" spans="1:32" ht="13.5" customHeight="1">
      <c r="A11" s="137">
        <v>5</v>
      </c>
      <c r="B11" s="138" t="s">
        <v>88</v>
      </c>
      <c r="C11" s="139">
        <v>2</v>
      </c>
      <c r="D11" s="140" t="s">
        <v>61</v>
      </c>
      <c r="E11" s="141">
        <v>0.19</v>
      </c>
      <c r="F11" s="176">
        <v>510356</v>
      </c>
      <c r="G11" s="176">
        <f t="shared" si="3"/>
        <v>607324</v>
      </c>
      <c r="H11" s="177">
        <f t="shared" si="4"/>
        <v>1214648</v>
      </c>
      <c r="I11" s="176">
        <v>541976</v>
      </c>
      <c r="J11" s="176">
        <f t="shared" si="0"/>
        <v>644951</v>
      </c>
      <c r="K11" s="177">
        <f t="shared" si="5"/>
        <v>1289902</v>
      </c>
      <c r="L11" s="176">
        <v>393277.32</v>
      </c>
      <c r="M11" s="176">
        <f t="shared" si="6"/>
        <v>468000</v>
      </c>
      <c r="N11" s="177">
        <f t="shared" si="7"/>
        <v>936000</v>
      </c>
      <c r="O11" s="178">
        <v>599000</v>
      </c>
      <c r="P11" s="176">
        <f t="shared" si="1"/>
        <v>712810</v>
      </c>
      <c r="Q11" s="177">
        <f t="shared" si="8"/>
        <v>1425620</v>
      </c>
      <c r="R11" s="176">
        <v>0</v>
      </c>
      <c r="S11" s="176">
        <f t="shared" si="2"/>
        <v>0</v>
      </c>
      <c r="T11" s="177">
        <f t="shared" si="9"/>
        <v>0</v>
      </c>
      <c r="V11" s="156">
        <v>4</v>
      </c>
      <c r="W11" s="168">
        <f>+AVERAGE(F11,I11,O11,L11)</f>
        <v>511152.33</v>
      </c>
      <c r="X11" s="168">
        <f>+_xlfn.STDEV.P(F11,I11,O11,L11)</f>
        <v>75104.034313521974</v>
      </c>
      <c r="Y11" s="167">
        <f t="shared" si="16"/>
        <v>0.14693082649847644</v>
      </c>
      <c r="Z11" s="169">
        <f t="shared" si="17"/>
        <v>436048.29568647803</v>
      </c>
      <c r="AA11" s="157">
        <f t="shared" si="10"/>
        <v>586256.364313522</v>
      </c>
      <c r="AB11" s="147" t="str">
        <f t="shared" si="11"/>
        <v>Cumple</v>
      </c>
      <c r="AC11" s="147" t="str">
        <f t="shared" si="12"/>
        <v>Cumple</v>
      </c>
      <c r="AD11" s="147" t="str">
        <f t="shared" si="13"/>
        <v>Cumple</v>
      </c>
      <c r="AE11" s="147" t="str">
        <f t="shared" si="14"/>
        <v>No cumple</v>
      </c>
      <c r="AF11" s="147" t="str">
        <f t="shared" si="15"/>
        <v>Cumple</v>
      </c>
    </row>
    <row r="12" spans="1:32" ht="13.5" customHeight="1">
      <c r="A12" s="137">
        <v>6</v>
      </c>
      <c r="B12" s="138" t="s">
        <v>89</v>
      </c>
      <c r="C12" s="139">
        <v>4</v>
      </c>
      <c r="D12" s="140" t="s">
        <v>61</v>
      </c>
      <c r="E12" s="141">
        <v>0.19</v>
      </c>
      <c r="F12" s="176">
        <v>769452</v>
      </c>
      <c r="G12" s="176">
        <f t="shared" si="3"/>
        <v>915648</v>
      </c>
      <c r="H12" s="177">
        <f t="shared" si="4"/>
        <v>3662592</v>
      </c>
      <c r="I12" s="178">
        <v>845302</v>
      </c>
      <c r="J12" s="176">
        <f t="shared" si="0"/>
        <v>1005909</v>
      </c>
      <c r="K12" s="177">
        <f t="shared" si="5"/>
        <v>4023636</v>
      </c>
      <c r="L12" s="176">
        <v>0</v>
      </c>
      <c r="M12" s="176">
        <f t="shared" si="6"/>
        <v>0</v>
      </c>
      <c r="N12" s="177">
        <f t="shared" si="7"/>
        <v>0</v>
      </c>
      <c r="O12" s="176">
        <v>790000</v>
      </c>
      <c r="P12" s="176">
        <f t="shared" si="1"/>
        <v>940100</v>
      </c>
      <c r="Q12" s="177">
        <f t="shared" si="8"/>
        <v>3760400</v>
      </c>
      <c r="R12" s="176" t="e">
        <f>+#REF!</f>
        <v>#REF!</v>
      </c>
      <c r="S12" s="176" t="e">
        <f t="shared" si="2"/>
        <v>#REF!</v>
      </c>
      <c r="T12" s="177" t="e">
        <f t="shared" si="9"/>
        <v>#REF!</v>
      </c>
      <c r="V12" s="156">
        <v>4</v>
      </c>
      <c r="W12" s="168" t="e">
        <f t="shared" ref="W12:W17" si="18">+AVERAGE(F12,I12,R12,O12)</f>
        <v>#REF!</v>
      </c>
      <c r="X12" s="168" t="e">
        <f t="shared" ref="X12:X17" si="19">+_xlfn.STDEV.P(F12,I12,R12,O12)</f>
        <v>#REF!</v>
      </c>
      <c r="Y12" s="167" t="e">
        <f t="shared" si="16"/>
        <v>#REF!</v>
      </c>
      <c r="Z12" s="169" t="e">
        <f t="shared" si="17"/>
        <v>#REF!</v>
      </c>
      <c r="AA12" s="157" t="e">
        <f t="shared" si="10"/>
        <v>#REF!</v>
      </c>
      <c r="AB12" s="147" t="e">
        <f t="shared" si="11"/>
        <v>#REF!</v>
      </c>
      <c r="AC12" s="147" t="e">
        <f t="shared" si="12"/>
        <v>#REF!</v>
      </c>
      <c r="AD12" s="147" t="e">
        <f t="shared" si="13"/>
        <v>#REF!</v>
      </c>
      <c r="AE12" s="147" t="e">
        <f t="shared" si="14"/>
        <v>#REF!</v>
      </c>
      <c r="AF12" s="147" t="e">
        <f t="shared" si="15"/>
        <v>#REF!</v>
      </c>
    </row>
    <row r="13" spans="1:32" ht="13.5" customHeight="1">
      <c r="A13" s="137">
        <v>7</v>
      </c>
      <c r="B13" s="138" t="s">
        <v>90</v>
      </c>
      <c r="C13" s="139">
        <v>2</v>
      </c>
      <c r="D13" s="140" t="s">
        <v>61</v>
      </c>
      <c r="E13" s="141">
        <v>0.19</v>
      </c>
      <c r="F13" s="176">
        <v>402570</v>
      </c>
      <c r="G13" s="176">
        <f t="shared" si="3"/>
        <v>479058</v>
      </c>
      <c r="H13" s="177">
        <f t="shared" si="4"/>
        <v>958116</v>
      </c>
      <c r="I13" s="176">
        <v>442298</v>
      </c>
      <c r="J13" s="176">
        <f t="shared" si="0"/>
        <v>526335</v>
      </c>
      <c r="K13" s="177">
        <f t="shared" si="5"/>
        <v>1052670</v>
      </c>
      <c r="L13" s="176">
        <v>0</v>
      </c>
      <c r="M13" s="176">
        <f t="shared" si="6"/>
        <v>0</v>
      </c>
      <c r="N13" s="177">
        <f t="shared" si="7"/>
        <v>0</v>
      </c>
      <c r="O13" s="178">
        <v>540000</v>
      </c>
      <c r="P13" s="176">
        <f t="shared" si="1"/>
        <v>642600</v>
      </c>
      <c r="Q13" s="177">
        <f t="shared" si="8"/>
        <v>1285200</v>
      </c>
      <c r="R13" s="176" t="e">
        <f>+#REF!</f>
        <v>#REF!</v>
      </c>
      <c r="S13" s="176" t="e">
        <f t="shared" si="2"/>
        <v>#REF!</v>
      </c>
      <c r="T13" s="177" t="e">
        <f t="shared" si="9"/>
        <v>#REF!</v>
      </c>
      <c r="V13" s="156">
        <v>4</v>
      </c>
      <c r="W13" s="168" t="e">
        <f t="shared" si="18"/>
        <v>#REF!</v>
      </c>
      <c r="X13" s="168" t="e">
        <f t="shared" si="19"/>
        <v>#REF!</v>
      </c>
      <c r="Y13" s="167" t="e">
        <f t="shared" si="16"/>
        <v>#REF!</v>
      </c>
      <c r="Z13" s="169" t="e">
        <f t="shared" si="17"/>
        <v>#REF!</v>
      </c>
      <c r="AA13" s="157" t="e">
        <f t="shared" si="10"/>
        <v>#REF!</v>
      </c>
      <c r="AB13" s="147" t="e">
        <f t="shared" si="11"/>
        <v>#REF!</v>
      </c>
      <c r="AC13" s="147" t="e">
        <f t="shared" si="12"/>
        <v>#REF!</v>
      </c>
      <c r="AD13" s="147" t="e">
        <f t="shared" si="13"/>
        <v>#REF!</v>
      </c>
      <c r="AE13" s="147" t="e">
        <f t="shared" si="14"/>
        <v>#REF!</v>
      </c>
      <c r="AF13" s="147" t="e">
        <f t="shared" si="15"/>
        <v>#REF!</v>
      </c>
    </row>
    <row r="14" spans="1:32" ht="13.5" customHeight="1">
      <c r="A14" s="137">
        <v>8</v>
      </c>
      <c r="B14" s="138" t="s">
        <v>91</v>
      </c>
      <c r="C14" s="139">
        <v>2</v>
      </c>
      <c r="D14" s="140" t="s">
        <v>61</v>
      </c>
      <c r="E14" s="141">
        <v>0.19</v>
      </c>
      <c r="F14" s="176">
        <v>581822</v>
      </c>
      <c r="G14" s="176">
        <f t="shared" si="3"/>
        <v>692368</v>
      </c>
      <c r="H14" s="177">
        <f t="shared" si="4"/>
        <v>1384736</v>
      </c>
      <c r="I14" s="178">
        <v>631812</v>
      </c>
      <c r="J14" s="176">
        <f t="shared" si="0"/>
        <v>751856</v>
      </c>
      <c r="K14" s="177">
        <f t="shared" si="5"/>
        <v>1503712</v>
      </c>
      <c r="L14" s="176">
        <v>0</v>
      </c>
      <c r="M14" s="176">
        <f t="shared" si="6"/>
        <v>0</v>
      </c>
      <c r="N14" s="177">
        <f t="shared" si="7"/>
        <v>0</v>
      </c>
      <c r="O14" s="176">
        <v>540000</v>
      </c>
      <c r="P14" s="176">
        <f t="shared" si="1"/>
        <v>642600</v>
      </c>
      <c r="Q14" s="177">
        <f t="shared" si="8"/>
        <v>1285200</v>
      </c>
      <c r="R14" s="176" t="e">
        <f>+#REF!</f>
        <v>#REF!</v>
      </c>
      <c r="S14" s="176" t="e">
        <f t="shared" si="2"/>
        <v>#REF!</v>
      </c>
      <c r="T14" s="177" t="e">
        <f t="shared" si="9"/>
        <v>#REF!</v>
      </c>
      <c r="V14" s="156">
        <v>4</v>
      </c>
      <c r="W14" s="168" t="e">
        <f t="shared" si="18"/>
        <v>#REF!</v>
      </c>
      <c r="X14" s="168" t="e">
        <f t="shared" si="19"/>
        <v>#REF!</v>
      </c>
      <c r="Y14" s="167" t="e">
        <f t="shared" si="16"/>
        <v>#REF!</v>
      </c>
      <c r="Z14" s="169" t="e">
        <f t="shared" si="17"/>
        <v>#REF!</v>
      </c>
      <c r="AA14" s="157" t="e">
        <f t="shared" si="10"/>
        <v>#REF!</v>
      </c>
      <c r="AB14" s="147" t="e">
        <f t="shared" si="11"/>
        <v>#REF!</v>
      </c>
      <c r="AC14" s="147" t="e">
        <f t="shared" si="12"/>
        <v>#REF!</v>
      </c>
      <c r="AD14" s="147" t="e">
        <f t="shared" si="13"/>
        <v>#REF!</v>
      </c>
      <c r="AE14" s="147" t="e">
        <f t="shared" si="14"/>
        <v>#REF!</v>
      </c>
      <c r="AF14" s="147" t="e">
        <f t="shared" si="15"/>
        <v>#REF!</v>
      </c>
    </row>
    <row r="15" spans="1:32" ht="13.5" customHeight="1">
      <c r="A15" s="137">
        <v>9</v>
      </c>
      <c r="B15" s="138" t="s">
        <v>92</v>
      </c>
      <c r="C15" s="139">
        <v>2</v>
      </c>
      <c r="D15" s="140" t="s">
        <v>61</v>
      </c>
      <c r="E15" s="141">
        <v>0.19</v>
      </c>
      <c r="F15" s="176">
        <v>575056</v>
      </c>
      <c r="G15" s="176">
        <f t="shared" si="3"/>
        <v>684317</v>
      </c>
      <c r="H15" s="177">
        <f t="shared" si="4"/>
        <v>1368634</v>
      </c>
      <c r="I15" s="178">
        <v>631812</v>
      </c>
      <c r="J15" s="176">
        <f t="shared" si="0"/>
        <v>751856</v>
      </c>
      <c r="K15" s="177">
        <f t="shared" si="5"/>
        <v>1503712</v>
      </c>
      <c r="L15" s="176">
        <v>0</v>
      </c>
      <c r="M15" s="176">
        <f t="shared" si="6"/>
        <v>0</v>
      </c>
      <c r="N15" s="177">
        <f t="shared" si="7"/>
        <v>0</v>
      </c>
      <c r="O15" s="176">
        <v>540000</v>
      </c>
      <c r="P15" s="176">
        <f t="shared" si="1"/>
        <v>642600</v>
      </c>
      <c r="Q15" s="177">
        <f t="shared" si="8"/>
        <v>1285200</v>
      </c>
      <c r="R15" s="176" t="e">
        <f>+#REF!</f>
        <v>#REF!</v>
      </c>
      <c r="S15" s="176" t="e">
        <f t="shared" si="2"/>
        <v>#REF!</v>
      </c>
      <c r="T15" s="177" t="e">
        <f t="shared" si="9"/>
        <v>#REF!</v>
      </c>
      <c r="V15" s="156">
        <v>4</v>
      </c>
      <c r="W15" s="168" t="e">
        <f t="shared" si="18"/>
        <v>#REF!</v>
      </c>
      <c r="X15" s="168" t="e">
        <f t="shared" si="19"/>
        <v>#REF!</v>
      </c>
      <c r="Y15" s="167" t="e">
        <f t="shared" si="16"/>
        <v>#REF!</v>
      </c>
      <c r="Z15" s="169" t="e">
        <f t="shared" si="17"/>
        <v>#REF!</v>
      </c>
      <c r="AA15" s="157" t="e">
        <f t="shared" si="10"/>
        <v>#REF!</v>
      </c>
      <c r="AB15" s="147" t="e">
        <f t="shared" si="11"/>
        <v>#REF!</v>
      </c>
      <c r="AC15" s="147" t="e">
        <f t="shared" si="12"/>
        <v>#REF!</v>
      </c>
      <c r="AD15" s="147" t="e">
        <f t="shared" si="13"/>
        <v>#REF!</v>
      </c>
      <c r="AE15" s="147" t="e">
        <f t="shared" si="14"/>
        <v>#REF!</v>
      </c>
      <c r="AF15" s="147" t="e">
        <f t="shared" si="15"/>
        <v>#REF!</v>
      </c>
    </row>
    <row r="16" spans="1:32" ht="13.5" customHeight="1">
      <c r="A16" s="137">
        <v>10</v>
      </c>
      <c r="B16" s="138" t="s">
        <v>93</v>
      </c>
      <c r="C16" s="139">
        <v>2</v>
      </c>
      <c r="D16" s="140" t="s">
        <v>61</v>
      </c>
      <c r="E16" s="141">
        <v>0.19</v>
      </c>
      <c r="F16" s="176">
        <v>575056</v>
      </c>
      <c r="G16" s="176">
        <f t="shared" si="3"/>
        <v>684317</v>
      </c>
      <c r="H16" s="177">
        <f t="shared" si="4"/>
        <v>1368634</v>
      </c>
      <c r="I16" s="178">
        <v>631812</v>
      </c>
      <c r="J16" s="176">
        <f t="shared" si="0"/>
        <v>751856</v>
      </c>
      <c r="K16" s="177">
        <f t="shared" si="5"/>
        <v>1503712</v>
      </c>
      <c r="L16" s="176">
        <v>0</v>
      </c>
      <c r="M16" s="176">
        <f t="shared" si="6"/>
        <v>0</v>
      </c>
      <c r="N16" s="177">
        <f t="shared" si="7"/>
        <v>0</v>
      </c>
      <c r="O16" s="176">
        <v>540000</v>
      </c>
      <c r="P16" s="176">
        <f t="shared" si="1"/>
        <v>642600</v>
      </c>
      <c r="Q16" s="177">
        <f t="shared" si="8"/>
        <v>1285200</v>
      </c>
      <c r="R16" s="176" t="e">
        <f>+#REF!</f>
        <v>#REF!</v>
      </c>
      <c r="S16" s="176" t="e">
        <f t="shared" si="2"/>
        <v>#REF!</v>
      </c>
      <c r="T16" s="177" t="e">
        <f t="shared" si="9"/>
        <v>#REF!</v>
      </c>
      <c r="V16" s="156">
        <v>4</v>
      </c>
      <c r="W16" s="168" t="e">
        <f t="shared" si="18"/>
        <v>#REF!</v>
      </c>
      <c r="X16" s="168" t="e">
        <f t="shared" si="19"/>
        <v>#REF!</v>
      </c>
      <c r="Y16" s="167" t="e">
        <f t="shared" si="16"/>
        <v>#REF!</v>
      </c>
      <c r="Z16" s="169" t="e">
        <f t="shared" si="17"/>
        <v>#REF!</v>
      </c>
      <c r="AA16" s="157" t="e">
        <f t="shared" si="10"/>
        <v>#REF!</v>
      </c>
      <c r="AB16" s="147" t="e">
        <f t="shared" si="11"/>
        <v>#REF!</v>
      </c>
      <c r="AC16" s="147" t="e">
        <f t="shared" si="12"/>
        <v>#REF!</v>
      </c>
      <c r="AD16" s="147" t="e">
        <f t="shared" si="13"/>
        <v>#REF!</v>
      </c>
      <c r="AE16" s="147" t="e">
        <f t="shared" si="14"/>
        <v>#REF!</v>
      </c>
      <c r="AF16" s="147" t="e">
        <f t="shared" si="15"/>
        <v>#REF!</v>
      </c>
    </row>
    <row r="17" spans="1:32" ht="13.5" customHeight="1">
      <c r="A17" s="137">
        <v>11</v>
      </c>
      <c r="B17" s="138" t="s">
        <v>95</v>
      </c>
      <c r="C17" s="139">
        <v>6</v>
      </c>
      <c r="D17" s="140" t="s">
        <v>61</v>
      </c>
      <c r="E17" s="141">
        <v>0.19</v>
      </c>
      <c r="F17" s="176">
        <v>1271703</v>
      </c>
      <c r="G17" s="176">
        <f t="shared" si="3"/>
        <v>1513327</v>
      </c>
      <c r="H17" s="177">
        <f t="shared" si="4"/>
        <v>9079962</v>
      </c>
      <c r="I17" s="178">
        <v>1895436</v>
      </c>
      <c r="J17" s="176">
        <f t="shared" si="0"/>
        <v>2255569</v>
      </c>
      <c r="K17" s="177">
        <f t="shared" si="5"/>
        <v>13533414</v>
      </c>
      <c r="L17" s="176">
        <v>0</v>
      </c>
      <c r="M17" s="176">
        <f t="shared" si="6"/>
        <v>0</v>
      </c>
      <c r="N17" s="177">
        <f t="shared" si="7"/>
        <v>0</v>
      </c>
      <c r="O17" s="176">
        <v>980000</v>
      </c>
      <c r="P17" s="176">
        <f t="shared" si="1"/>
        <v>1166200</v>
      </c>
      <c r="Q17" s="177">
        <f t="shared" si="8"/>
        <v>6997200</v>
      </c>
      <c r="R17" s="176" t="e">
        <f>+#REF!</f>
        <v>#REF!</v>
      </c>
      <c r="S17" s="176" t="e">
        <f t="shared" si="2"/>
        <v>#REF!</v>
      </c>
      <c r="T17" s="177" t="e">
        <f t="shared" si="9"/>
        <v>#REF!</v>
      </c>
      <c r="V17" s="156">
        <v>4</v>
      </c>
      <c r="W17" s="168" t="e">
        <f t="shared" si="18"/>
        <v>#REF!</v>
      </c>
      <c r="X17" s="168" t="e">
        <f t="shared" si="19"/>
        <v>#REF!</v>
      </c>
      <c r="Y17" s="167" t="e">
        <f t="shared" si="16"/>
        <v>#REF!</v>
      </c>
      <c r="Z17" s="169" t="e">
        <f t="shared" si="17"/>
        <v>#REF!</v>
      </c>
      <c r="AA17" s="157" t="e">
        <f t="shared" si="10"/>
        <v>#REF!</v>
      </c>
      <c r="AB17" s="147" t="e">
        <f t="shared" si="11"/>
        <v>#REF!</v>
      </c>
      <c r="AC17" s="147" t="e">
        <f t="shared" si="12"/>
        <v>#REF!</v>
      </c>
      <c r="AD17" s="147" t="e">
        <f t="shared" si="13"/>
        <v>#REF!</v>
      </c>
      <c r="AE17" s="147" t="e">
        <f t="shared" si="14"/>
        <v>#REF!</v>
      </c>
      <c r="AF17" s="147" t="e">
        <f t="shared" si="15"/>
        <v>#REF!</v>
      </c>
    </row>
    <row r="18" spans="1:32" ht="13.5" customHeight="1">
      <c r="A18" s="142">
        <v>12</v>
      </c>
      <c r="B18" s="138" t="s">
        <v>96</v>
      </c>
      <c r="C18" s="139">
        <v>35</v>
      </c>
      <c r="D18" s="140" t="s">
        <v>61</v>
      </c>
      <c r="E18" s="141">
        <v>0.19</v>
      </c>
      <c r="F18" s="176">
        <v>577229</v>
      </c>
      <c r="G18" s="176">
        <f t="shared" si="3"/>
        <v>686903</v>
      </c>
      <c r="H18" s="177">
        <f t="shared" si="4"/>
        <v>24041605</v>
      </c>
      <c r="I18" s="176">
        <v>683538</v>
      </c>
      <c r="J18" s="176">
        <f t="shared" si="0"/>
        <v>813410</v>
      </c>
      <c r="K18" s="177">
        <f t="shared" si="5"/>
        <v>28469350</v>
      </c>
      <c r="L18" s="176">
        <v>406600</v>
      </c>
      <c r="M18" s="176">
        <f t="shared" si="6"/>
        <v>483854</v>
      </c>
      <c r="N18" s="177">
        <f t="shared" si="7"/>
        <v>16934890</v>
      </c>
      <c r="O18" s="176">
        <v>670000</v>
      </c>
      <c r="P18" s="176">
        <f t="shared" si="1"/>
        <v>797300</v>
      </c>
      <c r="Q18" s="177">
        <f t="shared" si="8"/>
        <v>27905500</v>
      </c>
      <c r="R18" s="176" t="e">
        <f>+#REF!</f>
        <v>#REF!</v>
      </c>
      <c r="S18" s="176" t="e">
        <f t="shared" si="2"/>
        <v>#REF!</v>
      </c>
      <c r="T18" s="177" t="e">
        <f t="shared" si="9"/>
        <v>#REF!</v>
      </c>
      <c r="V18" s="156">
        <v>5</v>
      </c>
      <c r="W18" s="168" t="e">
        <f>+AVERAGE(F18,I18,L18,R18,O18)</f>
        <v>#REF!</v>
      </c>
      <c r="X18" s="168" t="e">
        <f>+_xlfn.STDEV.P(F18,I18,L18,R18,O18)</f>
        <v>#REF!</v>
      </c>
      <c r="Y18" s="167" t="e">
        <f t="shared" si="16"/>
        <v>#REF!</v>
      </c>
      <c r="Z18" s="169" t="e">
        <f t="shared" si="17"/>
        <v>#REF!</v>
      </c>
      <c r="AA18" s="157" t="e">
        <f t="shared" si="10"/>
        <v>#REF!</v>
      </c>
      <c r="AB18" s="147" t="e">
        <f t="shared" si="11"/>
        <v>#REF!</v>
      </c>
      <c r="AC18" s="147" t="e">
        <f t="shared" si="12"/>
        <v>#REF!</v>
      </c>
      <c r="AD18" s="147" t="e">
        <f t="shared" si="13"/>
        <v>#REF!</v>
      </c>
      <c r="AE18" s="147" t="e">
        <f t="shared" si="14"/>
        <v>#REF!</v>
      </c>
      <c r="AF18" s="147" t="e">
        <f t="shared" si="15"/>
        <v>#REF!</v>
      </c>
    </row>
    <row r="19" spans="1:32" ht="13.5" customHeight="1">
      <c r="A19" s="142">
        <v>13</v>
      </c>
      <c r="B19" s="138" t="s">
        <v>97</v>
      </c>
      <c r="C19" s="139">
        <v>35</v>
      </c>
      <c r="D19" s="140" t="s">
        <v>61</v>
      </c>
      <c r="E19" s="141">
        <v>0.19</v>
      </c>
      <c r="F19" s="176">
        <v>571022</v>
      </c>
      <c r="G19" s="176">
        <f t="shared" si="3"/>
        <v>679516</v>
      </c>
      <c r="H19" s="177">
        <f t="shared" si="4"/>
        <v>23783060</v>
      </c>
      <c r="I19" s="176">
        <v>712176</v>
      </c>
      <c r="J19" s="176">
        <f t="shared" si="0"/>
        <v>847489</v>
      </c>
      <c r="K19" s="177">
        <f t="shared" si="5"/>
        <v>29662115</v>
      </c>
      <c r="L19" s="176">
        <v>126050</v>
      </c>
      <c r="M19" s="176">
        <f t="shared" si="6"/>
        <v>150000</v>
      </c>
      <c r="N19" s="177">
        <f t="shared" si="7"/>
        <v>5250000</v>
      </c>
      <c r="O19" s="176">
        <v>665000</v>
      </c>
      <c r="P19" s="176">
        <f t="shared" si="1"/>
        <v>791350</v>
      </c>
      <c r="Q19" s="177">
        <f t="shared" si="8"/>
        <v>27697250</v>
      </c>
      <c r="R19" s="176" t="e">
        <f>+#REF!</f>
        <v>#REF!</v>
      </c>
      <c r="S19" s="176" t="e">
        <f t="shared" si="2"/>
        <v>#REF!</v>
      </c>
      <c r="T19" s="177" t="e">
        <f t="shared" si="9"/>
        <v>#REF!</v>
      </c>
      <c r="V19" s="156">
        <v>5</v>
      </c>
      <c r="W19" s="168" t="e">
        <f>+AVERAGE(F19,I19,L19,R19,O19)</f>
        <v>#REF!</v>
      </c>
      <c r="X19" s="168" t="e">
        <f>+_xlfn.STDEV.P(F19,I19,L19,R19,O19)</f>
        <v>#REF!</v>
      </c>
      <c r="Y19" s="167" t="e">
        <f t="shared" si="16"/>
        <v>#REF!</v>
      </c>
      <c r="Z19" s="169" t="e">
        <f t="shared" si="17"/>
        <v>#REF!</v>
      </c>
      <c r="AA19" s="157" t="e">
        <f t="shared" si="10"/>
        <v>#REF!</v>
      </c>
      <c r="AB19" s="147" t="e">
        <f t="shared" si="11"/>
        <v>#REF!</v>
      </c>
      <c r="AC19" s="147" t="e">
        <f t="shared" si="12"/>
        <v>#REF!</v>
      </c>
      <c r="AD19" s="147" t="e">
        <f t="shared" si="13"/>
        <v>#REF!</v>
      </c>
      <c r="AE19" s="147" t="e">
        <f t="shared" si="14"/>
        <v>#REF!</v>
      </c>
      <c r="AF19" s="147" t="e">
        <f t="shared" si="15"/>
        <v>#REF!</v>
      </c>
    </row>
    <row r="20" spans="1:32" ht="13.5" customHeight="1">
      <c r="A20" s="142">
        <v>14</v>
      </c>
      <c r="B20" s="138" t="s">
        <v>98</v>
      </c>
      <c r="C20" s="139">
        <v>4</v>
      </c>
      <c r="D20" s="140" t="s">
        <v>61</v>
      </c>
      <c r="E20" s="141">
        <v>0.19</v>
      </c>
      <c r="F20" s="176">
        <v>266891</v>
      </c>
      <c r="G20" s="176">
        <f t="shared" si="3"/>
        <v>317600</v>
      </c>
      <c r="H20" s="177">
        <f t="shared" si="4"/>
        <v>1270400</v>
      </c>
      <c r="I20" s="176">
        <v>294742</v>
      </c>
      <c r="J20" s="176">
        <f t="shared" si="0"/>
        <v>350743</v>
      </c>
      <c r="K20" s="177">
        <f t="shared" si="5"/>
        <v>1402972</v>
      </c>
      <c r="L20" s="176">
        <v>174800</v>
      </c>
      <c r="M20" s="176">
        <f t="shared" si="6"/>
        <v>208012</v>
      </c>
      <c r="N20" s="177">
        <f t="shared" si="7"/>
        <v>832048</v>
      </c>
      <c r="O20" s="178">
        <v>340000</v>
      </c>
      <c r="P20" s="176">
        <f t="shared" si="1"/>
        <v>404600</v>
      </c>
      <c r="Q20" s="177">
        <f t="shared" si="8"/>
        <v>1618400</v>
      </c>
      <c r="R20" s="176" t="e">
        <f>+#REF!</f>
        <v>#REF!</v>
      </c>
      <c r="S20" s="176" t="e">
        <f t="shared" si="2"/>
        <v>#REF!</v>
      </c>
      <c r="T20" s="177" t="e">
        <f t="shared" si="9"/>
        <v>#REF!</v>
      </c>
      <c r="V20" s="156">
        <v>5</v>
      </c>
      <c r="W20" s="168" t="e">
        <f>+AVERAGE(F20,I20,L20,R20,O20)</f>
        <v>#REF!</v>
      </c>
      <c r="X20" s="168" t="e">
        <f>+_xlfn.STDEV.P(F20,I20,L20,R20,O20)</f>
        <v>#REF!</v>
      </c>
      <c r="Y20" s="167" t="e">
        <f t="shared" si="16"/>
        <v>#REF!</v>
      </c>
      <c r="Z20" s="169" t="e">
        <f t="shared" si="17"/>
        <v>#REF!</v>
      </c>
      <c r="AA20" s="157" t="e">
        <f t="shared" si="10"/>
        <v>#REF!</v>
      </c>
      <c r="AB20" s="147" t="e">
        <f t="shared" si="11"/>
        <v>#REF!</v>
      </c>
      <c r="AC20" s="147" t="e">
        <f t="shared" si="12"/>
        <v>#REF!</v>
      </c>
      <c r="AD20" s="147" t="e">
        <f t="shared" si="13"/>
        <v>#REF!</v>
      </c>
      <c r="AE20" s="147" t="e">
        <f t="shared" si="14"/>
        <v>#REF!</v>
      </c>
      <c r="AF20" s="147" t="e">
        <f t="shared" si="15"/>
        <v>#REF!</v>
      </c>
    </row>
    <row r="21" spans="1:32" ht="13.5" customHeight="1">
      <c r="A21" s="142">
        <v>15</v>
      </c>
      <c r="B21" s="138" t="s">
        <v>99</v>
      </c>
      <c r="C21" s="139">
        <v>4</v>
      </c>
      <c r="D21" s="140" t="s">
        <v>61</v>
      </c>
      <c r="E21" s="141">
        <v>0.19</v>
      </c>
      <c r="F21" s="176">
        <v>254477</v>
      </c>
      <c r="G21" s="176">
        <f t="shared" si="3"/>
        <v>302828</v>
      </c>
      <c r="H21" s="177">
        <f t="shared" si="4"/>
        <v>1211312</v>
      </c>
      <c r="I21" s="176">
        <v>292300</v>
      </c>
      <c r="J21" s="176">
        <f t="shared" si="0"/>
        <v>347837</v>
      </c>
      <c r="K21" s="177">
        <f t="shared" si="5"/>
        <v>1391348</v>
      </c>
      <c r="L21" s="176">
        <v>174800</v>
      </c>
      <c r="M21" s="176">
        <f t="shared" si="6"/>
        <v>208012</v>
      </c>
      <c r="N21" s="177">
        <f t="shared" si="7"/>
        <v>832048</v>
      </c>
      <c r="O21" s="176">
        <v>365000</v>
      </c>
      <c r="P21" s="176">
        <f t="shared" si="1"/>
        <v>434350</v>
      </c>
      <c r="Q21" s="177">
        <f t="shared" si="8"/>
        <v>1737400</v>
      </c>
      <c r="R21" s="178" t="e">
        <f>+#REF!</f>
        <v>#REF!</v>
      </c>
      <c r="S21" s="176" t="e">
        <f t="shared" si="2"/>
        <v>#REF!</v>
      </c>
      <c r="T21" s="177" t="e">
        <f t="shared" si="9"/>
        <v>#REF!</v>
      </c>
      <c r="V21" s="156">
        <v>5</v>
      </c>
      <c r="W21" s="168" t="e">
        <f>+AVERAGE(F21,I21,L21,R21,O21)</f>
        <v>#REF!</v>
      </c>
      <c r="X21" s="168" t="e">
        <f>+_xlfn.STDEV.P(F21,I21,L21,R21,O21)</f>
        <v>#REF!</v>
      </c>
      <c r="Y21" s="167" t="e">
        <f t="shared" si="16"/>
        <v>#REF!</v>
      </c>
      <c r="Z21" s="169" t="e">
        <f t="shared" si="17"/>
        <v>#REF!</v>
      </c>
      <c r="AA21" s="157" t="e">
        <f t="shared" si="10"/>
        <v>#REF!</v>
      </c>
      <c r="AB21" s="147" t="e">
        <f t="shared" si="11"/>
        <v>#REF!</v>
      </c>
      <c r="AC21" s="147" t="e">
        <f t="shared" si="12"/>
        <v>#REF!</v>
      </c>
      <c r="AD21" s="147" t="e">
        <f t="shared" si="13"/>
        <v>#REF!</v>
      </c>
      <c r="AE21" s="147" t="e">
        <f t="shared" si="14"/>
        <v>#REF!</v>
      </c>
      <c r="AF21" s="147" t="e">
        <f t="shared" si="15"/>
        <v>#REF!</v>
      </c>
    </row>
    <row r="22" spans="1:32" ht="13.5" customHeight="1">
      <c r="A22" s="142">
        <v>16</v>
      </c>
      <c r="B22" s="138" t="s">
        <v>100</v>
      </c>
      <c r="C22" s="139">
        <v>2</v>
      </c>
      <c r="D22" s="140" t="s">
        <v>61</v>
      </c>
      <c r="E22" s="141">
        <v>0.19</v>
      </c>
      <c r="F22" s="178">
        <v>717765</v>
      </c>
      <c r="G22" s="176">
        <f t="shared" si="3"/>
        <v>854140</v>
      </c>
      <c r="H22" s="177">
        <f t="shared" si="4"/>
        <v>1708280</v>
      </c>
      <c r="I22" s="176">
        <v>529100</v>
      </c>
      <c r="J22" s="176">
        <f t="shared" si="0"/>
        <v>629629</v>
      </c>
      <c r="K22" s="177">
        <f t="shared" si="5"/>
        <v>1259258</v>
      </c>
      <c r="L22" s="176">
        <v>0</v>
      </c>
      <c r="M22" s="176">
        <f t="shared" si="6"/>
        <v>0</v>
      </c>
      <c r="N22" s="177">
        <f t="shared" si="7"/>
        <v>0</v>
      </c>
      <c r="O22" s="176"/>
      <c r="P22" s="176">
        <f t="shared" si="1"/>
        <v>0</v>
      </c>
      <c r="Q22" s="177">
        <f t="shared" si="8"/>
        <v>0</v>
      </c>
      <c r="R22" s="176" t="e">
        <f>+#REF!</f>
        <v>#REF!</v>
      </c>
      <c r="S22" s="176" t="e">
        <f t="shared" si="2"/>
        <v>#REF!</v>
      </c>
      <c r="T22" s="177" t="e">
        <f t="shared" si="9"/>
        <v>#REF!</v>
      </c>
      <c r="V22" s="156">
        <v>3</v>
      </c>
      <c r="W22" s="168" t="e">
        <f>+AVERAGE(F22,I22,R22)</f>
        <v>#REF!</v>
      </c>
      <c r="X22" s="168" t="e">
        <f>+_xlfn.STDEV.P(F22,I22,R22)</f>
        <v>#REF!</v>
      </c>
      <c r="Y22" s="167" t="e">
        <f t="shared" si="16"/>
        <v>#REF!</v>
      </c>
      <c r="Z22" s="169" t="e">
        <f t="shared" si="17"/>
        <v>#REF!</v>
      </c>
      <c r="AA22" s="157" t="e">
        <f t="shared" si="10"/>
        <v>#REF!</v>
      </c>
      <c r="AB22" s="147" t="e">
        <f t="shared" si="11"/>
        <v>#REF!</v>
      </c>
      <c r="AC22" s="147" t="e">
        <f t="shared" si="12"/>
        <v>#REF!</v>
      </c>
      <c r="AD22" s="147" t="e">
        <f t="shared" si="13"/>
        <v>#REF!</v>
      </c>
      <c r="AE22" s="147" t="e">
        <f t="shared" si="14"/>
        <v>#REF!</v>
      </c>
      <c r="AF22" s="147" t="e">
        <f t="shared" si="15"/>
        <v>#REF!</v>
      </c>
    </row>
    <row r="23" spans="1:32" ht="13.5" customHeight="1">
      <c r="A23" s="142">
        <v>17</v>
      </c>
      <c r="B23" s="138" t="s">
        <v>101</v>
      </c>
      <c r="C23" s="139">
        <v>5</v>
      </c>
      <c r="D23" s="140" t="s">
        <v>61</v>
      </c>
      <c r="E23" s="141">
        <v>0.19</v>
      </c>
      <c r="F23" s="176">
        <v>0</v>
      </c>
      <c r="G23" s="176">
        <f t="shared" si="3"/>
        <v>0</v>
      </c>
      <c r="H23" s="177">
        <f t="shared" si="4"/>
        <v>0</v>
      </c>
      <c r="I23" s="178">
        <v>780000</v>
      </c>
      <c r="J23" s="176">
        <f t="shared" si="0"/>
        <v>928200</v>
      </c>
      <c r="K23" s="177">
        <f t="shared" si="5"/>
        <v>4641000</v>
      </c>
      <c r="L23" s="176">
        <v>75630</v>
      </c>
      <c r="M23" s="176">
        <f t="shared" si="6"/>
        <v>90000</v>
      </c>
      <c r="N23" s="177">
        <f t="shared" si="7"/>
        <v>450000</v>
      </c>
      <c r="O23" s="176">
        <v>560000</v>
      </c>
      <c r="P23" s="176">
        <f t="shared" si="1"/>
        <v>666400</v>
      </c>
      <c r="Q23" s="177">
        <f t="shared" si="8"/>
        <v>3332000</v>
      </c>
      <c r="R23" s="176" t="e">
        <f>+#REF!</f>
        <v>#REF!</v>
      </c>
      <c r="S23" s="176" t="e">
        <f t="shared" si="2"/>
        <v>#REF!</v>
      </c>
      <c r="T23" s="177" t="e">
        <f t="shared" si="9"/>
        <v>#REF!</v>
      </c>
      <c r="V23" s="156">
        <v>4</v>
      </c>
      <c r="W23" s="168" t="e">
        <f>+AVERAGE(I23,L23,R23,O23)</f>
        <v>#REF!</v>
      </c>
      <c r="X23" s="168" t="e">
        <f>+_xlfn.STDEV.P(I23,L23,R23,O23)</f>
        <v>#REF!</v>
      </c>
      <c r="Y23" s="167" t="e">
        <f t="shared" si="16"/>
        <v>#REF!</v>
      </c>
      <c r="Z23" s="169" t="e">
        <f>+W23-X23</f>
        <v>#REF!</v>
      </c>
      <c r="AA23" s="157" t="e">
        <f t="shared" si="10"/>
        <v>#REF!</v>
      </c>
      <c r="AB23" s="147" t="e">
        <f t="shared" si="11"/>
        <v>#REF!</v>
      </c>
      <c r="AC23" s="147" t="e">
        <f t="shared" si="12"/>
        <v>#REF!</v>
      </c>
      <c r="AD23" s="147" t="e">
        <f t="shared" si="13"/>
        <v>#REF!</v>
      </c>
      <c r="AE23" s="147" t="e">
        <f t="shared" si="14"/>
        <v>#REF!</v>
      </c>
      <c r="AF23" s="147" t="e">
        <f t="shared" si="15"/>
        <v>#REF!</v>
      </c>
    </row>
    <row r="24" spans="1:32" ht="13.5" customHeight="1">
      <c r="A24" s="142">
        <v>18</v>
      </c>
      <c r="B24" s="138" t="s">
        <v>124</v>
      </c>
      <c r="C24" s="139">
        <v>6</v>
      </c>
      <c r="D24" s="140" t="s">
        <v>61</v>
      </c>
      <c r="E24" s="141">
        <v>0.19</v>
      </c>
      <c r="F24" s="180">
        <v>1822694</v>
      </c>
      <c r="G24" s="176">
        <f t="shared" si="3"/>
        <v>2169006</v>
      </c>
      <c r="H24" s="177">
        <f t="shared" si="4"/>
        <v>13014036</v>
      </c>
      <c r="I24" s="178">
        <v>2197800</v>
      </c>
      <c r="J24" s="176">
        <f t="shared" si="0"/>
        <v>2615382</v>
      </c>
      <c r="K24" s="177">
        <f t="shared" si="5"/>
        <v>15692292</v>
      </c>
      <c r="L24" s="176">
        <v>0</v>
      </c>
      <c r="M24" s="176">
        <f t="shared" si="6"/>
        <v>0</v>
      </c>
      <c r="N24" s="177">
        <f t="shared" si="7"/>
        <v>0</v>
      </c>
      <c r="O24" s="180">
        <v>1950000</v>
      </c>
      <c r="P24" s="176">
        <f t="shared" si="1"/>
        <v>2320500</v>
      </c>
      <c r="Q24" s="177">
        <f t="shared" si="8"/>
        <v>13923000</v>
      </c>
      <c r="R24" s="176">
        <v>0</v>
      </c>
      <c r="S24" s="176">
        <f t="shared" si="2"/>
        <v>0</v>
      </c>
      <c r="T24" s="177">
        <f t="shared" si="9"/>
        <v>0</v>
      </c>
      <c r="V24" s="156">
        <v>3</v>
      </c>
      <c r="W24" s="168">
        <f>+AVERAGE(F24,I24,O24)</f>
        <v>1990164.6666666667</v>
      </c>
      <c r="X24" s="168">
        <f>+_xlfn.STDEV.P(F24,I24,O24)</f>
        <v>155747.71939546624</v>
      </c>
      <c r="Y24" s="167">
        <f t="shared" si="16"/>
        <v>7.8258709947015892E-2</v>
      </c>
      <c r="Z24" s="169">
        <f t="shared" si="17"/>
        <v>1834416.9472712006</v>
      </c>
      <c r="AA24" s="157">
        <f t="shared" si="10"/>
        <v>2145912.3860621331</v>
      </c>
      <c r="AB24" s="147" t="str">
        <f t="shared" si="11"/>
        <v>Cumple</v>
      </c>
      <c r="AC24" s="147" t="str">
        <f t="shared" si="12"/>
        <v>No cumple</v>
      </c>
      <c r="AD24" s="147" t="str">
        <f t="shared" si="13"/>
        <v>Cumple</v>
      </c>
      <c r="AE24" s="147" t="str">
        <f t="shared" si="14"/>
        <v>Cumple</v>
      </c>
      <c r="AF24" s="147" t="str">
        <f t="shared" si="15"/>
        <v>Cumple</v>
      </c>
    </row>
    <row r="25" spans="1:32" ht="13.5" customHeight="1">
      <c r="A25" s="142">
        <v>19</v>
      </c>
      <c r="B25" s="138" t="s">
        <v>103</v>
      </c>
      <c r="C25" s="139">
        <v>6</v>
      </c>
      <c r="D25" s="140" t="s">
        <v>61</v>
      </c>
      <c r="E25" s="141">
        <v>0.19</v>
      </c>
      <c r="F25" s="176">
        <v>993082</v>
      </c>
      <c r="G25" s="176">
        <f t="shared" si="3"/>
        <v>1181768</v>
      </c>
      <c r="H25" s="177">
        <f t="shared" si="4"/>
        <v>7090608</v>
      </c>
      <c r="I25" s="178">
        <v>1307135</v>
      </c>
      <c r="J25" s="176">
        <f t="shared" si="0"/>
        <v>1555491</v>
      </c>
      <c r="K25" s="177">
        <f t="shared" si="5"/>
        <v>9332946</v>
      </c>
      <c r="L25" s="176">
        <v>0</v>
      </c>
      <c r="M25" s="176">
        <f t="shared" si="6"/>
        <v>0</v>
      </c>
      <c r="N25" s="177">
        <f t="shared" si="7"/>
        <v>0</v>
      </c>
      <c r="O25" s="176">
        <v>488000</v>
      </c>
      <c r="P25" s="176">
        <f t="shared" si="1"/>
        <v>580720</v>
      </c>
      <c r="Q25" s="177">
        <f t="shared" si="8"/>
        <v>3484320</v>
      </c>
      <c r="R25" s="176">
        <v>0</v>
      </c>
      <c r="S25" s="176">
        <f t="shared" si="2"/>
        <v>0</v>
      </c>
      <c r="T25" s="177">
        <f t="shared" si="9"/>
        <v>0</v>
      </c>
      <c r="V25" s="156">
        <v>3</v>
      </c>
      <c r="W25" s="168">
        <f>+AVERAGE(F25,I25,O25)</f>
        <v>929405.66666666663</v>
      </c>
      <c r="X25" s="168">
        <f>+_xlfn.STDEV.P(F25,I25,O25)</f>
        <v>337428.06011191319</v>
      </c>
      <c r="Y25" s="167">
        <f t="shared" si="16"/>
        <v>0.36305788980403592</v>
      </c>
      <c r="Z25" s="169">
        <f t="shared" si="17"/>
        <v>591977.60655475338</v>
      </c>
      <c r="AA25" s="157">
        <f t="shared" si="10"/>
        <v>1266833.7267785799</v>
      </c>
      <c r="AB25" s="147" t="str">
        <f t="shared" si="11"/>
        <v>Cumple</v>
      </c>
      <c r="AC25" s="147" t="str">
        <f t="shared" si="12"/>
        <v>No cumple</v>
      </c>
      <c r="AD25" s="147" t="str">
        <f t="shared" si="13"/>
        <v>Cumple</v>
      </c>
      <c r="AE25" s="147" t="str">
        <f t="shared" si="14"/>
        <v>Cumple</v>
      </c>
      <c r="AF25" s="147" t="str">
        <f t="shared" si="15"/>
        <v>Cumple</v>
      </c>
    </row>
    <row r="26" spans="1:32" ht="13.5" customHeight="1">
      <c r="A26" s="142">
        <v>20</v>
      </c>
      <c r="B26" s="138" t="s">
        <v>104</v>
      </c>
      <c r="C26" s="139">
        <v>4</v>
      </c>
      <c r="D26" s="140" t="s">
        <v>61</v>
      </c>
      <c r="E26" s="141">
        <v>0.19</v>
      </c>
      <c r="F26" s="176">
        <v>1822701</v>
      </c>
      <c r="G26" s="176">
        <f t="shared" si="3"/>
        <v>2169014</v>
      </c>
      <c r="H26" s="177">
        <f t="shared" si="4"/>
        <v>8676056</v>
      </c>
      <c r="I26" s="176">
        <v>982000</v>
      </c>
      <c r="J26" s="176">
        <f>ROUND(I26*(1+$E26),0)</f>
        <v>1168580</v>
      </c>
      <c r="K26" s="177">
        <f t="shared" si="5"/>
        <v>4674320</v>
      </c>
      <c r="L26" s="176">
        <v>817000</v>
      </c>
      <c r="M26" s="176">
        <f t="shared" si="6"/>
        <v>972230</v>
      </c>
      <c r="N26" s="177">
        <f t="shared" si="7"/>
        <v>3888920</v>
      </c>
      <c r="O26" s="178">
        <v>2095000</v>
      </c>
      <c r="P26" s="176">
        <f>ROUND(O26*(1+$E26),0)</f>
        <v>2493050</v>
      </c>
      <c r="Q26" s="177">
        <f t="shared" si="8"/>
        <v>9972200</v>
      </c>
      <c r="R26" s="176">
        <v>0</v>
      </c>
      <c r="S26" s="176">
        <f t="shared" si="2"/>
        <v>0</v>
      </c>
      <c r="T26" s="177">
        <f t="shared" si="9"/>
        <v>0</v>
      </c>
      <c r="V26" s="156">
        <v>4</v>
      </c>
      <c r="W26" s="168">
        <f t="shared" ref="W26:W31" si="20">+AVERAGE(F26,I26,L26,O26)</f>
        <v>1429175.25</v>
      </c>
      <c r="X26" s="168">
        <f t="shared" ref="X26:X31" si="21">+_xlfn.STDEV.P(F26,I26,L26,O26)</f>
        <v>541504.69862937252</v>
      </c>
      <c r="Y26" s="167">
        <f t="shared" si="16"/>
        <v>0.37889314038244959</v>
      </c>
      <c r="Z26" s="169">
        <f t="shared" si="17"/>
        <v>887670.55137062748</v>
      </c>
      <c r="AA26" s="157">
        <f t="shared" si="10"/>
        <v>1970679.9486293725</v>
      </c>
      <c r="AB26" s="147" t="str">
        <f t="shared" si="11"/>
        <v>Cumple</v>
      </c>
      <c r="AC26" s="147" t="str">
        <f t="shared" si="12"/>
        <v>Cumple</v>
      </c>
      <c r="AD26" s="147" t="str">
        <f t="shared" si="13"/>
        <v>Cumple</v>
      </c>
      <c r="AE26" s="147" t="str">
        <f t="shared" si="14"/>
        <v>No cumple</v>
      </c>
      <c r="AF26" s="147" t="str">
        <f t="shared" si="15"/>
        <v>Cumple</v>
      </c>
    </row>
    <row r="27" spans="1:32" ht="13.5" customHeight="1">
      <c r="A27" s="142">
        <v>21</v>
      </c>
      <c r="B27" s="138" t="s">
        <v>105</v>
      </c>
      <c r="C27" s="139">
        <v>9</v>
      </c>
      <c r="D27" s="140" t="s">
        <v>61</v>
      </c>
      <c r="E27" s="141">
        <v>0.19</v>
      </c>
      <c r="F27" s="178">
        <v>2816901</v>
      </c>
      <c r="G27" s="176">
        <f t="shared" si="3"/>
        <v>3352112</v>
      </c>
      <c r="H27" s="177">
        <f t="shared" si="4"/>
        <v>30169008</v>
      </c>
      <c r="I27" s="176">
        <v>2590200</v>
      </c>
      <c r="J27" s="176">
        <f t="shared" si="0"/>
        <v>3082338</v>
      </c>
      <c r="K27" s="177">
        <f t="shared" si="5"/>
        <v>27741042</v>
      </c>
      <c r="L27" s="176">
        <v>1018400</v>
      </c>
      <c r="M27" s="176">
        <f t="shared" si="6"/>
        <v>1211896</v>
      </c>
      <c r="N27" s="177">
        <f t="shared" si="7"/>
        <v>10907064</v>
      </c>
      <c r="O27" s="176">
        <v>1950000</v>
      </c>
      <c r="P27" s="176">
        <f t="shared" ref="P27:P38" si="22">ROUND(O27*(1+$E27),0)</f>
        <v>2320500</v>
      </c>
      <c r="Q27" s="177">
        <f t="shared" si="8"/>
        <v>20884500</v>
      </c>
      <c r="R27" s="176">
        <v>0</v>
      </c>
      <c r="S27" s="176">
        <f t="shared" si="2"/>
        <v>0</v>
      </c>
      <c r="T27" s="177">
        <f t="shared" si="9"/>
        <v>0</v>
      </c>
      <c r="V27" s="156">
        <v>4</v>
      </c>
      <c r="W27" s="168">
        <f t="shared" si="20"/>
        <v>2093875.25</v>
      </c>
      <c r="X27" s="168">
        <f t="shared" si="21"/>
        <v>697576.44626785349</v>
      </c>
      <c r="Y27" s="167">
        <f t="shared" si="16"/>
        <v>0.33315091062270952</v>
      </c>
      <c r="Z27" s="169">
        <f t="shared" si="17"/>
        <v>1396298.8037321465</v>
      </c>
      <c r="AA27" s="157">
        <f t="shared" si="10"/>
        <v>2791451.6962678535</v>
      </c>
      <c r="AB27" s="147" t="str">
        <f t="shared" si="11"/>
        <v>No cumple</v>
      </c>
      <c r="AC27" s="147" t="str">
        <f t="shared" si="12"/>
        <v>Cumple</v>
      </c>
      <c r="AD27" s="147" t="str">
        <f t="shared" si="13"/>
        <v>Cumple</v>
      </c>
      <c r="AE27" s="147" t="str">
        <f t="shared" si="14"/>
        <v>Cumple</v>
      </c>
      <c r="AF27" s="147" t="str">
        <f t="shared" si="15"/>
        <v>Cumple</v>
      </c>
    </row>
    <row r="28" spans="1:32" ht="13.5" customHeight="1">
      <c r="A28" s="142">
        <v>22</v>
      </c>
      <c r="B28" s="138" t="s">
        <v>106</v>
      </c>
      <c r="C28" s="139">
        <v>1</v>
      </c>
      <c r="D28" s="140" t="s">
        <v>61</v>
      </c>
      <c r="E28" s="141">
        <v>0.19</v>
      </c>
      <c r="F28" s="176">
        <v>1988401</v>
      </c>
      <c r="G28" s="176">
        <f t="shared" si="3"/>
        <v>2366197</v>
      </c>
      <c r="H28" s="177">
        <f t="shared" si="4"/>
        <v>2366197</v>
      </c>
      <c r="I28" s="176">
        <v>1958400</v>
      </c>
      <c r="J28" s="176">
        <f t="shared" si="0"/>
        <v>2330496</v>
      </c>
      <c r="K28" s="177">
        <f t="shared" si="5"/>
        <v>2330496</v>
      </c>
      <c r="L28" s="176">
        <v>767600</v>
      </c>
      <c r="M28" s="176">
        <f t="shared" si="6"/>
        <v>913444</v>
      </c>
      <c r="N28" s="177">
        <f t="shared" si="7"/>
        <v>913444</v>
      </c>
      <c r="O28" s="176">
        <v>1450000</v>
      </c>
      <c r="P28" s="176">
        <f t="shared" si="22"/>
        <v>1725500</v>
      </c>
      <c r="Q28" s="177">
        <f t="shared" si="8"/>
        <v>1725500</v>
      </c>
      <c r="R28" s="176">
        <v>0</v>
      </c>
      <c r="S28" s="176">
        <f t="shared" si="2"/>
        <v>0</v>
      </c>
      <c r="T28" s="177">
        <f t="shared" si="9"/>
        <v>0</v>
      </c>
      <c r="V28" s="156">
        <v>4</v>
      </c>
      <c r="W28" s="168">
        <f t="shared" si="20"/>
        <v>1541100.25</v>
      </c>
      <c r="X28" s="168">
        <f t="shared" si="21"/>
        <v>495181.51586078765</v>
      </c>
      <c r="Y28" s="167">
        <f t="shared" si="16"/>
        <v>0.3213168746554857</v>
      </c>
      <c r="Z28" s="169">
        <f t="shared" si="17"/>
        <v>1045918.7341392124</v>
      </c>
      <c r="AA28" s="157">
        <f t="shared" si="10"/>
        <v>2036281.7658607876</v>
      </c>
      <c r="AB28" s="147" t="str">
        <f t="shared" si="11"/>
        <v>Cumple</v>
      </c>
      <c r="AC28" s="147" t="str">
        <f t="shared" si="12"/>
        <v>Cumple</v>
      </c>
      <c r="AD28" s="147" t="str">
        <f t="shared" si="13"/>
        <v>Cumple</v>
      </c>
      <c r="AE28" s="147" t="str">
        <f t="shared" si="14"/>
        <v>Cumple</v>
      </c>
      <c r="AF28" s="147" t="str">
        <f t="shared" si="15"/>
        <v>Cumple</v>
      </c>
    </row>
    <row r="29" spans="1:32" ht="13.5" customHeight="1">
      <c r="A29" s="142">
        <v>23</v>
      </c>
      <c r="B29" s="138" t="s">
        <v>107</v>
      </c>
      <c r="C29" s="139">
        <v>4</v>
      </c>
      <c r="D29" s="140" t="s">
        <v>61</v>
      </c>
      <c r="E29" s="141">
        <v>0.19</v>
      </c>
      <c r="F29" s="176">
        <v>1905551</v>
      </c>
      <c r="G29" s="176">
        <f t="shared" si="3"/>
        <v>2267606</v>
      </c>
      <c r="H29" s="177">
        <f t="shared" si="4"/>
        <v>9070424</v>
      </c>
      <c r="I29" s="176">
        <v>1964922</v>
      </c>
      <c r="J29" s="176">
        <f t="shared" si="0"/>
        <v>2338257</v>
      </c>
      <c r="K29" s="177">
        <f t="shared" si="5"/>
        <v>9353028</v>
      </c>
      <c r="L29" s="176">
        <v>1250200</v>
      </c>
      <c r="M29" s="176">
        <f t="shared" si="6"/>
        <v>1487738</v>
      </c>
      <c r="N29" s="177">
        <f t="shared" si="7"/>
        <v>5950952</v>
      </c>
      <c r="O29" s="178">
        <v>2190000</v>
      </c>
      <c r="P29" s="176">
        <f t="shared" si="22"/>
        <v>2606100</v>
      </c>
      <c r="Q29" s="177">
        <f t="shared" si="8"/>
        <v>10424400</v>
      </c>
      <c r="R29" s="176">
        <v>0</v>
      </c>
      <c r="S29" s="176">
        <f t="shared" si="2"/>
        <v>0</v>
      </c>
      <c r="T29" s="177">
        <f t="shared" si="9"/>
        <v>0</v>
      </c>
      <c r="V29" s="156">
        <v>4</v>
      </c>
      <c r="W29" s="168">
        <f t="shared" si="20"/>
        <v>1827668.25</v>
      </c>
      <c r="X29" s="168">
        <f t="shared" si="21"/>
        <v>349877.90422258375</v>
      </c>
      <c r="Y29" s="167">
        <f t="shared" si="16"/>
        <v>0.19143403307607043</v>
      </c>
      <c r="Z29" s="169">
        <f t="shared" si="17"/>
        <v>1477790.3457774161</v>
      </c>
      <c r="AA29" s="157">
        <f t="shared" si="10"/>
        <v>2177546.1542225839</v>
      </c>
      <c r="AB29" s="147" t="str">
        <f t="shared" si="11"/>
        <v>Cumple</v>
      </c>
      <c r="AC29" s="147" t="str">
        <f t="shared" si="12"/>
        <v>Cumple</v>
      </c>
      <c r="AD29" s="147" t="str">
        <f t="shared" si="13"/>
        <v>Cumple</v>
      </c>
      <c r="AE29" s="147" t="str">
        <f t="shared" si="14"/>
        <v>No cumple</v>
      </c>
      <c r="AF29" s="147" t="str">
        <f t="shared" si="15"/>
        <v>Cumple</v>
      </c>
    </row>
    <row r="30" spans="1:32" ht="13.5" customHeight="1">
      <c r="A30" s="142">
        <v>24</v>
      </c>
      <c r="B30" s="138" t="s">
        <v>108</v>
      </c>
      <c r="C30" s="139">
        <v>4</v>
      </c>
      <c r="D30" s="140" t="s">
        <v>61</v>
      </c>
      <c r="E30" s="141">
        <v>0.19</v>
      </c>
      <c r="F30" s="176">
        <v>911350</v>
      </c>
      <c r="G30" s="176">
        <f t="shared" si="3"/>
        <v>1084507</v>
      </c>
      <c r="H30" s="177">
        <f t="shared" si="4"/>
        <v>4338028</v>
      </c>
      <c r="I30" s="176">
        <v>1964922</v>
      </c>
      <c r="J30" s="176">
        <f t="shared" si="0"/>
        <v>2338257</v>
      </c>
      <c r="K30" s="177">
        <f t="shared" si="5"/>
        <v>9353028</v>
      </c>
      <c r="L30" s="176">
        <v>1185600</v>
      </c>
      <c r="M30" s="176">
        <f t="shared" si="6"/>
        <v>1410864</v>
      </c>
      <c r="N30" s="177">
        <f t="shared" si="7"/>
        <v>5643456</v>
      </c>
      <c r="O30" s="178">
        <v>2090000</v>
      </c>
      <c r="P30" s="176">
        <f t="shared" si="22"/>
        <v>2487100</v>
      </c>
      <c r="Q30" s="177">
        <f t="shared" si="8"/>
        <v>9948400</v>
      </c>
      <c r="R30" s="176">
        <v>0</v>
      </c>
      <c r="S30" s="176">
        <f t="shared" si="2"/>
        <v>0</v>
      </c>
      <c r="T30" s="177">
        <f t="shared" si="9"/>
        <v>0</v>
      </c>
      <c r="V30" s="156">
        <v>4</v>
      </c>
      <c r="W30" s="168">
        <f t="shared" si="20"/>
        <v>1537968</v>
      </c>
      <c r="X30" s="168">
        <f t="shared" si="21"/>
        <v>500959.67215136188</v>
      </c>
      <c r="Y30" s="167">
        <f t="shared" si="16"/>
        <v>0.32572828053077951</v>
      </c>
      <c r="Z30" s="169">
        <f t="shared" si="17"/>
        <v>1037008.3278486382</v>
      </c>
      <c r="AA30" s="157">
        <f t="shared" si="10"/>
        <v>2038927.6721513618</v>
      </c>
      <c r="AB30" s="147" t="str">
        <f t="shared" si="11"/>
        <v>Cumple</v>
      </c>
      <c r="AC30" s="147" t="str">
        <f t="shared" si="12"/>
        <v>Cumple</v>
      </c>
      <c r="AD30" s="147" t="str">
        <f t="shared" si="13"/>
        <v>Cumple</v>
      </c>
      <c r="AE30" s="147" t="str">
        <f t="shared" si="14"/>
        <v>No cumple</v>
      </c>
      <c r="AF30" s="147" t="str">
        <f t="shared" si="15"/>
        <v>Cumple</v>
      </c>
    </row>
    <row r="31" spans="1:32" ht="13.5" customHeight="1">
      <c r="A31" s="142">
        <v>25</v>
      </c>
      <c r="B31" s="138" t="s">
        <v>109</v>
      </c>
      <c r="C31" s="139">
        <v>1</v>
      </c>
      <c r="D31" s="140" t="s">
        <v>61</v>
      </c>
      <c r="E31" s="141">
        <v>0.19</v>
      </c>
      <c r="F31" s="176">
        <v>248550</v>
      </c>
      <c r="G31" s="176">
        <f t="shared" si="3"/>
        <v>295775</v>
      </c>
      <c r="H31" s="177">
        <f t="shared" si="4"/>
        <v>295775</v>
      </c>
      <c r="I31" s="176">
        <v>142200</v>
      </c>
      <c r="J31" s="176">
        <f t="shared" si="0"/>
        <v>169218</v>
      </c>
      <c r="K31" s="177">
        <f t="shared" si="5"/>
        <v>169218</v>
      </c>
      <c r="L31" s="176">
        <v>288800</v>
      </c>
      <c r="M31" s="176">
        <f t="shared" si="6"/>
        <v>343672</v>
      </c>
      <c r="N31" s="177">
        <f t="shared" si="7"/>
        <v>343672</v>
      </c>
      <c r="O31" s="178">
        <v>420000</v>
      </c>
      <c r="P31" s="176">
        <f t="shared" si="22"/>
        <v>499800</v>
      </c>
      <c r="Q31" s="177">
        <f t="shared" si="8"/>
        <v>499800</v>
      </c>
      <c r="R31" s="176">
        <v>0</v>
      </c>
      <c r="S31" s="176">
        <f t="shared" si="2"/>
        <v>0</v>
      </c>
      <c r="T31" s="177">
        <f t="shared" si="9"/>
        <v>0</v>
      </c>
      <c r="V31" s="156">
        <v>4</v>
      </c>
      <c r="W31" s="168">
        <f t="shared" si="20"/>
        <v>274887.5</v>
      </c>
      <c r="X31" s="168">
        <f t="shared" si="21"/>
        <v>99436.954743948183</v>
      </c>
      <c r="Y31" s="167">
        <f t="shared" si="16"/>
        <v>0.36173690962283911</v>
      </c>
      <c r="Z31" s="169">
        <f t="shared" si="17"/>
        <v>175450.54525605182</v>
      </c>
      <c r="AA31" s="157">
        <f t="shared" si="10"/>
        <v>374324.45474394818</v>
      </c>
      <c r="AB31" s="147" t="str">
        <f t="shared" si="11"/>
        <v>Cumple</v>
      </c>
      <c r="AC31" s="147" t="str">
        <f t="shared" si="12"/>
        <v>Cumple</v>
      </c>
      <c r="AD31" s="147" t="str">
        <f t="shared" si="13"/>
        <v>Cumple</v>
      </c>
      <c r="AE31" s="147" t="str">
        <f t="shared" si="14"/>
        <v>No cumple</v>
      </c>
      <c r="AF31" s="147" t="str">
        <f t="shared" si="15"/>
        <v>Cumple</v>
      </c>
    </row>
    <row r="32" spans="1:32" ht="13.5" customHeight="1">
      <c r="A32" s="142">
        <v>26</v>
      </c>
      <c r="B32" s="138" t="s">
        <v>110</v>
      </c>
      <c r="C32" s="139">
        <v>1</v>
      </c>
      <c r="D32" s="140" t="s">
        <v>61</v>
      </c>
      <c r="E32" s="141">
        <v>0.19</v>
      </c>
      <c r="F32" s="176">
        <v>322752</v>
      </c>
      <c r="G32" s="176">
        <f t="shared" si="3"/>
        <v>384075</v>
      </c>
      <c r="H32" s="177">
        <f t="shared" si="4"/>
        <v>384075</v>
      </c>
      <c r="I32" s="178">
        <v>1881820</v>
      </c>
      <c r="J32" s="176">
        <f t="shared" si="0"/>
        <v>2239366</v>
      </c>
      <c r="K32" s="177">
        <f t="shared" si="5"/>
        <v>2239366</v>
      </c>
      <c r="L32" s="176">
        <v>0</v>
      </c>
      <c r="M32" s="176">
        <f t="shared" si="6"/>
        <v>0</v>
      </c>
      <c r="N32" s="177">
        <f t="shared" si="7"/>
        <v>0</v>
      </c>
      <c r="O32" s="176">
        <v>590000</v>
      </c>
      <c r="P32" s="176">
        <f t="shared" si="22"/>
        <v>702100</v>
      </c>
      <c r="Q32" s="177">
        <f t="shared" si="8"/>
        <v>702100</v>
      </c>
      <c r="R32" s="176">
        <v>0</v>
      </c>
      <c r="S32" s="176">
        <f t="shared" si="2"/>
        <v>0</v>
      </c>
      <c r="T32" s="177">
        <f t="shared" si="9"/>
        <v>0</v>
      </c>
      <c r="V32" s="156">
        <v>3</v>
      </c>
      <c r="W32" s="168">
        <f>+AVERAGE(F32,I32,O32)</f>
        <v>931524</v>
      </c>
      <c r="X32" s="168">
        <f>+_xlfn.STDEV.P(F32,I32,O32)</f>
        <v>680760.47627536859</v>
      </c>
      <c r="Y32" s="167">
        <f t="shared" si="16"/>
        <v>0.73080293827681153</v>
      </c>
      <c r="Z32" s="169">
        <f t="shared" si="17"/>
        <v>250763.52372463141</v>
      </c>
      <c r="AA32" s="157">
        <f t="shared" si="10"/>
        <v>1612284.4762753686</v>
      </c>
      <c r="AB32" s="147" t="str">
        <f t="shared" si="11"/>
        <v>Cumple</v>
      </c>
      <c r="AC32" s="147" t="str">
        <f t="shared" si="12"/>
        <v>No cumple</v>
      </c>
      <c r="AD32" s="147" t="str">
        <f t="shared" si="13"/>
        <v>Cumple</v>
      </c>
      <c r="AE32" s="147" t="str">
        <f t="shared" si="14"/>
        <v>Cumple</v>
      </c>
      <c r="AF32" s="147" t="str">
        <f t="shared" si="15"/>
        <v>Cumple</v>
      </c>
    </row>
    <row r="33" spans="1:32" ht="13.5" customHeight="1">
      <c r="A33" s="143">
        <v>27</v>
      </c>
      <c r="B33" s="138" t="s">
        <v>111</v>
      </c>
      <c r="C33" s="139">
        <v>1</v>
      </c>
      <c r="D33" s="144" t="s">
        <v>61</v>
      </c>
      <c r="E33" s="145">
        <v>0.19</v>
      </c>
      <c r="F33" s="176">
        <v>291097</v>
      </c>
      <c r="G33" s="176">
        <f t="shared" si="3"/>
        <v>346405</v>
      </c>
      <c r="H33" s="177">
        <f t="shared" si="4"/>
        <v>346405</v>
      </c>
      <c r="I33" s="176">
        <v>316424</v>
      </c>
      <c r="J33" s="176">
        <f t="shared" si="0"/>
        <v>376545</v>
      </c>
      <c r="K33" s="177">
        <f t="shared" si="5"/>
        <v>376545</v>
      </c>
      <c r="L33" s="176">
        <v>0</v>
      </c>
      <c r="M33" s="176">
        <f t="shared" si="6"/>
        <v>0</v>
      </c>
      <c r="N33" s="177">
        <f t="shared" si="7"/>
        <v>0</v>
      </c>
      <c r="O33" s="176">
        <v>520000</v>
      </c>
      <c r="P33" s="176">
        <f t="shared" si="22"/>
        <v>618800</v>
      </c>
      <c r="Q33" s="177">
        <f t="shared" si="8"/>
        <v>618800</v>
      </c>
      <c r="R33" s="176">
        <v>0</v>
      </c>
      <c r="S33" s="176">
        <f t="shared" si="2"/>
        <v>0</v>
      </c>
      <c r="T33" s="177">
        <f t="shared" si="9"/>
        <v>0</v>
      </c>
      <c r="V33" s="156">
        <v>3</v>
      </c>
      <c r="W33" s="168">
        <f>+AVERAGE(F33,I33,O33)</f>
        <v>375840.33333333331</v>
      </c>
      <c r="X33" s="168">
        <f>+_xlfn.STDEV.P(F33,I33,P33)</f>
        <v>148870.54723782299</v>
      </c>
      <c r="Y33" s="167">
        <f t="shared" si="16"/>
        <v>0.39610050873861241</v>
      </c>
      <c r="Z33" s="169">
        <f t="shared" si="17"/>
        <v>226969.78609551032</v>
      </c>
      <c r="AA33" s="157">
        <f t="shared" si="10"/>
        <v>524710.88057115627</v>
      </c>
      <c r="AB33" s="147" t="str">
        <f t="shared" si="11"/>
        <v>Cumple</v>
      </c>
      <c r="AC33" s="147" t="str">
        <f t="shared" si="12"/>
        <v>Cumple</v>
      </c>
      <c r="AD33" s="147" t="str">
        <f t="shared" si="13"/>
        <v>Cumple</v>
      </c>
      <c r="AE33" s="147" t="str">
        <f t="shared" si="14"/>
        <v>Cumple</v>
      </c>
      <c r="AF33" s="147" t="str">
        <f t="shared" si="15"/>
        <v>Cumple</v>
      </c>
    </row>
    <row r="34" spans="1:32" ht="13.5" customHeight="1">
      <c r="A34" s="143">
        <v>28</v>
      </c>
      <c r="B34" s="138" t="s">
        <v>112</v>
      </c>
      <c r="C34" s="139">
        <v>1</v>
      </c>
      <c r="D34" s="144" t="s">
        <v>61</v>
      </c>
      <c r="E34" s="145">
        <v>0.19</v>
      </c>
      <c r="F34" s="176">
        <v>1761897</v>
      </c>
      <c r="G34" s="176">
        <f t="shared" si="3"/>
        <v>2096657</v>
      </c>
      <c r="H34" s="177">
        <f t="shared" si="4"/>
        <v>2096657</v>
      </c>
      <c r="I34" s="176">
        <v>1971508</v>
      </c>
      <c r="J34" s="176">
        <f t="shared" si="0"/>
        <v>2346095</v>
      </c>
      <c r="K34" s="177">
        <f t="shared" si="5"/>
        <v>2346095</v>
      </c>
      <c r="L34" s="176">
        <v>0</v>
      </c>
      <c r="M34" s="176">
        <f t="shared" si="6"/>
        <v>0</v>
      </c>
      <c r="N34" s="177">
        <f t="shared" si="7"/>
        <v>0</v>
      </c>
      <c r="O34" s="176"/>
      <c r="P34" s="176">
        <f t="shared" si="22"/>
        <v>0</v>
      </c>
      <c r="Q34" s="177">
        <f t="shared" si="8"/>
        <v>0</v>
      </c>
      <c r="R34" s="176">
        <v>0</v>
      </c>
      <c r="S34" s="176">
        <f t="shared" si="2"/>
        <v>0</v>
      </c>
      <c r="T34" s="177">
        <f t="shared" si="9"/>
        <v>0</v>
      </c>
      <c r="V34" s="156">
        <v>2</v>
      </c>
      <c r="W34" s="168">
        <f>+AVERAGE(F34,I34)</f>
        <v>1866702.5</v>
      </c>
      <c r="X34" s="168">
        <f>+_xlfn.STDEV.P(F34,I34)</f>
        <v>104805.5</v>
      </c>
      <c r="Y34" s="167">
        <f t="shared" si="16"/>
        <v>5.6144725793210219E-2</v>
      </c>
      <c r="Z34" s="169">
        <f t="shared" si="17"/>
        <v>1761897</v>
      </c>
      <c r="AA34" s="157">
        <f t="shared" si="10"/>
        <v>1971508</v>
      </c>
      <c r="AB34" s="147" t="str">
        <f t="shared" si="11"/>
        <v>Cumple</v>
      </c>
      <c r="AC34" s="147" t="str">
        <f t="shared" si="12"/>
        <v>Cumple</v>
      </c>
      <c r="AD34" s="147" t="str">
        <f t="shared" si="13"/>
        <v>Cumple</v>
      </c>
      <c r="AE34" s="147" t="str">
        <f t="shared" si="14"/>
        <v>Cumple</v>
      </c>
      <c r="AF34" s="147" t="str">
        <f t="shared" si="15"/>
        <v>Cumple</v>
      </c>
    </row>
    <row r="35" spans="1:32" ht="13.5" customHeight="1">
      <c r="A35" s="143">
        <v>29</v>
      </c>
      <c r="B35" s="138" t="s">
        <v>113</v>
      </c>
      <c r="C35" s="139">
        <v>1</v>
      </c>
      <c r="D35" s="144" t="s">
        <v>61</v>
      </c>
      <c r="E35" s="145">
        <v>0.19</v>
      </c>
      <c r="F35" s="176">
        <v>2317572</v>
      </c>
      <c r="G35" s="176">
        <f t="shared" si="3"/>
        <v>2757911</v>
      </c>
      <c r="H35" s="177">
        <f t="shared" si="4"/>
        <v>2757911</v>
      </c>
      <c r="I35" s="176">
        <v>1739222</v>
      </c>
      <c r="J35" s="176">
        <f t="shared" si="0"/>
        <v>2069674</v>
      </c>
      <c r="K35" s="177">
        <f t="shared" si="5"/>
        <v>2069674</v>
      </c>
      <c r="L35" s="176">
        <v>0</v>
      </c>
      <c r="M35" s="176">
        <f t="shared" si="6"/>
        <v>0</v>
      </c>
      <c r="N35" s="177">
        <f t="shared" si="7"/>
        <v>0</v>
      </c>
      <c r="O35" s="176"/>
      <c r="P35" s="176">
        <f t="shared" si="22"/>
        <v>0</v>
      </c>
      <c r="Q35" s="177">
        <f t="shared" si="8"/>
        <v>0</v>
      </c>
      <c r="R35" s="176">
        <v>0</v>
      </c>
      <c r="S35" s="176">
        <f t="shared" si="2"/>
        <v>0</v>
      </c>
      <c r="T35" s="177">
        <f t="shared" si="9"/>
        <v>0</v>
      </c>
      <c r="V35" s="156">
        <v>2</v>
      </c>
      <c r="W35" s="168">
        <f>+AVERAGE(F35,I35)</f>
        <v>2028397</v>
      </c>
      <c r="X35" s="168">
        <f>+_xlfn.STDEV.P(F35,I35)</f>
        <v>289175</v>
      </c>
      <c r="Y35" s="167">
        <f t="shared" si="16"/>
        <v>0.14256331477516482</v>
      </c>
      <c r="Z35" s="169">
        <f t="shared" si="17"/>
        <v>1739222</v>
      </c>
      <c r="AA35" s="157">
        <f t="shared" si="10"/>
        <v>2317572</v>
      </c>
      <c r="AB35" s="147" t="str">
        <f t="shared" si="11"/>
        <v>Cumple</v>
      </c>
      <c r="AC35" s="147" t="str">
        <f t="shared" si="12"/>
        <v>Cumple</v>
      </c>
      <c r="AD35" s="147" t="str">
        <f t="shared" si="13"/>
        <v>Cumple</v>
      </c>
      <c r="AE35" s="147" t="str">
        <f t="shared" si="14"/>
        <v>Cumple</v>
      </c>
      <c r="AF35" s="147" t="str">
        <f t="shared" si="15"/>
        <v>Cumple</v>
      </c>
    </row>
    <row r="36" spans="1:32" ht="13.5" customHeight="1">
      <c r="A36" s="143">
        <v>30</v>
      </c>
      <c r="B36" s="138" t="s">
        <v>114</v>
      </c>
      <c r="C36" s="139">
        <v>1</v>
      </c>
      <c r="D36" s="144" t="s">
        <v>61</v>
      </c>
      <c r="E36" s="145">
        <v>0.19</v>
      </c>
      <c r="F36" s="176">
        <v>999493</v>
      </c>
      <c r="G36" s="176">
        <f t="shared" si="3"/>
        <v>1189397</v>
      </c>
      <c r="H36" s="177">
        <f t="shared" si="4"/>
        <v>1189397</v>
      </c>
      <c r="I36" s="176">
        <v>1046582</v>
      </c>
      <c r="J36" s="176">
        <f t="shared" si="0"/>
        <v>1245433</v>
      </c>
      <c r="K36" s="177">
        <f t="shared" si="5"/>
        <v>1245433</v>
      </c>
      <c r="L36" s="176">
        <v>0</v>
      </c>
      <c r="M36" s="176">
        <f t="shared" si="6"/>
        <v>0</v>
      </c>
      <c r="N36" s="177">
        <f t="shared" si="7"/>
        <v>0</v>
      </c>
      <c r="O36" s="176"/>
      <c r="P36" s="176">
        <f t="shared" si="22"/>
        <v>0</v>
      </c>
      <c r="Q36" s="177">
        <f t="shared" si="8"/>
        <v>0</v>
      </c>
      <c r="R36" s="176">
        <v>0</v>
      </c>
      <c r="S36" s="176">
        <f t="shared" si="2"/>
        <v>0</v>
      </c>
      <c r="T36" s="177">
        <f t="shared" si="9"/>
        <v>0</v>
      </c>
      <c r="V36" s="156">
        <v>2</v>
      </c>
      <c r="W36" s="168">
        <f>+AVERAGE(F36,I36)</f>
        <v>1023037.5</v>
      </c>
      <c r="X36" s="168">
        <f>+_xlfn.STDEV.P(F36,I36)</f>
        <v>23544.5</v>
      </c>
      <c r="Y36" s="167">
        <f t="shared" si="16"/>
        <v>2.3014307882164631E-2</v>
      </c>
      <c r="Z36" s="169">
        <f t="shared" si="17"/>
        <v>999493</v>
      </c>
      <c r="AA36" s="157">
        <f t="shared" si="10"/>
        <v>1046582</v>
      </c>
      <c r="AB36" s="147" t="str">
        <f t="shared" si="11"/>
        <v>Cumple</v>
      </c>
      <c r="AC36" s="147" t="str">
        <f t="shared" si="12"/>
        <v>Cumple</v>
      </c>
      <c r="AD36" s="147" t="str">
        <f t="shared" si="13"/>
        <v>Cumple</v>
      </c>
      <c r="AE36" s="147" t="str">
        <f t="shared" si="14"/>
        <v>Cumple</v>
      </c>
      <c r="AF36" s="147" t="str">
        <f t="shared" si="15"/>
        <v>Cumple</v>
      </c>
    </row>
    <row r="37" spans="1:32" ht="13.5" customHeight="1">
      <c r="A37" s="143">
        <v>31</v>
      </c>
      <c r="B37" s="175" t="s">
        <v>115</v>
      </c>
      <c r="C37" s="139">
        <v>1</v>
      </c>
      <c r="D37" s="144" t="s">
        <v>61</v>
      </c>
      <c r="E37" s="145">
        <v>0.19</v>
      </c>
      <c r="F37" s="176">
        <v>744811</v>
      </c>
      <c r="G37" s="176">
        <f t="shared" si="3"/>
        <v>886325</v>
      </c>
      <c r="H37" s="177">
        <f t="shared" si="4"/>
        <v>886325</v>
      </c>
      <c r="I37" s="176">
        <v>1820400</v>
      </c>
      <c r="J37" s="176">
        <f t="shared" si="0"/>
        <v>2166276</v>
      </c>
      <c r="K37" s="177">
        <f t="shared" si="5"/>
        <v>2166276</v>
      </c>
      <c r="L37" s="176">
        <v>0</v>
      </c>
      <c r="M37" s="176">
        <f t="shared" si="6"/>
        <v>0</v>
      </c>
      <c r="N37" s="177">
        <f t="shared" si="7"/>
        <v>0</v>
      </c>
      <c r="O37" s="176"/>
      <c r="P37" s="176">
        <f t="shared" si="22"/>
        <v>0</v>
      </c>
      <c r="Q37" s="177">
        <f t="shared" si="8"/>
        <v>0</v>
      </c>
      <c r="R37" s="176">
        <v>0</v>
      </c>
      <c r="S37" s="176">
        <f t="shared" si="2"/>
        <v>0</v>
      </c>
      <c r="T37" s="177">
        <f t="shared" si="9"/>
        <v>0</v>
      </c>
      <c r="V37" s="156">
        <v>2</v>
      </c>
      <c r="W37" s="168">
        <f>+AVERAGE(F37,I37)</f>
        <v>1282605.5</v>
      </c>
      <c r="X37" s="168">
        <f>+_xlfn.STDEV.P(F37,I37)</f>
        <v>537794.5</v>
      </c>
      <c r="Y37" s="167">
        <f t="shared" si="16"/>
        <v>0.41929845147241301</v>
      </c>
      <c r="Z37" s="169">
        <f t="shared" si="17"/>
        <v>744811</v>
      </c>
      <c r="AA37" s="157">
        <f t="shared" si="10"/>
        <v>1820400</v>
      </c>
      <c r="AB37" s="147" t="str">
        <f t="shared" si="11"/>
        <v>Cumple</v>
      </c>
      <c r="AC37" s="147" t="str">
        <f t="shared" si="12"/>
        <v>Cumple</v>
      </c>
      <c r="AD37" s="147" t="str">
        <f t="shared" si="13"/>
        <v>Cumple</v>
      </c>
      <c r="AE37" s="147" t="str">
        <f t="shared" si="14"/>
        <v>Cumple</v>
      </c>
      <c r="AF37" s="147" t="str">
        <f t="shared" si="15"/>
        <v>Cumple</v>
      </c>
    </row>
    <row r="38" spans="1:32" ht="13.5" customHeight="1">
      <c r="A38" s="143">
        <v>32</v>
      </c>
      <c r="B38" s="138" t="s">
        <v>116</v>
      </c>
      <c r="C38" s="139">
        <v>1</v>
      </c>
      <c r="D38" s="144" t="s">
        <v>61</v>
      </c>
      <c r="E38" s="145">
        <v>0.19</v>
      </c>
      <c r="F38" s="176">
        <v>775845</v>
      </c>
      <c r="G38" s="176">
        <f t="shared" si="3"/>
        <v>923256</v>
      </c>
      <c r="H38" s="177">
        <f t="shared" si="4"/>
        <v>923256</v>
      </c>
      <c r="I38" s="176">
        <v>946000</v>
      </c>
      <c r="J38" s="176">
        <f t="shared" si="0"/>
        <v>1125740</v>
      </c>
      <c r="K38" s="177">
        <f t="shared" si="5"/>
        <v>1125740</v>
      </c>
      <c r="L38" s="176">
        <v>0</v>
      </c>
      <c r="M38" s="176">
        <f t="shared" si="6"/>
        <v>0</v>
      </c>
      <c r="N38" s="177">
        <f t="shared" si="7"/>
        <v>0</v>
      </c>
      <c r="O38" s="176"/>
      <c r="P38" s="176">
        <f t="shared" si="22"/>
        <v>0</v>
      </c>
      <c r="Q38" s="177">
        <f t="shared" si="8"/>
        <v>0</v>
      </c>
      <c r="R38" s="176">
        <v>0</v>
      </c>
      <c r="S38" s="176">
        <f t="shared" si="2"/>
        <v>0</v>
      </c>
      <c r="T38" s="177">
        <f t="shared" si="9"/>
        <v>0</v>
      </c>
      <c r="V38" s="156">
        <v>2</v>
      </c>
      <c r="W38" s="168">
        <f>+AVERAGE(F38,I38)</f>
        <v>860922.5</v>
      </c>
      <c r="X38" s="168">
        <f>+_xlfn.STDEV.P(F38,I38)</f>
        <v>85077.5</v>
      </c>
      <c r="Y38" s="167">
        <f t="shared" si="16"/>
        <v>9.8821322476761841E-2</v>
      </c>
      <c r="Z38" s="169">
        <f t="shared" si="17"/>
        <v>775845</v>
      </c>
      <c r="AA38" s="157">
        <f t="shared" si="10"/>
        <v>946000</v>
      </c>
      <c r="AB38" s="147" t="str">
        <f t="shared" si="11"/>
        <v>Cumple</v>
      </c>
      <c r="AC38" s="147" t="str">
        <f t="shared" si="12"/>
        <v>Cumple</v>
      </c>
      <c r="AD38" s="147" t="str">
        <f t="shared" si="13"/>
        <v>Cumple</v>
      </c>
      <c r="AE38" s="147" t="str">
        <f t="shared" si="14"/>
        <v>Cumple</v>
      </c>
      <c r="AF38" s="147" t="str">
        <f t="shared" si="15"/>
        <v>Cumple</v>
      </c>
    </row>
    <row r="39" spans="1:32" ht="14.25" thickBot="1">
      <c r="A39" s="377" t="s">
        <v>53</v>
      </c>
      <c r="B39" s="378"/>
      <c r="C39" s="158">
        <f>SUM(C7:C38)</f>
        <v>171</v>
      </c>
      <c r="D39" s="159"/>
      <c r="E39" s="159"/>
      <c r="F39" s="379">
        <f>SUM(H7:H38)</f>
        <v>192332893</v>
      </c>
      <c r="G39" s="380"/>
      <c r="H39" s="381"/>
      <c r="I39" s="379">
        <f>SUM(K7:K38)</f>
        <v>215288218</v>
      </c>
      <c r="J39" s="380"/>
      <c r="K39" s="381"/>
      <c r="L39" s="379">
        <f>SUM(N7:N38)</f>
        <v>54992494</v>
      </c>
      <c r="M39" s="380"/>
      <c r="N39" s="381"/>
      <c r="O39" s="379">
        <f>SUM(Q7:Q38)</f>
        <v>176966090</v>
      </c>
      <c r="P39" s="380"/>
      <c r="Q39" s="381"/>
      <c r="R39" s="379"/>
      <c r="S39" s="380"/>
      <c r="T39" s="381"/>
    </row>
    <row r="51" spans="3:6">
      <c r="C51" s="371"/>
      <c r="D51" s="371"/>
      <c r="E51" s="371"/>
      <c r="F51" s="371"/>
    </row>
    <row r="52" spans="3:6">
      <c r="C52" s="161"/>
      <c r="D52" s="161"/>
      <c r="E52" s="161"/>
      <c r="F52" s="163"/>
    </row>
    <row r="53" spans="3:6">
      <c r="C53" s="164"/>
      <c r="D53" s="371"/>
      <c r="E53" s="371"/>
      <c r="F53" s="371"/>
    </row>
  </sheetData>
  <autoFilter ref="A6:AG39" xr:uid="{93DC31AD-A663-4A43-9089-A5D5BA71E4CC}"/>
  <mergeCells count="15">
    <mergeCell ref="I5:K5"/>
    <mergeCell ref="R5:T5"/>
    <mergeCell ref="A39:B39"/>
    <mergeCell ref="F39:H39"/>
    <mergeCell ref="I39:K39"/>
    <mergeCell ref="R39:T39"/>
    <mergeCell ref="L5:N5"/>
    <mergeCell ref="L39:N39"/>
    <mergeCell ref="O5:Q5"/>
    <mergeCell ref="O39:Q39"/>
    <mergeCell ref="C51:F51"/>
    <mergeCell ref="D53:F53"/>
    <mergeCell ref="A3:D3"/>
    <mergeCell ref="A5:D5"/>
    <mergeCell ref="F5:H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387F9-3A33-4BDE-AB87-09BC428FA087}">
  <dimension ref="A5:AR39"/>
  <sheetViews>
    <sheetView zoomScale="110" zoomScaleNormal="110" workbookViewId="0">
      <selection activeCell="D6" sqref="D6"/>
    </sheetView>
  </sheetViews>
  <sheetFormatPr baseColWidth="10" defaultColWidth="11.42578125" defaultRowHeight="12.75"/>
  <cols>
    <col min="1" max="1" width="4.140625" style="224" customWidth="1"/>
    <col min="2" max="2" width="50.140625" style="223" customWidth="1"/>
    <col min="3" max="3" width="6.5703125" style="224" customWidth="1"/>
    <col min="4" max="4" width="9" style="224" customWidth="1"/>
    <col min="5" max="5" width="7" style="225" customWidth="1"/>
    <col min="6" max="8" width="13" style="227" bestFit="1" customWidth="1"/>
    <col min="9" max="10" width="12.140625" style="227" bestFit="1" customWidth="1"/>
    <col min="11" max="11" width="13.85546875" style="227" bestFit="1" customWidth="1"/>
    <col min="12" max="13" width="10.85546875"/>
    <col min="14" max="14" width="11.42578125" style="227" bestFit="1" customWidth="1"/>
    <col min="15" max="15" width="11.42578125" style="227"/>
    <col min="16" max="18" width="10.85546875"/>
    <col min="19" max="19" width="12.140625" style="227" bestFit="1" customWidth="1"/>
    <col min="20" max="20" width="13" style="227" bestFit="1" customWidth="1"/>
    <col min="21" max="21" width="11.42578125" style="227"/>
    <col min="22" max="34" width="10.85546875"/>
    <col min="35" max="35" width="11.42578125" style="227" bestFit="1" customWidth="1"/>
    <col min="36" max="44" width="11.42578125" style="227"/>
    <col min="45" max="16384" width="11.42578125" style="223"/>
  </cols>
  <sheetData>
    <row r="5" spans="1:11" ht="23.25" customHeight="1">
      <c r="A5" s="387" t="s">
        <v>5</v>
      </c>
      <c r="B5" s="387"/>
      <c r="C5" s="387"/>
      <c r="D5" s="387"/>
      <c r="E5" s="387"/>
      <c r="F5" s="386" t="s">
        <v>11</v>
      </c>
      <c r="G5" s="386"/>
      <c r="H5" s="386"/>
      <c r="I5" s="385" t="s">
        <v>12</v>
      </c>
      <c r="J5" s="385"/>
      <c r="K5" s="385"/>
    </row>
    <row r="6" spans="1:11" s="226" customFormat="1" ht="44.25" customHeight="1">
      <c r="A6" s="234" t="s">
        <v>22</v>
      </c>
      <c r="B6" s="234" t="s">
        <v>23</v>
      </c>
      <c r="C6" s="234" t="s">
        <v>82</v>
      </c>
      <c r="D6" s="234" t="s">
        <v>56</v>
      </c>
      <c r="E6" s="235" t="s">
        <v>25</v>
      </c>
      <c r="F6" s="233" t="s">
        <v>31</v>
      </c>
      <c r="G6" s="233" t="s">
        <v>41</v>
      </c>
      <c r="H6" s="233" t="s">
        <v>42</v>
      </c>
      <c r="I6" s="232" t="s">
        <v>47</v>
      </c>
      <c r="J6" s="232" t="s">
        <v>35</v>
      </c>
      <c r="K6" s="232" t="s">
        <v>36</v>
      </c>
    </row>
    <row r="7" spans="1:11">
      <c r="A7" s="228">
        <v>1</v>
      </c>
      <c r="B7" s="230" t="s">
        <v>84</v>
      </c>
      <c r="C7" s="228">
        <v>4</v>
      </c>
      <c r="D7" s="228" t="s">
        <v>61</v>
      </c>
      <c r="E7" s="229">
        <v>0.19</v>
      </c>
      <c r="F7" s="231">
        <v>1006400</v>
      </c>
      <c r="G7" s="231">
        <v>1088583</v>
      </c>
      <c r="H7" s="231">
        <v>1072388</v>
      </c>
      <c r="I7" s="231">
        <v>1036034</v>
      </c>
      <c r="J7" s="231">
        <v>1232880</v>
      </c>
      <c r="K7" s="231">
        <v>4931520</v>
      </c>
    </row>
    <row r="8" spans="1:11" ht="22.5">
      <c r="A8" s="228">
        <v>2</v>
      </c>
      <c r="B8" s="230" t="s">
        <v>85</v>
      </c>
      <c r="C8" s="228">
        <v>9</v>
      </c>
      <c r="D8" s="228" t="s">
        <v>61</v>
      </c>
      <c r="E8" s="229">
        <v>0.19</v>
      </c>
      <c r="F8" s="231">
        <v>1319724</v>
      </c>
      <c r="G8" s="231">
        <v>1295693</v>
      </c>
      <c r="H8" s="231">
        <v>1158052</v>
      </c>
      <c r="I8" s="231">
        <v>1217915</v>
      </c>
      <c r="J8" s="231">
        <v>1449319</v>
      </c>
      <c r="K8" s="231">
        <v>13043871</v>
      </c>
    </row>
    <row r="9" spans="1:11" ht="22.5">
      <c r="A9" s="228">
        <v>3</v>
      </c>
      <c r="B9" s="230" t="s">
        <v>86</v>
      </c>
      <c r="C9" s="228">
        <v>1</v>
      </c>
      <c r="D9" s="228" t="s">
        <v>61</v>
      </c>
      <c r="E9" s="229">
        <v>0.19</v>
      </c>
      <c r="F9" s="231">
        <v>510274</v>
      </c>
      <c r="G9" s="231">
        <v>501713</v>
      </c>
      <c r="H9" s="231">
        <v>497952</v>
      </c>
      <c r="I9" s="231">
        <v>501169</v>
      </c>
      <c r="J9" s="231">
        <v>596391</v>
      </c>
      <c r="K9" s="231">
        <v>596391</v>
      </c>
    </row>
    <row r="10" spans="1:11" ht="22.5">
      <c r="A10" s="228">
        <v>4</v>
      </c>
      <c r="B10" s="230" t="s">
        <v>87</v>
      </c>
      <c r="C10" s="228">
        <v>1</v>
      </c>
      <c r="D10" s="228" t="s">
        <v>61</v>
      </c>
      <c r="E10" s="229">
        <v>0.19</v>
      </c>
      <c r="F10" s="231">
        <v>560480</v>
      </c>
      <c r="G10" s="231">
        <v>543218</v>
      </c>
      <c r="H10" s="231">
        <v>540965</v>
      </c>
      <c r="I10" s="231">
        <v>545319</v>
      </c>
      <c r="J10" s="231">
        <v>648930</v>
      </c>
      <c r="K10" s="231">
        <v>648930</v>
      </c>
    </row>
    <row r="11" spans="1:11">
      <c r="A11" s="228">
        <v>5</v>
      </c>
      <c r="B11" s="230" t="s">
        <v>88</v>
      </c>
      <c r="C11" s="228">
        <v>1</v>
      </c>
      <c r="D11" s="228" t="s">
        <v>61</v>
      </c>
      <c r="E11" s="229">
        <v>0.19</v>
      </c>
      <c r="F11" s="231">
        <v>510356</v>
      </c>
      <c r="G11" s="231">
        <v>477365</v>
      </c>
      <c r="H11" s="231">
        <v>472646</v>
      </c>
      <c r="I11" s="231">
        <v>481132</v>
      </c>
      <c r="J11" s="231">
        <v>572547</v>
      </c>
      <c r="K11" s="231">
        <v>572547</v>
      </c>
    </row>
    <row r="12" spans="1:11">
      <c r="A12" s="228">
        <v>6</v>
      </c>
      <c r="B12" s="230" t="s">
        <v>89</v>
      </c>
      <c r="C12" s="228">
        <v>4</v>
      </c>
      <c r="D12" s="228" t="s">
        <v>61</v>
      </c>
      <c r="E12" s="229">
        <v>0.19</v>
      </c>
      <c r="F12" s="231">
        <v>769452</v>
      </c>
      <c r="G12" s="231">
        <v>761171</v>
      </c>
      <c r="H12" s="231">
        <v>760686</v>
      </c>
      <c r="I12" s="231">
        <v>762536</v>
      </c>
      <c r="J12" s="231">
        <v>907418</v>
      </c>
      <c r="K12" s="231">
        <v>3629672</v>
      </c>
    </row>
    <row r="13" spans="1:11" ht="22.5">
      <c r="A13" s="228">
        <v>7</v>
      </c>
      <c r="B13" s="230" t="s">
        <v>90</v>
      </c>
      <c r="C13" s="228">
        <v>2</v>
      </c>
      <c r="D13" s="228" t="s">
        <v>61</v>
      </c>
      <c r="E13" s="229">
        <v>0.19</v>
      </c>
      <c r="F13" s="231">
        <v>436718</v>
      </c>
      <c r="G13" s="231">
        <v>426828</v>
      </c>
      <c r="H13" s="231">
        <v>426453</v>
      </c>
      <c r="I13" s="231">
        <v>428581</v>
      </c>
      <c r="J13" s="231">
        <v>510011</v>
      </c>
      <c r="K13" s="231">
        <v>1020022</v>
      </c>
    </row>
    <row r="14" spans="1:11">
      <c r="A14" s="228">
        <v>8</v>
      </c>
      <c r="B14" s="230" t="s">
        <v>91</v>
      </c>
      <c r="C14" s="228">
        <v>1</v>
      </c>
      <c r="D14" s="228" t="s">
        <v>61</v>
      </c>
      <c r="E14" s="229">
        <v>0.19</v>
      </c>
      <c r="F14" s="231">
        <v>565561</v>
      </c>
      <c r="G14" s="231">
        <v>562196</v>
      </c>
      <c r="H14" s="231">
        <v>561930</v>
      </c>
      <c r="I14" s="231">
        <v>562709</v>
      </c>
      <c r="J14" s="231">
        <v>669624</v>
      </c>
      <c r="K14" s="231">
        <v>669624</v>
      </c>
    </row>
    <row r="15" spans="1:11">
      <c r="A15" s="228">
        <v>9</v>
      </c>
      <c r="B15" s="230" t="s">
        <v>92</v>
      </c>
      <c r="C15" s="228">
        <v>1</v>
      </c>
      <c r="D15" s="228" t="s">
        <v>61</v>
      </c>
      <c r="E15" s="229">
        <v>0.19</v>
      </c>
      <c r="F15" s="231">
        <v>565561</v>
      </c>
      <c r="G15" s="231">
        <v>560008</v>
      </c>
      <c r="H15" s="231">
        <v>559809</v>
      </c>
      <c r="I15" s="231">
        <v>560999</v>
      </c>
      <c r="J15" s="231">
        <v>667589</v>
      </c>
      <c r="K15" s="231">
        <v>667589</v>
      </c>
    </row>
    <row r="16" spans="1:11">
      <c r="A16" s="228">
        <v>10</v>
      </c>
      <c r="B16" s="230" t="s">
        <v>93</v>
      </c>
      <c r="C16" s="228">
        <v>1</v>
      </c>
      <c r="D16" s="228" t="s">
        <v>61</v>
      </c>
      <c r="E16" s="229">
        <v>0.19</v>
      </c>
      <c r="F16" s="231">
        <v>565542</v>
      </c>
      <c r="G16" s="231">
        <v>560002</v>
      </c>
      <c r="H16" s="231">
        <v>559803</v>
      </c>
      <c r="I16" s="231">
        <v>560991</v>
      </c>
      <c r="J16" s="231">
        <v>667579</v>
      </c>
      <c r="K16" s="231">
        <v>667579</v>
      </c>
    </row>
    <row r="17" spans="1:11">
      <c r="A17" s="228">
        <v>11</v>
      </c>
      <c r="B17" s="230" t="s">
        <v>95</v>
      </c>
      <c r="C17" s="228">
        <v>6</v>
      </c>
      <c r="D17" s="228" t="s">
        <v>61</v>
      </c>
      <c r="E17" s="229">
        <v>0.19</v>
      </c>
      <c r="F17" s="231">
        <v>1201346</v>
      </c>
      <c r="G17" s="231">
        <v>1144002</v>
      </c>
      <c r="H17" s="231">
        <v>1136727</v>
      </c>
      <c r="I17" s="231">
        <v>1151106</v>
      </c>
      <c r="J17" s="231">
        <v>1369816</v>
      </c>
      <c r="K17" s="231">
        <v>8218896</v>
      </c>
    </row>
    <row r="18" spans="1:11">
      <c r="A18" s="228">
        <v>12</v>
      </c>
      <c r="B18" s="230" t="s">
        <v>96</v>
      </c>
      <c r="C18" s="228">
        <v>16</v>
      </c>
      <c r="D18" s="228" t="s">
        <v>61</v>
      </c>
      <c r="E18" s="229">
        <v>0.19</v>
      </c>
      <c r="F18" s="231">
        <v>670000</v>
      </c>
      <c r="G18" s="231">
        <v>596180</v>
      </c>
      <c r="H18" s="231">
        <v>583125</v>
      </c>
      <c r="I18" s="231">
        <v>603111</v>
      </c>
      <c r="J18" s="231">
        <v>717702</v>
      </c>
      <c r="K18" s="231">
        <v>11483232</v>
      </c>
    </row>
    <row r="19" spans="1:11">
      <c r="A19" s="228">
        <v>13</v>
      </c>
      <c r="B19" s="230" t="s">
        <v>97</v>
      </c>
      <c r="C19" s="228">
        <v>5</v>
      </c>
      <c r="D19" s="228" t="s">
        <v>61</v>
      </c>
      <c r="E19" s="229">
        <v>0.19</v>
      </c>
      <c r="F19" s="231">
        <v>665000</v>
      </c>
      <c r="G19" s="231">
        <v>475523</v>
      </c>
      <c r="H19" s="231">
        <v>357283</v>
      </c>
      <c r="I19" s="231">
        <v>442474</v>
      </c>
      <c r="J19" s="231">
        <v>526544</v>
      </c>
      <c r="K19" s="231">
        <v>2632720</v>
      </c>
    </row>
    <row r="20" spans="1:11">
      <c r="A20" s="228">
        <v>14</v>
      </c>
      <c r="B20" s="230" t="s">
        <v>98</v>
      </c>
      <c r="C20" s="228">
        <v>4</v>
      </c>
      <c r="D20" s="228" t="s">
        <v>61</v>
      </c>
      <c r="E20" s="229">
        <v>0.19</v>
      </c>
      <c r="F20" s="231">
        <v>278998</v>
      </c>
      <c r="G20" s="231">
        <v>251531</v>
      </c>
      <c r="H20" s="231">
        <v>245464</v>
      </c>
      <c r="I20" s="231">
        <v>253384</v>
      </c>
      <c r="J20" s="231">
        <v>301527</v>
      </c>
      <c r="K20" s="231">
        <v>1206108</v>
      </c>
    </row>
    <row r="21" spans="1:11">
      <c r="A21" s="228">
        <v>15</v>
      </c>
      <c r="B21" s="230" t="s">
        <v>99</v>
      </c>
      <c r="C21" s="228">
        <v>4</v>
      </c>
      <c r="D21" s="228" t="s">
        <v>61</v>
      </c>
      <c r="E21" s="229">
        <v>0.19</v>
      </c>
      <c r="F21" s="231">
        <v>273389</v>
      </c>
      <c r="G21" s="231">
        <v>262469</v>
      </c>
      <c r="H21" s="231">
        <v>252983</v>
      </c>
      <c r="I21" s="231">
        <v>258961</v>
      </c>
      <c r="J21" s="231">
        <v>308164</v>
      </c>
      <c r="K21" s="231">
        <v>1232656</v>
      </c>
    </row>
    <row r="22" spans="1:11">
      <c r="A22" s="228">
        <v>16</v>
      </c>
      <c r="B22" s="230" t="s">
        <v>100</v>
      </c>
      <c r="C22" s="228">
        <v>2</v>
      </c>
      <c r="D22" s="228" t="s">
        <v>61</v>
      </c>
      <c r="E22" s="229">
        <v>0.19</v>
      </c>
      <c r="F22" s="231">
        <v>567161</v>
      </c>
      <c r="G22" s="231">
        <v>565882</v>
      </c>
      <c r="H22" s="231">
        <v>564606</v>
      </c>
      <c r="I22" s="231">
        <v>565372</v>
      </c>
      <c r="J22" s="231">
        <v>672793</v>
      </c>
      <c r="K22" s="231">
        <v>1345586</v>
      </c>
    </row>
    <row r="23" spans="1:11" ht="22.5">
      <c r="A23" s="228">
        <v>17</v>
      </c>
      <c r="B23" s="230" t="s">
        <v>101</v>
      </c>
      <c r="C23" s="228">
        <v>3</v>
      </c>
      <c r="D23" s="228" t="s">
        <v>61</v>
      </c>
      <c r="E23" s="229">
        <v>0.19</v>
      </c>
      <c r="F23" s="231">
        <v>560000</v>
      </c>
      <c r="G23" s="231">
        <v>291225</v>
      </c>
      <c r="H23" s="231">
        <v>179397</v>
      </c>
      <c r="I23" s="231">
        <v>277883</v>
      </c>
      <c r="J23" s="231">
        <v>330681</v>
      </c>
      <c r="K23" s="231">
        <v>992043</v>
      </c>
    </row>
    <row r="24" spans="1:11" ht="33.75">
      <c r="A24" s="228">
        <v>18</v>
      </c>
      <c r="B24" s="230" t="s">
        <v>102</v>
      </c>
      <c r="C24" s="228">
        <v>3</v>
      </c>
      <c r="D24" s="228" t="s">
        <v>61</v>
      </c>
      <c r="E24" s="229">
        <v>0.19</v>
      </c>
      <c r="F24" s="231">
        <v>1886347</v>
      </c>
      <c r="G24" s="231">
        <v>1885273</v>
      </c>
      <c r="H24" s="231">
        <v>1884199</v>
      </c>
      <c r="I24" s="231">
        <v>1884843</v>
      </c>
      <c r="J24" s="231">
        <v>2242963</v>
      </c>
      <c r="K24" s="231">
        <v>6728889</v>
      </c>
    </row>
    <row r="25" spans="1:11">
      <c r="A25" s="228">
        <v>19</v>
      </c>
      <c r="B25" s="230" t="s">
        <v>103</v>
      </c>
      <c r="C25" s="228">
        <v>5</v>
      </c>
      <c r="D25" s="228" t="s">
        <v>61</v>
      </c>
      <c r="E25" s="229">
        <v>0.19</v>
      </c>
      <c r="F25" s="231">
        <v>740541</v>
      </c>
      <c r="G25" s="231">
        <v>696149</v>
      </c>
      <c r="H25" s="231">
        <v>654419</v>
      </c>
      <c r="I25" s="231">
        <v>679989</v>
      </c>
      <c r="J25" s="231">
        <v>809187</v>
      </c>
      <c r="K25" s="231">
        <v>4045935</v>
      </c>
    </row>
    <row r="26" spans="1:11">
      <c r="A26" s="228">
        <v>20</v>
      </c>
      <c r="B26" s="230" t="s">
        <v>104</v>
      </c>
      <c r="C26" s="228">
        <v>4</v>
      </c>
      <c r="D26" s="228" t="s">
        <v>61</v>
      </c>
      <c r="E26" s="229">
        <v>0.19</v>
      </c>
      <c r="F26" s="231">
        <v>982000</v>
      </c>
      <c r="G26" s="231">
        <v>1135053</v>
      </c>
      <c r="H26" s="231">
        <v>1074900</v>
      </c>
      <c r="I26" s="231">
        <v>1031191</v>
      </c>
      <c r="J26" s="231">
        <v>1227117</v>
      </c>
      <c r="K26" s="231">
        <v>4908468</v>
      </c>
    </row>
    <row r="27" spans="1:11">
      <c r="A27" s="228">
        <v>21</v>
      </c>
      <c r="B27" s="230" t="s">
        <v>105</v>
      </c>
      <c r="C27" s="228">
        <v>7</v>
      </c>
      <c r="D27" s="228" t="s">
        <v>61</v>
      </c>
      <c r="E27" s="229">
        <v>0.19</v>
      </c>
      <c r="F27" s="231">
        <v>1950000</v>
      </c>
      <c r="G27" s="231">
        <v>1726217</v>
      </c>
      <c r="H27" s="231">
        <v>1595046</v>
      </c>
      <c r="I27" s="231">
        <v>1692271</v>
      </c>
      <c r="J27" s="231">
        <v>2013802</v>
      </c>
      <c r="K27" s="231">
        <v>14096614</v>
      </c>
    </row>
    <row r="28" spans="1:11" ht="22.5">
      <c r="A28" s="228">
        <v>22</v>
      </c>
      <c r="B28" s="230" t="s">
        <v>106</v>
      </c>
      <c r="C28" s="228">
        <v>1</v>
      </c>
      <c r="D28" s="228" t="s">
        <v>61</v>
      </c>
      <c r="E28" s="229">
        <v>0.19</v>
      </c>
      <c r="F28" s="231">
        <v>1704200</v>
      </c>
      <c r="G28" s="231">
        <v>1442870</v>
      </c>
      <c r="H28" s="231">
        <v>1330692</v>
      </c>
      <c r="I28" s="231">
        <v>1427829</v>
      </c>
      <c r="J28" s="231">
        <v>1699117</v>
      </c>
      <c r="K28" s="231">
        <v>1699117</v>
      </c>
    </row>
    <row r="29" spans="1:11">
      <c r="A29" s="228">
        <v>23</v>
      </c>
      <c r="B29" s="230" t="s">
        <v>107</v>
      </c>
      <c r="C29" s="228">
        <v>4</v>
      </c>
      <c r="D29" s="228" t="s">
        <v>61</v>
      </c>
      <c r="E29" s="229">
        <v>0.19</v>
      </c>
      <c r="F29" s="231">
        <v>1905551</v>
      </c>
      <c r="G29" s="231">
        <v>1672817</v>
      </c>
      <c r="H29" s="231">
        <v>1636143</v>
      </c>
      <c r="I29" s="231">
        <v>1697359</v>
      </c>
      <c r="J29" s="231">
        <v>2019857</v>
      </c>
      <c r="K29" s="231">
        <v>8079428</v>
      </c>
    </row>
    <row r="30" spans="1:11">
      <c r="A30" s="228">
        <v>24</v>
      </c>
      <c r="B30" s="230" t="s">
        <v>108</v>
      </c>
      <c r="C30" s="228">
        <v>4</v>
      </c>
      <c r="D30" s="228" t="s">
        <v>61</v>
      </c>
      <c r="E30" s="229">
        <v>0.19</v>
      </c>
      <c r="F30" s="231">
        <v>1185600</v>
      </c>
      <c r="G30" s="231">
        <v>1285256</v>
      </c>
      <c r="H30" s="231">
        <v>1224663</v>
      </c>
      <c r="I30" s="231">
        <v>1213344</v>
      </c>
      <c r="J30" s="231">
        <v>1443879</v>
      </c>
      <c r="K30" s="231">
        <v>5775516</v>
      </c>
    </row>
    <row r="31" spans="1:11" ht="22.5">
      <c r="A31" s="228">
        <v>25</v>
      </c>
      <c r="B31" s="230" t="s">
        <v>109</v>
      </c>
      <c r="C31" s="228">
        <v>1</v>
      </c>
      <c r="D31" s="228" t="s">
        <v>61</v>
      </c>
      <c r="E31" s="229">
        <v>0.19</v>
      </c>
      <c r="F31" s="231">
        <v>248550</v>
      </c>
      <c r="G31" s="231">
        <v>216922</v>
      </c>
      <c r="H31" s="231">
        <v>206636</v>
      </c>
      <c r="I31" s="231">
        <v>217076</v>
      </c>
      <c r="J31" s="231">
        <v>258320</v>
      </c>
      <c r="K31" s="231">
        <v>258320</v>
      </c>
    </row>
    <row r="32" spans="1:11">
      <c r="A32" s="228">
        <v>26</v>
      </c>
      <c r="B32" s="230" t="s">
        <v>110</v>
      </c>
      <c r="C32" s="228">
        <v>1</v>
      </c>
      <c r="D32" s="228" t="s">
        <v>61</v>
      </c>
      <c r="E32" s="229">
        <v>0.19</v>
      </c>
      <c r="F32" s="231">
        <v>456376</v>
      </c>
      <c r="G32" s="231">
        <v>436376</v>
      </c>
      <c r="H32" s="231">
        <v>417252</v>
      </c>
      <c r="I32" s="231">
        <v>428902</v>
      </c>
      <c r="J32" s="231">
        <v>510393</v>
      </c>
      <c r="K32" s="231">
        <v>510393</v>
      </c>
    </row>
    <row r="33" spans="1:35" ht="22.5">
      <c r="A33" s="228">
        <v>27</v>
      </c>
      <c r="B33" s="230" t="s">
        <v>111</v>
      </c>
      <c r="C33" s="228">
        <v>1</v>
      </c>
      <c r="D33" s="228" t="s">
        <v>61</v>
      </c>
      <c r="E33" s="229">
        <v>0.19</v>
      </c>
      <c r="F33" s="231">
        <v>316424</v>
      </c>
      <c r="G33" s="231">
        <v>363165</v>
      </c>
      <c r="H33" s="231">
        <v>352167</v>
      </c>
      <c r="I33" s="231">
        <v>332921</v>
      </c>
      <c r="J33" s="231">
        <v>396176</v>
      </c>
      <c r="K33" s="231">
        <v>396176</v>
      </c>
      <c r="L33" s="223"/>
      <c r="M33" s="223"/>
      <c r="P33" s="223"/>
      <c r="Q33" s="223"/>
      <c r="R33" s="223"/>
      <c r="V33" s="223"/>
      <c r="W33" s="223"/>
      <c r="X33" s="223"/>
      <c r="Y33" s="223"/>
      <c r="Z33" s="223"/>
      <c r="AA33" s="223"/>
      <c r="AB33" s="223"/>
      <c r="AC33" s="223"/>
      <c r="AD33" s="223"/>
      <c r="AE33" s="223"/>
      <c r="AF33" s="223"/>
      <c r="AG33" s="223"/>
      <c r="AH33" s="223"/>
    </row>
    <row r="34" spans="1:35" ht="11.25">
      <c r="A34" s="228">
        <v>28</v>
      </c>
      <c r="B34" s="230" t="s">
        <v>112</v>
      </c>
      <c r="C34" s="228">
        <v>1</v>
      </c>
      <c r="D34" s="228" t="s">
        <v>61</v>
      </c>
      <c r="E34" s="229">
        <v>0.19</v>
      </c>
      <c r="F34" s="231">
        <v>1866703</v>
      </c>
      <c r="G34" s="231">
        <v>1863758</v>
      </c>
      <c r="H34" s="231">
        <v>1860818</v>
      </c>
      <c r="I34" s="231">
        <v>1862583</v>
      </c>
      <c r="J34" s="231">
        <v>2216474</v>
      </c>
      <c r="K34" s="231">
        <v>2216474</v>
      </c>
      <c r="L34" s="223"/>
      <c r="M34" s="223"/>
      <c r="P34" s="223"/>
      <c r="Q34" s="223"/>
      <c r="R34" s="223"/>
      <c r="V34" s="223"/>
      <c r="W34" s="223"/>
      <c r="X34" s="223"/>
      <c r="Y34" s="223"/>
      <c r="Z34" s="223"/>
      <c r="AA34" s="223"/>
      <c r="AB34" s="223"/>
      <c r="AC34" s="223"/>
      <c r="AD34" s="223"/>
      <c r="AE34" s="223"/>
      <c r="AF34" s="223"/>
      <c r="AG34" s="223"/>
      <c r="AH34" s="223"/>
    </row>
    <row r="35" spans="1:35" ht="11.25">
      <c r="A35" s="228">
        <v>29</v>
      </c>
      <c r="B35" s="230" t="s">
        <v>113</v>
      </c>
      <c r="C35" s="228">
        <v>1</v>
      </c>
      <c r="D35" s="228" t="s">
        <v>61</v>
      </c>
      <c r="E35" s="229">
        <v>0.19</v>
      </c>
      <c r="F35" s="231">
        <v>2028397</v>
      </c>
      <c r="G35" s="231">
        <v>2007678</v>
      </c>
      <c r="H35" s="231">
        <v>1987171</v>
      </c>
      <c r="I35" s="231">
        <v>1999518</v>
      </c>
      <c r="J35" s="231">
        <v>2379426</v>
      </c>
      <c r="K35" s="231">
        <v>2379426</v>
      </c>
      <c r="L35" s="223"/>
      <c r="M35" s="223"/>
      <c r="P35" s="223"/>
      <c r="Q35" s="223"/>
      <c r="R35" s="223"/>
      <c r="V35" s="223"/>
      <c r="W35" s="223"/>
      <c r="X35" s="223"/>
      <c r="Y35" s="223"/>
      <c r="Z35" s="223"/>
      <c r="AA35" s="223"/>
      <c r="AB35" s="223"/>
      <c r="AC35" s="223"/>
      <c r="AD35" s="223"/>
      <c r="AE35" s="223"/>
      <c r="AF35" s="223"/>
      <c r="AG35" s="223"/>
      <c r="AH35" s="223"/>
    </row>
    <row r="36" spans="1:35" ht="11.25">
      <c r="A36" s="228">
        <v>30</v>
      </c>
      <c r="B36" s="230" t="s">
        <v>114</v>
      </c>
      <c r="C36" s="228">
        <v>1</v>
      </c>
      <c r="D36" s="228" t="s">
        <v>61</v>
      </c>
      <c r="E36" s="229">
        <v>0.19</v>
      </c>
      <c r="F36" s="231">
        <v>1023038</v>
      </c>
      <c r="G36" s="231">
        <v>1022767</v>
      </c>
      <c r="H36" s="231">
        <v>1022496</v>
      </c>
      <c r="I36" s="231">
        <v>1022659</v>
      </c>
      <c r="J36" s="231">
        <v>1216964</v>
      </c>
      <c r="K36" s="231">
        <v>1216964</v>
      </c>
      <c r="L36" s="223"/>
      <c r="M36" s="223"/>
      <c r="P36" s="223"/>
      <c r="Q36" s="223"/>
      <c r="R36" s="223"/>
      <c r="V36" s="223"/>
      <c r="W36" s="223"/>
      <c r="X36" s="223"/>
      <c r="Y36" s="223"/>
      <c r="Z36" s="223"/>
      <c r="AA36" s="223"/>
      <c r="AB36" s="223"/>
      <c r="AC36" s="223"/>
      <c r="AD36" s="223"/>
      <c r="AE36" s="223"/>
      <c r="AF36" s="223"/>
      <c r="AG36" s="223"/>
      <c r="AH36" s="223"/>
    </row>
    <row r="37" spans="1:35" ht="22.5">
      <c r="A37" s="228">
        <v>31</v>
      </c>
      <c r="B37" s="230" t="s">
        <v>115</v>
      </c>
      <c r="C37" s="228">
        <v>1</v>
      </c>
      <c r="D37" s="228" t="s">
        <v>61</v>
      </c>
      <c r="E37" s="229">
        <v>0.19</v>
      </c>
      <c r="F37" s="231">
        <v>1282606</v>
      </c>
      <c r="G37" s="231">
        <v>1164411</v>
      </c>
      <c r="H37" s="231">
        <v>1057109</v>
      </c>
      <c r="I37" s="231">
        <v>1123669</v>
      </c>
      <c r="J37" s="231">
        <v>1337166</v>
      </c>
      <c r="K37" s="231">
        <v>1337166</v>
      </c>
      <c r="L37" s="223"/>
      <c r="M37" s="223"/>
      <c r="P37" s="223"/>
      <c r="Q37" s="223"/>
      <c r="R37" s="223"/>
      <c r="V37" s="223"/>
      <c r="W37" s="223"/>
      <c r="X37" s="223"/>
      <c r="Y37" s="223"/>
      <c r="Z37" s="223"/>
      <c r="AA37" s="223"/>
      <c r="AB37" s="223"/>
      <c r="AC37" s="223"/>
      <c r="AD37" s="223"/>
      <c r="AE37" s="223"/>
      <c r="AF37" s="223"/>
      <c r="AG37" s="223"/>
      <c r="AH37" s="223"/>
    </row>
    <row r="38" spans="1:35" ht="22.5">
      <c r="A38" s="228">
        <v>32</v>
      </c>
      <c r="B38" s="230" t="s">
        <v>116</v>
      </c>
      <c r="C38" s="228">
        <v>1</v>
      </c>
      <c r="D38" s="228" t="s">
        <v>61</v>
      </c>
      <c r="E38" s="229">
        <v>0.19</v>
      </c>
      <c r="F38" s="231">
        <v>860923</v>
      </c>
      <c r="G38" s="231">
        <v>856708</v>
      </c>
      <c r="H38" s="231">
        <v>852515</v>
      </c>
      <c r="I38" s="231">
        <v>855035</v>
      </c>
      <c r="J38" s="231">
        <v>1017492</v>
      </c>
      <c r="K38" s="231">
        <v>1017492</v>
      </c>
      <c r="L38" s="223"/>
      <c r="M38" s="223"/>
      <c r="P38" s="223"/>
      <c r="Q38" s="223"/>
      <c r="R38" s="223"/>
      <c r="V38" s="223"/>
      <c r="W38" s="223"/>
      <c r="X38" s="223"/>
      <c r="Y38" s="223"/>
      <c r="Z38" s="223"/>
      <c r="AA38" s="223"/>
      <c r="AB38" s="223"/>
      <c r="AC38" s="223"/>
      <c r="AD38" s="223"/>
      <c r="AE38" s="223"/>
      <c r="AF38" s="223"/>
      <c r="AG38" s="223"/>
      <c r="AH38" s="223"/>
    </row>
    <row r="39" spans="1:35" s="222" customFormat="1" ht="21.75" customHeight="1">
      <c r="A39" s="382" t="s">
        <v>49</v>
      </c>
      <c r="B39" s="383"/>
      <c r="C39" s="383"/>
      <c r="D39" s="383"/>
      <c r="E39" s="383"/>
      <c r="F39" s="383"/>
      <c r="G39" s="383"/>
      <c r="H39" s="383"/>
      <c r="I39" s="383"/>
      <c r="J39" s="384"/>
      <c r="K39" s="236">
        <v>108225364</v>
      </c>
      <c r="N39" s="237"/>
      <c r="O39" s="237"/>
      <c r="S39" s="237"/>
      <c r="T39" s="237"/>
      <c r="U39" s="237"/>
      <c r="AI39" s="237">
        <v>61.811099974013437</v>
      </c>
    </row>
  </sheetData>
  <mergeCells count="4">
    <mergeCell ref="A39:J39"/>
    <mergeCell ref="I5:K5"/>
    <mergeCell ref="F5:H5"/>
    <mergeCell ref="A5:E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1CB6B-7B4E-4618-94D0-D21B51772A7A}">
  <dimension ref="A1:E33"/>
  <sheetViews>
    <sheetView workbookViewId="0">
      <selection activeCell="B37" sqref="B37"/>
    </sheetView>
  </sheetViews>
  <sheetFormatPr baseColWidth="10" defaultColWidth="45.140625" defaultRowHeight="12.75"/>
  <cols>
    <col min="1" max="1" width="4.5703125" style="187" bestFit="1" customWidth="1"/>
    <col min="2" max="2" width="124.42578125" style="187" customWidth="1"/>
    <col min="3" max="3" width="11.42578125" style="187" bestFit="1" customWidth="1"/>
    <col min="4" max="4" width="9.42578125" style="187" bestFit="1" customWidth="1"/>
    <col min="5" max="5" width="10.42578125" style="187" bestFit="1" customWidth="1"/>
    <col min="6" max="16384" width="45.140625" style="187"/>
  </cols>
  <sheetData>
    <row r="1" spans="1:5" ht="25.5">
      <c r="A1" s="185" t="s">
        <v>125</v>
      </c>
      <c r="B1" s="186" t="s">
        <v>23</v>
      </c>
      <c r="C1" s="186" t="s">
        <v>82</v>
      </c>
      <c r="D1" s="186" t="s">
        <v>126</v>
      </c>
      <c r="E1" s="186" t="s">
        <v>56</v>
      </c>
    </row>
    <row r="2" spans="1:5" ht="13.5">
      <c r="A2" s="188">
        <v>1</v>
      </c>
      <c r="B2" s="189" t="s">
        <v>84</v>
      </c>
      <c r="C2" s="190">
        <v>4</v>
      </c>
      <c r="D2" s="191" t="s">
        <v>127</v>
      </c>
      <c r="E2" s="188" t="s">
        <v>61</v>
      </c>
    </row>
    <row r="3" spans="1:5" ht="13.5">
      <c r="A3" s="188">
        <v>2</v>
      </c>
      <c r="B3" s="189" t="s">
        <v>128</v>
      </c>
      <c r="C3" s="190">
        <v>9</v>
      </c>
      <c r="D3" s="191" t="s">
        <v>129</v>
      </c>
      <c r="E3" s="188" t="s">
        <v>61</v>
      </c>
    </row>
    <row r="4" spans="1:5" ht="13.5">
      <c r="A4" s="188">
        <v>3</v>
      </c>
      <c r="B4" s="189" t="s">
        <v>130</v>
      </c>
      <c r="C4" s="190">
        <v>1</v>
      </c>
      <c r="D4" s="191" t="s">
        <v>129</v>
      </c>
      <c r="E4" s="188" t="s">
        <v>61</v>
      </c>
    </row>
    <row r="5" spans="1:5" ht="13.5">
      <c r="A5" s="188">
        <v>4</v>
      </c>
      <c r="B5" s="189" t="s">
        <v>131</v>
      </c>
      <c r="C5" s="190">
        <v>1</v>
      </c>
      <c r="D5" s="191" t="s">
        <v>129</v>
      </c>
      <c r="E5" s="188" t="s">
        <v>61</v>
      </c>
    </row>
    <row r="6" spans="1:5" ht="13.5">
      <c r="A6" s="188">
        <v>5</v>
      </c>
      <c r="B6" s="189" t="s">
        <v>88</v>
      </c>
      <c r="C6" s="190">
        <v>1</v>
      </c>
      <c r="D6" s="191" t="s">
        <v>132</v>
      </c>
      <c r="E6" s="188" t="s">
        <v>61</v>
      </c>
    </row>
    <row r="7" spans="1:5" ht="13.5">
      <c r="A7" s="188">
        <v>6</v>
      </c>
      <c r="B7" s="189" t="s">
        <v>89</v>
      </c>
      <c r="C7" s="192">
        <v>4</v>
      </c>
      <c r="D7" s="191" t="s">
        <v>133</v>
      </c>
      <c r="E7" s="188" t="s">
        <v>61</v>
      </c>
    </row>
    <row r="8" spans="1:5" ht="13.5">
      <c r="A8" s="188">
        <v>7</v>
      </c>
      <c r="B8" s="189" t="s">
        <v>134</v>
      </c>
      <c r="C8" s="190">
        <v>2</v>
      </c>
      <c r="D8" s="191" t="s">
        <v>133</v>
      </c>
      <c r="E8" s="188" t="s">
        <v>61</v>
      </c>
    </row>
    <row r="9" spans="1:5" ht="13.5">
      <c r="A9" s="188">
        <v>8</v>
      </c>
      <c r="B9" s="189" t="s">
        <v>91</v>
      </c>
      <c r="C9" s="190">
        <v>1</v>
      </c>
      <c r="D9" s="191" t="s">
        <v>133</v>
      </c>
      <c r="E9" s="188" t="s">
        <v>61</v>
      </c>
    </row>
    <row r="10" spans="1:5" ht="13.5">
      <c r="A10" s="188">
        <v>9</v>
      </c>
      <c r="B10" s="189" t="s">
        <v>92</v>
      </c>
      <c r="C10" s="190">
        <v>1</v>
      </c>
      <c r="D10" s="191" t="s">
        <v>133</v>
      </c>
      <c r="E10" s="188" t="s">
        <v>61</v>
      </c>
    </row>
    <row r="11" spans="1:5" ht="13.5">
      <c r="A11" s="188">
        <v>10</v>
      </c>
      <c r="B11" s="189" t="s">
        <v>93</v>
      </c>
      <c r="C11" s="190">
        <v>1</v>
      </c>
      <c r="D11" s="191" t="s">
        <v>133</v>
      </c>
      <c r="E11" s="188" t="s">
        <v>61</v>
      </c>
    </row>
    <row r="12" spans="1:5" ht="13.5">
      <c r="A12" s="188">
        <v>11</v>
      </c>
      <c r="B12" s="189" t="s">
        <v>95</v>
      </c>
      <c r="C12" s="192">
        <v>6</v>
      </c>
      <c r="D12" s="191" t="s">
        <v>133</v>
      </c>
      <c r="E12" s="188" t="s">
        <v>61</v>
      </c>
    </row>
    <row r="13" spans="1:5" ht="13.5">
      <c r="A13" s="188">
        <v>12</v>
      </c>
      <c r="B13" s="189" t="s">
        <v>96</v>
      </c>
      <c r="C13" s="190">
        <v>16</v>
      </c>
      <c r="D13" s="191" t="s">
        <v>135</v>
      </c>
      <c r="E13" s="188" t="s">
        <v>61</v>
      </c>
    </row>
    <row r="14" spans="1:5" ht="13.5">
      <c r="A14" s="188">
        <v>13</v>
      </c>
      <c r="B14" s="189" t="s">
        <v>97</v>
      </c>
      <c r="C14" s="190">
        <v>5</v>
      </c>
      <c r="D14" s="191" t="s">
        <v>135</v>
      </c>
      <c r="E14" s="188" t="s">
        <v>61</v>
      </c>
    </row>
    <row r="15" spans="1:5" ht="13.5">
      <c r="A15" s="188">
        <v>14</v>
      </c>
      <c r="B15" s="189" t="s">
        <v>98</v>
      </c>
      <c r="C15" s="192">
        <v>4</v>
      </c>
      <c r="D15" s="191" t="s">
        <v>135</v>
      </c>
      <c r="E15" s="188" t="s">
        <v>61</v>
      </c>
    </row>
    <row r="16" spans="1:5" ht="13.5">
      <c r="A16" s="188">
        <v>15</v>
      </c>
      <c r="B16" s="189" t="s">
        <v>99</v>
      </c>
      <c r="C16" s="192">
        <v>4</v>
      </c>
      <c r="D16" s="191" t="s">
        <v>135</v>
      </c>
      <c r="E16" s="188" t="s">
        <v>61</v>
      </c>
    </row>
    <row r="17" spans="1:5" ht="13.5">
      <c r="A17" s="188">
        <v>16</v>
      </c>
      <c r="B17" s="189" t="s">
        <v>100</v>
      </c>
      <c r="C17" s="192">
        <v>2</v>
      </c>
      <c r="D17" s="191" t="s">
        <v>136</v>
      </c>
      <c r="E17" s="188" t="s">
        <v>61</v>
      </c>
    </row>
    <row r="18" spans="1:5" ht="13.5">
      <c r="A18" s="188">
        <v>17</v>
      </c>
      <c r="B18" s="189" t="s">
        <v>101</v>
      </c>
      <c r="C18" s="190">
        <v>3</v>
      </c>
      <c r="D18" s="191" t="s">
        <v>137</v>
      </c>
      <c r="E18" s="188" t="s">
        <v>61</v>
      </c>
    </row>
    <row r="19" spans="1:5" ht="13.5">
      <c r="A19" s="188">
        <v>18</v>
      </c>
      <c r="B19" s="189" t="s">
        <v>102</v>
      </c>
      <c r="C19" s="190">
        <v>3</v>
      </c>
      <c r="D19" s="191" t="s">
        <v>138</v>
      </c>
      <c r="E19" s="188" t="s">
        <v>61</v>
      </c>
    </row>
    <row r="20" spans="1:5" ht="13.5">
      <c r="A20" s="188">
        <v>19</v>
      </c>
      <c r="B20" s="189" t="s">
        <v>103</v>
      </c>
      <c r="C20" s="190">
        <v>5</v>
      </c>
      <c r="D20" s="191" t="s">
        <v>132</v>
      </c>
      <c r="E20" s="188" t="s">
        <v>61</v>
      </c>
    </row>
    <row r="21" spans="1:5" ht="13.5">
      <c r="A21" s="188">
        <v>20</v>
      </c>
      <c r="B21" s="189" t="s">
        <v>104</v>
      </c>
      <c r="C21" s="192">
        <v>4</v>
      </c>
      <c r="D21" s="191" t="s">
        <v>135</v>
      </c>
      <c r="E21" s="188" t="s">
        <v>61</v>
      </c>
    </row>
    <row r="22" spans="1:5" ht="13.5">
      <c r="A22" s="188">
        <v>21</v>
      </c>
      <c r="B22" s="189" t="s">
        <v>105</v>
      </c>
      <c r="C22" s="190">
        <v>7</v>
      </c>
      <c r="D22" s="191" t="s">
        <v>135</v>
      </c>
      <c r="E22" s="188" t="s">
        <v>61</v>
      </c>
    </row>
    <row r="23" spans="1:5" ht="13.5">
      <c r="A23" s="188">
        <v>22</v>
      </c>
      <c r="B23" s="189" t="s">
        <v>106</v>
      </c>
      <c r="C23" s="192">
        <v>1</v>
      </c>
      <c r="D23" s="191" t="s">
        <v>135</v>
      </c>
      <c r="E23" s="188" t="s">
        <v>61</v>
      </c>
    </row>
    <row r="24" spans="1:5" ht="13.5">
      <c r="A24" s="188">
        <v>23</v>
      </c>
      <c r="B24" s="189" t="s">
        <v>107</v>
      </c>
      <c r="C24" s="192">
        <v>4</v>
      </c>
      <c r="D24" s="191" t="s">
        <v>135</v>
      </c>
      <c r="E24" s="188" t="s">
        <v>61</v>
      </c>
    </row>
    <row r="25" spans="1:5" ht="13.5">
      <c r="A25" s="188">
        <v>24</v>
      </c>
      <c r="B25" s="189" t="s">
        <v>108</v>
      </c>
      <c r="C25" s="192">
        <v>4</v>
      </c>
      <c r="D25" s="191" t="s">
        <v>135</v>
      </c>
      <c r="E25" s="188" t="s">
        <v>61</v>
      </c>
    </row>
    <row r="26" spans="1:5" ht="13.5">
      <c r="A26" s="188">
        <v>25</v>
      </c>
      <c r="B26" s="189" t="s">
        <v>109</v>
      </c>
      <c r="C26" s="192">
        <v>1</v>
      </c>
      <c r="D26" s="191" t="s">
        <v>135</v>
      </c>
      <c r="E26" s="188" t="s">
        <v>61</v>
      </c>
    </row>
    <row r="27" spans="1:5" ht="13.5">
      <c r="A27" s="188">
        <v>26</v>
      </c>
      <c r="B27" s="189" t="s">
        <v>110</v>
      </c>
      <c r="C27" s="192">
        <v>1</v>
      </c>
      <c r="D27" s="191" t="s">
        <v>133</v>
      </c>
      <c r="E27" s="188" t="s">
        <v>61</v>
      </c>
    </row>
    <row r="28" spans="1:5" ht="13.5">
      <c r="A28" s="188">
        <v>27</v>
      </c>
      <c r="B28" s="189" t="s">
        <v>111</v>
      </c>
      <c r="C28" s="192">
        <v>1</v>
      </c>
      <c r="D28" s="191" t="s">
        <v>133</v>
      </c>
      <c r="E28" s="188" t="s">
        <v>61</v>
      </c>
    </row>
    <row r="29" spans="1:5" ht="13.5">
      <c r="A29" s="188">
        <v>28</v>
      </c>
      <c r="B29" s="189" t="s">
        <v>112</v>
      </c>
      <c r="C29" s="192">
        <v>1</v>
      </c>
      <c r="D29" s="191" t="s">
        <v>136</v>
      </c>
      <c r="E29" s="188" t="s">
        <v>61</v>
      </c>
    </row>
    <row r="30" spans="1:5" ht="13.5">
      <c r="A30" s="188">
        <v>29</v>
      </c>
      <c r="B30" s="189" t="s">
        <v>113</v>
      </c>
      <c r="C30" s="192">
        <v>1</v>
      </c>
      <c r="D30" s="191" t="s">
        <v>136</v>
      </c>
      <c r="E30" s="188" t="s">
        <v>61</v>
      </c>
    </row>
    <row r="31" spans="1:5" ht="13.5">
      <c r="A31" s="188">
        <v>30</v>
      </c>
      <c r="B31" s="189" t="s">
        <v>114</v>
      </c>
      <c r="C31" s="192">
        <v>1</v>
      </c>
      <c r="D31" s="191" t="s">
        <v>136</v>
      </c>
      <c r="E31" s="188" t="s">
        <v>61</v>
      </c>
    </row>
    <row r="32" spans="1:5" ht="13.5">
      <c r="A32" s="188">
        <v>31</v>
      </c>
      <c r="B32" s="189" t="s">
        <v>115</v>
      </c>
      <c r="C32" s="192">
        <v>1</v>
      </c>
      <c r="D32" s="191" t="s">
        <v>139</v>
      </c>
      <c r="E32" s="188" t="s">
        <v>61</v>
      </c>
    </row>
    <row r="33" spans="1:5" ht="13.5">
      <c r="A33" s="188">
        <v>32</v>
      </c>
      <c r="B33" s="189" t="s">
        <v>116</v>
      </c>
      <c r="C33" s="192">
        <v>1</v>
      </c>
      <c r="D33" s="191" t="s">
        <v>139</v>
      </c>
      <c r="E33" s="188" t="s">
        <v>61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ADBC4-CF58-4268-BEC4-BF867D6D533A}">
  <dimension ref="A1:R38"/>
  <sheetViews>
    <sheetView zoomScaleNormal="100" workbookViewId="0">
      <selection activeCell="H11" sqref="H11"/>
    </sheetView>
  </sheetViews>
  <sheetFormatPr baseColWidth="10" defaultColWidth="27.5703125" defaultRowHeight="12"/>
  <cols>
    <col min="1" max="1" width="7.85546875" style="195" bestFit="1" customWidth="1"/>
    <col min="2" max="2" width="71.42578125" style="195" bestFit="1" customWidth="1"/>
    <col min="3" max="3" width="6.85546875" style="195" customWidth="1"/>
    <col min="4" max="4" width="8.42578125" style="195" customWidth="1"/>
    <col min="5" max="5" width="6" style="203" customWidth="1"/>
    <col min="6" max="6" width="12.85546875" style="195" customWidth="1"/>
    <col min="7" max="7" width="11.5703125" style="195" customWidth="1"/>
    <col min="8" max="8" width="12.85546875" style="195" customWidth="1"/>
    <col min="9" max="10" width="11.42578125" style="195" customWidth="1"/>
    <col min="11" max="11" width="12.85546875" style="195" customWidth="1"/>
    <col min="12" max="12" width="11.140625" style="195" customWidth="1"/>
    <col min="13" max="13" width="11.42578125" style="195" customWidth="1"/>
    <col min="14" max="14" width="11.140625" style="195" customWidth="1"/>
    <col min="15" max="15" width="11.42578125" style="195" customWidth="1"/>
    <col min="16" max="17" width="12.140625" style="195" customWidth="1"/>
    <col min="18" max="18" width="19.42578125" style="195" customWidth="1"/>
    <col min="19" max="16384" width="27.5703125" style="195"/>
  </cols>
  <sheetData>
    <row r="1" spans="1:18" s="198" customFormat="1" ht="37.5" customHeight="1">
      <c r="A1" s="388" t="s">
        <v>140</v>
      </c>
      <c r="B1" s="388"/>
      <c r="C1" s="388"/>
      <c r="D1" s="388"/>
      <c r="E1" s="388"/>
      <c r="F1" s="388" t="s">
        <v>141</v>
      </c>
      <c r="G1" s="388"/>
      <c r="H1" s="388"/>
      <c r="I1" s="388" t="s">
        <v>142</v>
      </c>
      <c r="J1" s="388"/>
      <c r="K1" s="388"/>
      <c r="L1" s="388" t="s">
        <v>143</v>
      </c>
      <c r="M1" s="388"/>
      <c r="N1" s="388"/>
      <c r="O1" s="388" t="s">
        <v>144</v>
      </c>
      <c r="P1" s="388"/>
      <c r="Q1" s="388"/>
      <c r="R1" s="207" t="s">
        <v>145</v>
      </c>
    </row>
    <row r="2" spans="1:18" s="197" customFormat="1" ht="45">
      <c r="A2" s="204" t="s">
        <v>125</v>
      </c>
      <c r="B2" s="204" t="s">
        <v>146</v>
      </c>
      <c r="C2" s="205" t="s">
        <v>147</v>
      </c>
      <c r="D2" s="204" t="s">
        <v>148</v>
      </c>
      <c r="E2" s="206" t="s">
        <v>25</v>
      </c>
      <c r="F2" s="204" t="s">
        <v>149</v>
      </c>
      <c r="G2" s="204" t="s">
        <v>150</v>
      </c>
      <c r="H2" s="204" t="s">
        <v>151</v>
      </c>
      <c r="I2" s="204" t="s">
        <v>149</v>
      </c>
      <c r="J2" s="204" t="s">
        <v>150</v>
      </c>
      <c r="K2" s="204" t="s">
        <v>151</v>
      </c>
      <c r="L2" s="204" t="s">
        <v>149</v>
      </c>
      <c r="M2" s="204" t="s">
        <v>150</v>
      </c>
      <c r="N2" s="204" t="s">
        <v>151</v>
      </c>
      <c r="O2" s="204" t="s">
        <v>149</v>
      </c>
      <c r="P2" s="204" t="s">
        <v>150</v>
      </c>
      <c r="Q2" s="204" t="s">
        <v>151</v>
      </c>
      <c r="R2" s="204" t="s">
        <v>149</v>
      </c>
    </row>
    <row r="3" spans="1:18" s="196" customFormat="1">
      <c r="A3" s="201">
        <v>1</v>
      </c>
      <c r="B3" s="199" t="s">
        <v>84</v>
      </c>
      <c r="C3" s="201">
        <v>4</v>
      </c>
      <c r="D3" s="200" t="s">
        <v>61</v>
      </c>
      <c r="E3" s="202">
        <v>0.19</v>
      </c>
      <c r="F3" s="200">
        <v>1408451</v>
      </c>
      <c r="G3" s="200">
        <v>1676057</v>
      </c>
      <c r="H3" s="200">
        <v>6704228</v>
      </c>
      <c r="I3" s="200">
        <v>1006400</v>
      </c>
      <c r="J3" s="200">
        <v>1197616</v>
      </c>
      <c r="K3" s="200">
        <v>4790464</v>
      </c>
      <c r="L3" s="200" t="s">
        <v>152</v>
      </c>
      <c r="M3" s="200" t="s">
        <v>153</v>
      </c>
      <c r="N3" s="200">
        <v>0</v>
      </c>
      <c r="O3" s="200">
        <v>1390000</v>
      </c>
      <c r="P3" s="200">
        <v>1654100</v>
      </c>
      <c r="Q3" s="200">
        <v>6616400</v>
      </c>
      <c r="R3" s="200">
        <v>922144</v>
      </c>
    </row>
    <row r="4" spans="1:18" s="196" customFormat="1">
      <c r="A4" s="201">
        <v>2</v>
      </c>
      <c r="B4" s="199" t="s">
        <v>154</v>
      </c>
      <c r="C4" s="201">
        <v>9</v>
      </c>
      <c r="D4" s="200" t="s">
        <v>61</v>
      </c>
      <c r="E4" s="202">
        <v>0.19</v>
      </c>
      <c r="F4" s="200">
        <v>1495443</v>
      </c>
      <c r="G4" s="200">
        <v>1779577</v>
      </c>
      <c r="H4" s="200">
        <v>16016193</v>
      </c>
      <c r="I4" s="200">
        <v>1388166</v>
      </c>
      <c r="J4" s="200">
        <v>1651918</v>
      </c>
      <c r="K4" s="200">
        <v>14867262</v>
      </c>
      <c r="L4" s="200" t="s">
        <v>152</v>
      </c>
      <c r="M4" s="200" t="s">
        <v>153</v>
      </c>
      <c r="N4" s="200">
        <v>0</v>
      </c>
      <c r="O4" s="200">
        <v>790000</v>
      </c>
      <c r="P4" s="200">
        <v>940100</v>
      </c>
      <c r="Q4" s="200">
        <v>8460900</v>
      </c>
      <c r="R4" s="200">
        <v>1251282</v>
      </c>
    </row>
    <row r="5" spans="1:18" s="196" customFormat="1">
      <c r="A5" s="201"/>
      <c r="B5" s="199" t="s">
        <v>155</v>
      </c>
      <c r="C5" s="201"/>
      <c r="D5" s="200"/>
      <c r="E5" s="202"/>
      <c r="F5" s="200"/>
      <c r="G5" s="200"/>
      <c r="H5" s="200"/>
      <c r="I5" s="200"/>
      <c r="J5" s="200"/>
      <c r="K5" s="200"/>
      <c r="L5" s="200"/>
      <c r="M5" s="200"/>
      <c r="N5" s="200"/>
      <c r="O5" s="200"/>
      <c r="P5" s="200"/>
      <c r="Q5" s="200"/>
      <c r="R5" s="200"/>
    </row>
    <row r="6" spans="1:18" s="196" customFormat="1">
      <c r="A6" s="201">
        <v>3</v>
      </c>
      <c r="B6" s="199" t="s">
        <v>156</v>
      </c>
      <c r="C6" s="201">
        <v>1</v>
      </c>
      <c r="D6" s="200" t="s">
        <v>61</v>
      </c>
      <c r="E6" s="202">
        <v>0.19</v>
      </c>
      <c r="F6" s="200">
        <v>510356</v>
      </c>
      <c r="G6" s="200">
        <v>607324</v>
      </c>
      <c r="H6" s="200">
        <v>607324</v>
      </c>
      <c r="I6" s="200">
        <v>600066</v>
      </c>
      <c r="J6" s="200">
        <v>714079</v>
      </c>
      <c r="K6" s="200">
        <v>714079</v>
      </c>
      <c r="L6" s="200">
        <v>415966</v>
      </c>
      <c r="M6" s="200">
        <v>495000</v>
      </c>
      <c r="N6" s="200">
        <v>495000</v>
      </c>
      <c r="O6" s="200">
        <v>585000</v>
      </c>
      <c r="P6" s="200">
        <v>696150</v>
      </c>
      <c r="Q6" s="200">
        <v>696150</v>
      </c>
      <c r="R6" s="200">
        <v>510191</v>
      </c>
    </row>
    <row r="7" spans="1:18" s="196" customFormat="1">
      <c r="A7" s="201"/>
      <c r="B7" s="199" t="s">
        <v>157</v>
      </c>
      <c r="C7" s="201"/>
      <c r="D7" s="200"/>
      <c r="E7" s="202"/>
      <c r="F7" s="200"/>
      <c r="G7" s="200"/>
      <c r="H7" s="200"/>
      <c r="I7" s="200"/>
      <c r="J7" s="200"/>
      <c r="K7" s="200"/>
      <c r="L7" s="200"/>
      <c r="M7" s="200"/>
      <c r="N7" s="200"/>
      <c r="O7" s="200"/>
      <c r="P7" s="200"/>
      <c r="Q7" s="200"/>
      <c r="R7" s="200"/>
    </row>
    <row r="8" spans="1:18" s="196" customFormat="1">
      <c r="A8" s="201">
        <v>4</v>
      </c>
      <c r="B8" s="199" t="s">
        <v>158</v>
      </c>
      <c r="C8" s="201">
        <v>1</v>
      </c>
      <c r="D8" s="200" t="s">
        <v>61</v>
      </c>
      <c r="E8" s="202">
        <v>0.19</v>
      </c>
      <c r="F8" s="200">
        <v>583264</v>
      </c>
      <c r="G8" s="200">
        <v>694084</v>
      </c>
      <c r="H8" s="200">
        <v>694084</v>
      </c>
      <c r="I8" s="200">
        <v>689458</v>
      </c>
      <c r="J8" s="200">
        <v>820455</v>
      </c>
      <c r="K8" s="200">
        <v>820455</v>
      </c>
      <c r="L8" s="200">
        <v>470588</v>
      </c>
      <c r="M8" s="200">
        <v>560000</v>
      </c>
      <c r="N8" s="200">
        <v>560000</v>
      </c>
      <c r="O8" s="200">
        <v>590000</v>
      </c>
      <c r="P8" s="200">
        <v>702100</v>
      </c>
      <c r="Q8" s="200">
        <v>702100</v>
      </c>
      <c r="R8" s="200">
        <v>537696</v>
      </c>
    </row>
    <row r="9" spans="1:18" s="196" customFormat="1">
      <c r="A9" s="201"/>
      <c r="B9" s="199" t="s">
        <v>157</v>
      </c>
      <c r="C9" s="201"/>
      <c r="D9" s="200"/>
      <c r="E9" s="202"/>
      <c r="F9" s="200"/>
      <c r="G9" s="200"/>
      <c r="H9" s="200"/>
      <c r="I9" s="200"/>
      <c r="J9" s="200"/>
      <c r="K9" s="200"/>
      <c r="L9" s="200"/>
      <c r="M9" s="200"/>
      <c r="N9" s="200"/>
      <c r="O9" s="200"/>
      <c r="P9" s="200"/>
      <c r="Q9" s="200"/>
      <c r="R9" s="200"/>
    </row>
    <row r="10" spans="1:18" s="196" customFormat="1">
      <c r="A10" s="201">
        <v>5</v>
      </c>
      <c r="B10" s="199" t="s">
        <v>88</v>
      </c>
      <c r="C10" s="201">
        <v>1</v>
      </c>
      <c r="D10" s="200" t="s">
        <v>61</v>
      </c>
      <c r="E10" s="202">
        <v>0.19</v>
      </c>
      <c r="F10" s="200">
        <v>510356</v>
      </c>
      <c r="G10" s="200">
        <v>607324</v>
      </c>
      <c r="H10" s="200">
        <v>607324</v>
      </c>
      <c r="I10" s="200">
        <v>541976</v>
      </c>
      <c r="J10" s="200">
        <v>644951</v>
      </c>
      <c r="K10" s="200">
        <v>644951</v>
      </c>
      <c r="L10" s="200">
        <v>393277</v>
      </c>
      <c r="M10" s="200">
        <v>468000</v>
      </c>
      <c r="N10" s="200">
        <v>468000</v>
      </c>
      <c r="O10" s="200">
        <v>599000</v>
      </c>
      <c r="P10" s="200">
        <v>712810</v>
      </c>
      <c r="Q10" s="200">
        <v>712810</v>
      </c>
      <c r="R10" s="200" t="s">
        <v>159</v>
      </c>
    </row>
    <row r="11" spans="1:18" s="196" customFormat="1">
      <c r="A11" s="201">
        <v>6</v>
      </c>
      <c r="B11" s="199" t="s">
        <v>89</v>
      </c>
      <c r="C11" s="201">
        <v>4</v>
      </c>
      <c r="D11" s="200" t="s">
        <v>61</v>
      </c>
      <c r="E11" s="202">
        <v>0.19</v>
      </c>
      <c r="F11" s="200">
        <v>769452</v>
      </c>
      <c r="G11" s="200">
        <v>915648</v>
      </c>
      <c r="H11" s="200">
        <v>3662592</v>
      </c>
      <c r="I11" s="200">
        <v>845302</v>
      </c>
      <c r="J11" s="200">
        <v>1005909</v>
      </c>
      <c r="K11" s="200">
        <v>4023636</v>
      </c>
      <c r="L11" s="200" t="s">
        <v>152</v>
      </c>
      <c r="M11" s="200" t="s">
        <v>153</v>
      </c>
      <c r="N11" s="200">
        <v>0</v>
      </c>
      <c r="O11" s="200">
        <v>790000</v>
      </c>
      <c r="P11" s="200">
        <v>940100</v>
      </c>
      <c r="Q11" s="200">
        <v>3760400</v>
      </c>
      <c r="R11" s="200">
        <v>725500</v>
      </c>
    </row>
    <row r="12" spans="1:18" s="196" customFormat="1">
      <c r="A12" s="201">
        <v>7</v>
      </c>
      <c r="B12" s="199" t="s">
        <v>160</v>
      </c>
      <c r="C12" s="201">
        <v>2</v>
      </c>
      <c r="D12" s="200" t="s">
        <v>61</v>
      </c>
      <c r="E12" s="202">
        <v>0.19</v>
      </c>
      <c r="F12" s="200">
        <v>402570</v>
      </c>
      <c r="G12" s="200">
        <v>479058</v>
      </c>
      <c r="H12" s="200">
        <v>958116</v>
      </c>
      <c r="I12" s="200">
        <v>442298</v>
      </c>
      <c r="J12" s="200">
        <v>526335</v>
      </c>
      <c r="K12" s="200">
        <v>1052670</v>
      </c>
      <c r="L12" s="200" t="s">
        <v>152</v>
      </c>
      <c r="M12" s="200" t="s">
        <v>153</v>
      </c>
      <c r="N12" s="200">
        <v>0</v>
      </c>
      <c r="O12" s="200">
        <v>540000</v>
      </c>
      <c r="P12" s="200">
        <v>642600</v>
      </c>
      <c r="Q12" s="200">
        <v>1285200</v>
      </c>
      <c r="R12" s="200">
        <v>436718</v>
      </c>
    </row>
    <row r="13" spans="1:18" s="196" customFormat="1">
      <c r="A13" s="201"/>
      <c r="B13" s="199" t="s">
        <v>161</v>
      </c>
      <c r="C13" s="201"/>
      <c r="D13" s="200"/>
      <c r="E13" s="202"/>
      <c r="F13" s="200"/>
      <c r="G13" s="200"/>
      <c r="H13" s="200"/>
      <c r="I13" s="200"/>
      <c r="J13" s="200"/>
      <c r="K13" s="200"/>
      <c r="L13" s="200"/>
      <c r="M13" s="200"/>
      <c r="N13" s="200"/>
      <c r="O13" s="200"/>
      <c r="P13" s="200"/>
      <c r="Q13" s="200"/>
      <c r="R13" s="200"/>
    </row>
    <row r="14" spans="1:18" s="196" customFormat="1">
      <c r="A14" s="201">
        <v>8</v>
      </c>
      <c r="B14" s="199" t="s">
        <v>91</v>
      </c>
      <c r="C14" s="201">
        <v>1</v>
      </c>
      <c r="D14" s="200" t="s">
        <v>61</v>
      </c>
      <c r="E14" s="202">
        <v>0.19</v>
      </c>
      <c r="F14" s="200">
        <v>581822</v>
      </c>
      <c r="G14" s="200">
        <v>692368</v>
      </c>
      <c r="H14" s="200">
        <v>692368</v>
      </c>
      <c r="I14" s="200">
        <v>631812</v>
      </c>
      <c r="J14" s="200">
        <v>751856</v>
      </c>
      <c r="K14" s="200">
        <v>751856</v>
      </c>
      <c r="L14" s="200" t="s">
        <v>152</v>
      </c>
      <c r="M14" s="200" t="s">
        <v>153</v>
      </c>
      <c r="N14" s="200">
        <v>0</v>
      </c>
      <c r="O14" s="200">
        <v>540000</v>
      </c>
      <c r="P14" s="200">
        <v>642600</v>
      </c>
      <c r="Q14" s="200">
        <v>642600</v>
      </c>
      <c r="R14" s="200">
        <v>565561</v>
      </c>
    </row>
    <row r="15" spans="1:18" s="196" customFormat="1">
      <c r="A15" s="201">
        <v>9</v>
      </c>
      <c r="B15" s="199" t="s">
        <v>92</v>
      </c>
      <c r="C15" s="201">
        <v>1</v>
      </c>
      <c r="D15" s="200" t="s">
        <v>61</v>
      </c>
      <c r="E15" s="202">
        <v>0.19</v>
      </c>
      <c r="F15" s="200">
        <v>575056</v>
      </c>
      <c r="G15" s="200">
        <v>684317</v>
      </c>
      <c r="H15" s="200">
        <v>684317</v>
      </c>
      <c r="I15" s="200">
        <v>631812</v>
      </c>
      <c r="J15" s="200">
        <v>751856</v>
      </c>
      <c r="K15" s="200">
        <v>751856</v>
      </c>
      <c r="L15" s="200" t="s">
        <v>152</v>
      </c>
      <c r="M15" s="200" t="s">
        <v>153</v>
      </c>
      <c r="N15" s="200">
        <v>0</v>
      </c>
      <c r="O15" s="200">
        <v>540000</v>
      </c>
      <c r="P15" s="200">
        <v>642600</v>
      </c>
      <c r="Q15" s="200">
        <v>642600</v>
      </c>
      <c r="R15" s="200">
        <v>565561</v>
      </c>
    </row>
    <row r="16" spans="1:18" s="196" customFormat="1">
      <c r="A16" s="201">
        <v>10</v>
      </c>
      <c r="B16" s="199" t="s">
        <v>93</v>
      </c>
      <c r="C16" s="201">
        <v>1</v>
      </c>
      <c r="D16" s="200" t="s">
        <v>61</v>
      </c>
      <c r="E16" s="202">
        <v>0.19</v>
      </c>
      <c r="F16" s="200">
        <v>575056</v>
      </c>
      <c r="G16" s="200">
        <v>684317</v>
      </c>
      <c r="H16" s="200">
        <v>684317</v>
      </c>
      <c r="I16" s="200">
        <v>631812</v>
      </c>
      <c r="J16" s="200">
        <v>751856</v>
      </c>
      <c r="K16" s="200">
        <v>751856</v>
      </c>
      <c r="L16" s="200" t="s">
        <v>152</v>
      </c>
      <c r="M16" s="200" t="s">
        <v>153</v>
      </c>
      <c r="N16" s="200">
        <v>0</v>
      </c>
      <c r="O16" s="200">
        <v>540000</v>
      </c>
      <c r="P16" s="200">
        <v>642600</v>
      </c>
      <c r="Q16" s="200">
        <v>642600</v>
      </c>
      <c r="R16" s="200">
        <v>565542</v>
      </c>
    </row>
    <row r="17" spans="1:18" s="196" customFormat="1">
      <c r="A17" s="201">
        <v>11</v>
      </c>
      <c r="B17" s="199" t="s">
        <v>95</v>
      </c>
      <c r="C17" s="201">
        <v>6</v>
      </c>
      <c r="D17" s="200" t="s">
        <v>61</v>
      </c>
      <c r="E17" s="202">
        <v>0.19</v>
      </c>
      <c r="F17" s="200">
        <v>1271703</v>
      </c>
      <c r="G17" s="200">
        <v>1513327</v>
      </c>
      <c r="H17" s="200">
        <v>9079962</v>
      </c>
      <c r="I17" s="200">
        <v>1895436</v>
      </c>
      <c r="J17" s="200">
        <v>2255569</v>
      </c>
      <c r="K17" s="200">
        <v>13533414</v>
      </c>
      <c r="L17" s="200" t="s">
        <v>152</v>
      </c>
      <c r="M17" s="200" t="s">
        <v>153</v>
      </c>
      <c r="N17" s="200">
        <v>0</v>
      </c>
      <c r="O17" s="200">
        <v>980000</v>
      </c>
      <c r="P17" s="200">
        <v>1166200</v>
      </c>
      <c r="Q17" s="200">
        <v>6997200</v>
      </c>
      <c r="R17" s="200">
        <v>1201346</v>
      </c>
    </row>
    <row r="18" spans="1:18" s="196" customFormat="1">
      <c r="A18" s="201">
        <v>12</v>
      </c>
      <c r="B18" s="199" t="s">
        <v>96</v>
      </c>
      <c r="C18" s="201">
        <v>16</v>
      </c>
      <c r="D18" s="200" t="s">
        <v>61</v>
      </c>
      <c r="E18" s="202">
        <v>0.19</v>
      </c>
      <c r="F18" s="200">
        <v>577229</v>
      </c>
      <c r="G18" s="200">
        <v>686903</v>
      </c>
      <c r="H18" s="200">
        <v>10990448</v>
      </c>
      <c r="I18" s="200">
        <v>683538</v>
      </c>
      <c r="J18" s="200">
        <v>813410</v>
      </c>
      <c r="K18" s="200">
        <v>13014560</v>
      </c>
      <c r="L18" s="200">
        <v>406600</v>
      </c>
      <c r="M18" s="200">
        <v>483854</v>
      </c>
      <c r="N18" s="200">
        <v>7741664</v>
      </c>
      <c r="O18" s="200">
        <v>670000</v>
      </c>
      <c r="P18" s="200">
        <v>797300</v>
      </c>
      <c r="Q18" s="200">
        <v>12756800</v>
      </c>
      <c r="R18" s="200">
        <v>700701</v>
      </c>
    </row>
    <row r="19" spans="1:18" s="196" customFormat="1">
      <c r="A19" s="201">
        <v>13</v>
      </c>
      <c r="B19" s="199" t="s">
        <v>97</v>
      </c>
      <c r="C19" s="201">
        <v>5</v>
      </c>
      <c r="D19" s="200" t="s">
        <v>61</v>
      </c>
      <c r="E19" s="202">
        <v>0.19</v>
      </c>
      <c r="F19" s="200">
        <v>571022</v>
      </c>
      <c r="G19" s="200">
        <v>679516</v>
      </c>
      <c r="H19" s="200">
        <v>3397580</v>
      </c>
      <c r="I19" s="200">
        <v>712176</v>
      </c>
      <c r="J19" s="200">
        <v>847489</v>
      </c>
      <c r="K19" s="200">
        <v>4237445</v>
      </c>
      <c r="L19" s="200">
        <v>126050</v>
      </c>
      <c r="M19" s="200">
        <v>150000</v>
      </c>
      <c r="N19" s="200">
        <v>750000</v>
      </c>
      <c r="O19" s="200">
        <v>665000</v>
      </c>
      <c r="P19" s="200">
        <v>791350</v>
      </c>
      <c r="Q19" s="200">
        <v>3956750</v>
      </c>
      <c r="R19" s="200">
        <v>713266</v>
      </c>
    </row>
    <row r="20" spans="1:18" s="196" customFormat="1">
      <c r="A20" s="201">
        <v>14</v>
      </c>
      <c r="B20" s="199" t="s">
        <v>98</v>
      </c>
      <c r="C20" s="201">
        <v>4</v>
      </c>
      <c r="D20" s="200" t="s">
        <v>61</v>
      </c>
      <c r="E20" s="202">
        <v>0.19</v>
      </c>
      <c r="F20" s="200">
        <v>266891</v>
      </c>
      <c r="G20" s="200">
        <v>317600</v>
      </c>
      <c r="H20" s="200">
        <v>1270400</v>
      </c>
      <c r="I20" s="200">
        <v>294742</v>
      </c>
      <c r="J20" s="200">
        <v>350743</v>
      </c>
      <c r="K20" s="200">
        <v>1402972</v>
      </c>
      <c r="L20" s="200">
        <v>174800</v>
      </c>
      <c r="M20" s="200">
        <v>208012</v>
      </c>
      <c r="N20" s="200">
        <v>832048</v>
      </c>
      <c r="O20" s="200">
        <v>340000</v>
      </c>
      <c r="P20" s="200">
        <v>404600</v>
      </c>
      <c r="Q20" s="200">
        <v>1618400</v>
      </c>
      <c r="R20" s="200">
        <v>291105</v>
      </c>
    </row>
    <row r="21" spans="1:18" s="196" customFormat="1">
      <c r="A21" s="201">
        <v>15</v>
      </c>
      <c r="B21" s="199" t="s">
        <v>99</v>
      </c>
      <c r="C21" s="201">
        <v>4</v>
      </c>
      <c r="D21" s="200" t="s">
        <v>61</v>
      </c>
      <c r="E21" s="202">
        <v>0.19</v>
      </c>
      <c r="F21" s="200">
        <v>254477</v>
      </c>
      <c r="G21" s="200">
        <v>302828</v>
      </c>
      <c r="H21" s="200">
        <v>1211312</v>
      </c>
      <c r="I21" s="200">
        <v>292300</v>
      </c>
      <c r="J21" s="200">
        <v>347837</v>
      </c>
      <c r="K21" s="200">
        <v>1391348</v>
      </c>
      <c r="L21" s="200">
        <v>174800</v>
      </c>
      <c r="M21" s="200">
        <v>208012</v>
      </c>
      <c r="N21" s="200">
        <v>832048</v>
      </c>
      <c r="O21" s="200">
        <v>365000</v>
      </c>
      <c r="P21" s="200">
        <v>434350</v>
      </c>
      <c r="Q21" s="200">
        <v>1737400</v>
      </c>
      <c r="R21" s="200">
        <v>399083</v>
      </c>
    </row>
    <row r="22" spans="1:18" s="196" customFormat="1">
      <c r="A22" s="201">
        <v>16</v>
      </c>
      <c r="B22" s="199" t="s">
        <v>100</v>
      </c>
      <c r="C22" s="201">
        <v>2</v>
      </c>
      <c r="D22" s="200" t="s">
        <v>61</v>
      </c>
      <c r="E22" s="202">
        <v>0.19</v>
      </c>
      <c r="F22" s="200">
        <v>717765</v>
      </c>
      <c r="G22" s="200">
        <v>854140</v>
      </c>
      <c r="H22" s="200">
        <v>1708280</v>
      </c>
      <c r="I22" s="200">
        <v>529100</v>
      </c>
      <c r="J22" s="200">
        <v>629629</v>
      </c>
      <c r="K22" s="200">
        <v>1259258</v>
      </c>
      <c r="L22" s="200" t="s">
        <v>152</v>
      </c>
      <c r="M22" s="200" t="s">
        <v>153</v>
      </c>
      <c r="N22" s="200">
        <v>0</v>
      </c>
      <c r="O22" s="200"/>
      <c r="P22" s="200" t="s">
        <v>153</v>
      </c>
      <c r="Q22" s="200">
        <v>0</v>
      </c>
      <c r="R22" s="200">
        <v>605221</v>
      </c>
    </row>
    <row r="23" spans="1:18" s="196" customFormat="1" ht="24">
      <c r="A23" s="201">
        <v>17</v>
      </c>
      <c r="B23" s="199" t="s">
        <v>101</v>
      </c>
      <c r="C23" s="201">
        <v>3</v>
      </c>
      <c r="D23" s="200" t="s">
        <v>61</v>
      </c>
      <c r="E23" s="202">
        <v>0.19</v>
      </c>
      <c r="F23" s="200" t="s">
        <v>162</v>
      </c>
      <c r="G23" s="200" t="s">
        <v>153</v>
      </c>
      <c r="H23" s="200">
        <v>0</v>
      </c>
      <c r="I23" s="200">
        <v>780000</v>
      </c>
      <c r="J23" s="200">
        <v>928200</v>
      </c>
      <c r="K23" s="200">
        <v>2784600</v>
      </c>
      <c r="L23" s="200">
        <v>75630</v>
      </c>
      <c r="M23" s="200">
        <v>90000</v>
      </c>
      <c r="N23" s="200">
        <v>270000</v>
      </c>
      <c r="O23" s="200">
        <v>560000</v>
      </c>
      <c r="P23" s="200">
        <v>666400</v>
      </c>
      <c r="Q23" s="200">
        <v>1999200</v>
      </c>
      <c r="R23" s="200">
        <v>583180</v>
      </c>
    </row>
    <row r="24" spans="1:18" s="196" customFormat="1" ht="24">
      <c r="A24" s="201">
        <v>18</v>
      </c>
      <c r="B24" s="199" t="s">
        <v>163</v>
      </c>
      <c r="C24" s="201">
        <v>3</v>
      </c>
      <c r="D24" s="200" t="s">
        <v>61</v>
      </c>
      <c r="E24" s="202">
        <v>0.19</v>
      </c>
      <c r="F24" s="200">
        <v>1822694</v>
      </c>
      <c r="G24" s="200">
        <v>2169006</v>
      </c>
      <c r="H24" s="200">
        <v>6507018</v>
      </c>
      <c r="I24" s="200">
        <v>2197800</v>
      </c>
      <c r="J24" s="200">
        <v>2615382</v>
      </c>
      <c r="K24" s="200">
        <v>7846146</v>
      </c>
      <c r="L24" s="200" t="s">
        <v>152</v>
      </c>
      <c r="M24" s="200" t="s">
        <v>153</v>
      </c>
      <c r="N24" s="200">
        <v>0</v>
      </c>
      <c r="O24" s="200">
        <v>1950000</v>
      </c>
      <c r="P24" s="200">
        <v>2320500</v>
      </c>
      <c r="Q24" s="200">
        <v>6961500</v>
      </c>
      <c r="R24" s="200" t="s">
        <v>164</v>
      </c>
    </row>
    <row r="25" spans="1:18" s="196" customFormat="1">
      <c r="A25" s="201">
        <v>19</v>
      </c>
      <c r="B25" s="199" t="s">
        <v>103</v>
      </c>
      <c r="C25" s="201">
        <v>5</v>
      </c>
      <c r="D25" s="200" t="s">
        <v>61</v>
      </c>
      <c r="E25" s="202">
        <v>0.19</v>
      </c>
      <c r="F25" s="200">
        <v>993082</v>
      </c>
      <c r="G25" s="200">
        <v>1181768</v>
      </c>
      <c r="H25" s="200">
        <v>5908840</v>
      </c>
      <c r="I25" s="200">
        <v>1307135</v>
      </c>
      <c r="J25" s="200">
        <v>1555491</v>
      </c>
      <c r="K25" s="200">
        <v>7777455</v>
      </c>
      <c r="L25" s="200" t="s">
        <v>152</v>
      </c>
      <c r="M25" s="200" t="s">
        <v>153</v>
      </c>
      <c r="N25" s="200">
        <v>0</v>
      </c>
      <c r="O25" s="200">
        <v>488000</v>
      </c>
      <c r="P25" s="200">
        <v>580720</v>
      </c>
      <c r="Q25" s="200">
        <v>2903600</v>
      </c>
      <c r="R25" s="200" t="s">
        <v>165</v>
      </c>
    </row>
    <row r="26" spans="1:18" s="196" customFormat="1">
      <c r="A26" s="201">
        <v>20</v>
      </c>
      <c r="B26" s="199" t="s">
        <v>104</v>
      </c>
      <c r="C26" s="201">
        <v>4</v>
      </c>
      <c r="D26" s="200" t="s">
        <v>61</v>
      </c>
      <c r="E26" s="202">
        <v>0.19</v>
      </c>
      <c r="F26" s="200">
        <v>1822701</v>
      </c>
      <c r="G26" s="200">
        <v>2169014</v>
      </c>
      <c r="H26" s="200">
        <v>8676056</v>
      </c>
      <c r="I26" s="200">
        <v>982000</v>
      </c>
      <c r="J26" s="200">
        <v>1168580</v>
      </c>
      <c r="K26" s="200">
        <v>4674320</v>
      </c>
      <c r="L26" s="200">
        <v>817000</v>
      </c>
      <c r="M26" s="200">
        <v>972230</v>
      </c>
      <c r="N26" s="200">
        <v>3888920</v>
      </c>
      <c r="O26" s="200">
        <v>2095000</v>
      </c>
      <c r="P26" s="200">
        <v>2493050</v>
      </c>
      <c r="Q26" s="200">
        <v>9972200</v>
      </c>
      <c r="R26" s="200" t="s">
        <v>165</v>
      </c>
    </row>
    <row r="27" spans="1:18" s="196" customFormat="1">
      <c r="A27" s="201">
        <v>21</v>
      </c>
      <c r="B27" s="199" t="s">
        <v>105</v>
      </c>
      <c r="C27" s="201">
        <v>7</v>
      </c>
      <c r="D27" s="200" t="s">
        <v>61</v>
      </c>
      <c r="E27" s="202">
        <v>0.19</v>
      </c>
      <c r="F27" s="200">
        <v>2816901</v>
      </c>
      <c r="G27" s="200">
        <v>3352112</v>
      </c>
      <c r="H27" s="200">
        <v>23464784</v>
      </c>
      <c r="I27" s="200">
        <v>2590200</v>
      </c>
      <c r="J27" s="200">
        <v>3082338</v>
      </c>
      <c r="K27" s="200">
        <v>21576366</v>
      </c>
      <c r="L27" s="200">
        <v>1018400</v>
      </c>
      <c r="M27" s="200">
        <v>1211896</v>
      </c>
      <c r="N27" s="200">
        <v>8483272</v>
      </c>
      <c r="O27" s="200">
        <v>1950000</v>
      </c>
      <c r="P27" s="200">
        <v>2320500</v>
      </c>
      <c r="Q27" s="200">
        <v>16243500</v>
      </c>
      <c r="R27" s="200" t="s">
        <v>166</v>
      </c>
    </row>
    <row r="28" spans="1:18" s="196" customFormat="1">
      <c r="A28" s="201">
        <v>22</v>
      </c>
      <c r="B28" s="199" t="s">
        <v>106</v>
      </c>
      <c r="C28" s="201">
        <v>1</v>
      </c>
      <c r="D28" s="200" t="s">
        <v>61</v>
      </c>
      <c r="E28" s="202">
        <v>0.19</v>
      </c>
      <c r="F28" s="200">
        <v>1988401</v>
      </c>
      <c r="G28" s="200">
        <v>2366197</v>
      </c>
      <c r="H28" s="200">
        <v>2366197</v>
      </c>
      <c r="I28" s="200">
        <v>1958400</v>
      </c>
      <c r="J28" s="200">
        <v>2330496</v>
      </c>
      <c r="K28" s="200">
        <v>2330496</v>
      </c>
      <c r="L28" s="200">
        <v>767600</v>
      </c>
      <c r="M28" s="200">
        <v>913444</v>
      </c>
      <c r="N28" s="200">
        <v>913444</v>
      </c>
      <c r="O28" s="200">
        <v>1450000</v>
      </c>
      <c r="P28" s="200">
        <v>1725500</v>
      </c>
      <c r="Q28" s="200">
        <v>1725500</v>
      </c>
      <c r="R28" s="200" t="s">
        <v>165</v>
      </c>
    </row>
    <row r="29" spans="1:18" s="196" customFormat="1">
      <c r="A29" s="201">
        <v>23</v>
      </c>
      <c r="B29" s="199" t="s">
        <v>107</v>
      </c>
      <c r="C29" s="201">
        <v>4</v>
      </c>
      <c r="D29" s="200" t="s">
        <v>61</v>
      </c>
      <c r="E29" s="202">
        <v>0.19</v>
      </c>
      <c r="F29" s="200">
        <v>1905551</v>
      </c>
      <c r="G29" s="200">
        <v>2267606</v>
      </c>
      <c r="H29" s="200">
        <v>9070424</v>
      </c>
      <c r="I29" s="200">
        <v>1964922</v>
      </c>
      <c r="J29" s="200">
        <v>2338257</v>
      </c>
      <c r="K29" s="200">
        <v>9353028</v>
      </c>
      <c r="L29" s="200">
        <v>1250200</v>
      </c>
      <c r="M29" s="200">
        <v>1487738</v>
      </c>
      <c r="N29" s="200">
        <v>5950952</v>
      </c>
      <c r="O29" s="200">
        <v>2190000</v>
      </c>
      <c r="P29" s="200">
        <v>2606100</v>
      </c>
      <c r="Q29" s="200">
        <v>10424400</v>
      </c>
      <c r="R29" s="200" t="s">
        <v>165</v>
      </c>
    </row>
    <row r="30" spans="1:18" s="196" customFormat="1">
      <c r="A30" s="201">
        <v>24</v>
      </c>
      <c r="B30" s="199" t="s">
        <v>108</v>
      </c>
      <c r="C30" s="201">
        <v>4</v>
      </c>
      <c r="D30" s="200" t="s">
        <v>61</v>
      </c>
      <c r="E30" s="202">
        <v>0.19</v>
      </c>
      <c r="F30" s="200">
        <v>911350</v>
      </c>
      <c r="G30" s="200">
        <v>1084507</v>
      </c>
      <c r="H30" s="200">
        <v>4338028</v>
      </c>
      <c r="I30" s="200">
        <v>1964922</v>
      </c>
      <c r="J30" s="200">
        <v>2338257</v>
      </c>
      <c r="K30" s="200">
        <v>9353028</v>
      </c>
      <c r="L30" s="200">
        <v>1185600</v>
      </c>
      <c r="M30" s="200">
        <v>1410864</v>
      </c>
      <c r="N30" s="200">
        <v>5643456</v>
      </c>
      <c r="O30" s="200">
        <v>2090000</v>
      </c>
      <c r="P30" s="200">
        <v>2487100</v>
      </c>
      <c r="Q30" s="200">
        <v>9948400</v>
      </c>
      <c r="R30" s="200" t="s">
        <v>165</v>
      </c>
    </row>
    <row r="31" spans="1:18" s="196" customFormat="1">
      <c r="A31" s="201">
        <v>25</v>
      </c>
      <c r="B31" s="199" t="s">
        <v>109</v>
      </c>
      <c r="C31" s="201">
        <v>1</v>
      </c>
      <c r="D31" s="200" t="s">
        <v>61</v>
      </c>
      <c r="E31" s="202">
        <v>0.19</v>
      </c>
      <c r="F31" s="200">
        <v>248550</v>
      </c>
      <c r="G31" s="200">
        <v>295775</v>
      </c>
      <c r="H31" s="200">
        <v>295775</v>
      </c>
      <c r="I31" s="200">
        <v>142200</v>
      </c>
      <c r="J31" s="200">
        <v>169218</v>
      </c>
      <c r="K31" s="200">
        <v>169218</v>
      </c>
      <c r="L31" s="200">
        <v>288800</v>
      </c>
      <c r="M31" s="200">
        <v>343672</v>
      </c>
      <c r="N31" s="200">
        <v>343672</v>
      </c>
      <c r="O31" s="200">
        <v>420000</v>
      </c>
      <c r="P31" s="200">
        <v>499800</v>
      </c>
      <c r="Q31" s="200">
        <v>499800</v>
      </c>
      <c r="R31" s="200" t="s">
        <v>166</v>
      </c>
    </row>
    <row r="32" spans="1:18" s="196" customFormat="1">
      <c r="A32" s="201">
        <v>26</v>
      </c>
      <c r="B32" s="199" t="s">
        <v>110</v>
      </c>
      <c r="C32" s="201">
        <v>1</v>
      </c>
      <c r="D32" s="200" t="s">
        <v>61</v>
      </c>
      <c r="E32" s="202">
        <v>0.19</v>
      </c>
      <c r="F32" s="200">
        <v>322752</v>
      </c>
      <c r="G32" s="200">
        <v>384075</v>
      </c>
      <c r="H32" s="200">
        <v>384075</v>
      </c>
      <c r="I32" s="200">
        <v>1881820</v>
      </c>
      <c r="J32" s="200">
        <v>2239366</v>
      </c>
      <c r="K32" s="200">
        <v>2239366</v>
      </c>
      <c r="L32" s="200" t="s">
        <v>152</v>
      </c>
      <c r="M32" s="200" t="s">
        <v>153</v>
      </c>
      <c r="N32" s="200">
        <v>0</v>
      </c>
      <c r="O32" s="200">
        <v>590000</v>
      </c>
      <c r="P32" s="200">
        <v>702100</v>
      </c>
      <c r="Q32" s="200">
        <v>702100</v>
      </c>
      <c r="R32" s="200" t="s">
        <v>165</v>
      </c>
    </row>
    <row r="33" spans="1:18" s="196" customFormat="1">
      <c r="A33" s="201">
        <v>27</v>
      </c>
      <c r="B33" s="199" t="s">
        <v>111</v>
      </c>
      <c r="C33" s="201">
        <v>1</v>
      </c>
      <c r="D33" s="200" t="s">
        <v>61</v>
      </c>
      <c r="E33" s="202">
        <v>0.19</v>
      </c>
      <c r="F33" s="200">
        <v>291097</v>
      </c>
      <c r="G33" s="200">
        <v>346405</v>
      </c>
      <c r="H33" s="200">
        <v>346405</v>
      </c>
      <c r="I33" s="200">
        <v>316424</v>
      </c>
      <c r="J33" s="200">
        <v>376545</v>
      </c>
      <c r="K33" s="200">
        <v>376545</v>
      </c>
      <c r="L33" s="200" t="s">
        <v>152</v>
      </c>
      <c r="M33" s="200" t="s">
        <v>153</v>
      </c>
      <c r="N33" s="200">
        <v>0</v>
      </c>
      <c r="O33" s="200">
        <v>520000</v>
      </c>
      <c r="P33" s="200">
        <v>618800</v>
      </c>
      <c r="Q33" s="200">
        <v>618800</v>
      </c>
      <c r="R33" s="200" t="s">
        <v>165</v>
      </c>
    </row>
    <row r="34" spans="1:18" s="196" customFormat="1">
      <c r="A34" s="201">
        <v>28</v>
      </c>
      <c r="B34" s="199" t="s">
        <v>112</v>
      </c>
      <c r="C34" s="201">
        <v>1</v>
      </c>
      <c r="D34" s="200" t="s">
        <v>61</v>
      </c>
      <c r="E34" s="202">
        <v>0.19</v>
      </c>
      <c r="F34" s="200">
        <v>1761897</v>
      </c>
      <c r="G34" s="200">
        <v>2096657</v>
      </c>
      <c r="H34" s="200">
        <v>2096657</v>
      </c>
      <c r="I34" s="200">
        <v>1971508</v>
      </c>
      <c r="J34" s="200">
        <v>2346095</v>
      </c>
      <c r="K34" s="200">
        <v>2346095</v>
      </c>
      <c r="L34" s="200" t="s">
        <v>152</v>
      </c>
      <c r="M34" s="200" t="s">
        <v>153</v>
      </c>
      <c r="N34" s="200">
        <v>0</v>
      </c>
      <c r="O34" s="200"/>
      <c r="P34" s="200" t="s">
        <v>153</v>
      </c>
      <c r="Q34" s="200">
        <v>0</v>
      </c>
      <c r="R34" s="200" t="s">
        <v>165</v>
      </c>
    </row>
    <row r="35" spans="1:18" s="196" customFormat="1">
      <c r="A35" s="201">
        <v>29</v>
      </c>
      <c r="B35" s="199" t="s">
        <v>113</v>
      </c>
      <c r="C35" s="201">
        <v>1</v>
      </c>
      <c r="D35" s="200" t="s">
        <v>61</v>
      </c>
      <c r="E35" s="202">
        <v>0.19</v>
      </c>
      <c r="F35" s="200">
        <v>2317572</v>
      </c>
      <c r="G35" s="200">
        <v>2757911</v>
      </c>
      <c r="H35" s="200">
        <v>2757911</v>
      </c>
      <c r="I35" s="200">
        <v>1739222</v>
      </c>
      <c r="J35" s="200">
        <v>2069674</v>
      </c>
      <c r="K35" s="200">
        <v>2069674</v>
      </c>
      <c r="L35" s="200" t="s">
        <v>152</v>
      </c>
      <c r="M35" s="200" t="s">
        <v>153</v>
      </c>
      <c r="N35" s="200">
        <v>0</v>
      </c>
      <c r="O35" s="200"/>
      <c r="P35" s="200" t="s">
        <v>153</v>
      </c>
      <c r="Q35" s="200">
        <v>0</v>
      </c>
      <c r="R35" s="200" t="s">
        <v>165</v>
      </c>
    </row>
    <row r="36" spans="1:18" s="196" customFormat="1">
      <c r="A36" s="201">
        <v>30</v>
      </c>
      <c r="B36" s="199" t="s">
        <v>114</v>
      </c>
      <c r="C36" s="201">
        <v>1</v>
      </c>
      <c r="D36" s="200" t="s">
        <v>61</v>
      </c>
      <c r="E36" s="202">
        <v>0.19</v>
      </c>
      <c r="F36" s="200">
        <v>999493</v>
      </c>
      <c r="G36" s="200">
        <v>1189397</v>
      </c>
      <c r="H36" s="200">
        <v>1189397</v>
      </c>
      <c r="I36" s="200">
        <v>1046582</v>
      </c>
      <c r="J36" s="200">
        <v>1245433</v>
      </c>
      <c r="K36" s="200">
        <v>1245433</v>
      </c>
      <c r="L36" s="200" t="s">
        <v>152</v>
      </c>
      <c r="M36" s="200" t="s">
        <v>153</v>
      </c>
      <c r="N36" s="200">
        <v>0</v>
      </c>
      <c r="O36" s="200"/>
      <c r="P36" s="200" t="s">
        <v>153</v>
      </c>
      <c r="Q36" s="200">
        <v>0</v>
      </c>
      <c r="R36" s="200" t="s">
        <v>166</v>
      </c>
    </row>
    <row r="37" spans="1:18" s="196" customFormat="1">
      <c r="A37" s="201">
        <v>31</v>
      </c>
      <c r="B37" s="199" t="s">
        <v>115</v>
      </c>
      <c r="C37" s="201">
        <v>1</v>
      </c>
      <c r="D37" s="200" t="s">
        <v>61</v>
      </c>
      <c r="E37" s="202">
        <v>0.19</v>
      </c>
      <c r="F37" s="200">
        <v>744811</v>
      </c>
      <c r="G37" s="200">
        <v>886325</v>
      </c>
      <c r="H37" s="200">
        <v>886325</v>
      </c>
      <c r="I37" s="200">
        <v>1820400</v>
      </c>
      <c r="J37" s="200">
        <v>2166276</v>
      </c>
      <c r="K37" s="200">
        <v>2166276</v>
      </c>
      <c r="L37" s="200" t="s">
        <v>152</v>
      </c>
      <c r="M37" s="200" t="s">
        <v>153</v>
      </c>
      <c r="N37" s="200">
        <v>0</v>
      </c>
      <c r="O37" s="200"/>
      <c r="P37" s="200" t="s">
        <v>153</v>
      </c>
      <c r="Q37" s="200">
        <v>0</v>
      </c>
      <c r="R37" s="200" t="s">
        <v>165</v>
      </c>
    </row>
    <row r="38" spans="1:18" s="196" customFormat="1">
      <c r="A38" s="201">
        <v>32</v>
      </c>
      <c r="B38" s="199" t="s">
        <v>116</v>
      </c>
      <c r="C38" s="201">
        <v>1</v>
      </c>
      <c r="D38" s="200" t="s">
        <v>61</v>
      </c>
      <c r="E38" s="202">
        <v>0.19</v>
      </c>
      <c r="F38" s="200">
        <v>775845</v>
      </c>
      <c r="G38" s="200">
        <v>923256</v>
      </c>
      <c r="H38" s="200">
        <v>923256</v>
      </c>
      <c r="I38" s="200">
        <v>946000</v>
      </c>
      <c r="J38" s="200">
        <v>1125740</v>
      </c>
      <c r="K38" s="200">
        <v>1125740</v>
      </c>
      <c r="L38" s="200" t="s">
        <v>152</v>
      </c>
      <c r="M38" s="200" t="s">
        <v>153</v>
      </c>
      <c r="N38" s="200">
        <v>0</v>
      </c>
      <c r="O38" s="200"/>
      <c r="P38" s="200" t="s">
        <v>153</v>
      </c>
      <c r="Q38" s="200">
        <v>0</v>
      </c>
      <c r="R38" s="200" t="s">
        <v>167</v>
      </c>
    </row>
  </sheetData>
  <mergeCells count="5">
    <mergeCell ref="A1:E1"/>
    <mergeCell ref="F1:H1"/>
    <mergeCell ref="I1:K1"/>
    <mergeCell ref="L1:N1"/>
    <mergeCell ref="O1:Q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A98D7-EFE8-4032-86B7-8C0566209429}">
  <dimension ref="A1:I20"/>
  <sheetViews>
    <sheetView zoomScale="55" zoomScaleNormal="55" workbookViewId="0">
      <selection activeCell="K12" sqref="K12"/>
    </sheetView>
  </sheetViews>
  <sheetFormatPr baseColWidth="10" defaultColWidth="32.42578125" defaultRowHeight="12.75"/>
  <cols>
    <col min="1" max="1" width="9.42578125" style="208" bestFit="1" customWidth="1"/>
    <col min="2" max="2" width="19.140625" style="208" bestFit="1" customWidth="1"/>
    <col min="3" max="3" width="20.140625" style="208" bestFit="1" customWidth="1"/>
    <col min="4" max="4" width="82" style="208" customWidth="1"/>
    <col min="5" max="5" width="46.140625" style="208" customWidth="1"/>
    <col min="6" max="6" width="10" style="208" bestFit="1" customWidth="1"/>
    <col min="7" max="7" width="32.42578125" style="208" bestFit="1" customWidth="1"/>
    <col min="8" max="8" width="15.42578125" style="208" bestFit="1" customWidth="1"/>
    <col min="9" max="9" width="67.85546875" style="208" customWidth="1"/>
  </cols>
  <sheetData>
    <row r="1" spans="1:9" s="209" customFormat="1" ht="25.5">
      <c r="A1" s="210" t="s">
        <v>168</v>
      </c>
      <c r="B1" s="210" t="s">
        <v>169</v>
      </c>
      <c r="C1" s="210" t="s">
        <v>170</v>
      </c>
      <c r="D1" s="210" t="s">
        <v>171</v>
      </c>
      <c r="E1" s="210" t="s">
        <v>172</v>
      </c>
      <c r="F1" s="210" t="s">
        <v>173</v>
      </c>
      <c r="G1" s="210" t="s">
        <v>174</v>
      </c>
      <c r="H1" s="210" t="s">
        <v>175</v>
      </c>
      <c r="I1" s="210" t="s">
        <v>176</v>
      </c>
    </row>
    <row r="2" spans="1:9" ht="30">
      <c r="A2" s="210">
        <v>113905</v>
      </c>
      <c r="B2" s="212">
        <v>45138.705775462964</v>
      </c>
      <c r="C2" s="212">
        <v>45260</v>
      </c>
      <c r="D2" s="212" t="s">
        <v>177</v>
      </c>
      <c r="E2" s="212" t="s">
        <v>178</v>
      </c>
      <c r="F2" s="211" t="s">
        <v>179</v>
      </c>
      <c r="G2" s="211" t="s">
        <v>180</v>
      </c>
      <c r="H2" s="211" t="s">
        <v>181</v>
      </c>
      <c r="I2" s="211" t="s">
        <v>182</v>
      </c>
    </row>
    <row r="3" spans="1:9" ht="30">
      <c r="A3" s="210">
        <v>113883</v>
      </c>
      <c r="B3" s="212">
        <v>45136.592037037037</v>
      </c>
      <c r="C3" s="212">
        <v>45257</v>
      </c>
      <c r="D3" s="212" t="s">
        <v>183</v>
      </c>
      <c r="E3" s="212" t="s">
        <v>184</v>
      </c>
      <c r="F3" s="211" t="s">
        <v>179</v>
      </c>
      <c r="G3" s="211" t="s">
        <v>180</v>
      </c>
      <c r="H3" s="211" t="s">
        <v>185</v>
      </c>
      <c r="I3" s="211" t="s">
        <v>186</v>
      </c>
    </row>
    <row r="4" spans="1:9" ht="30">
      <c r="A4" s="210">
        <v>113882</v>
      </c>
      <c r="B4" s="212">
        <v>45136.383599537039</v>
      </c>
      <c r="C4" s="212">
        <v>45257</v>
      </c>
      <c r="D4" s="212" t="s">
        <v>187</v>
      </c>
      <c r="E4" s="212" t="s">
        <v>188</v>
      </c>
      <c r="F4" s="211" t="s">
        <v>179</v>
      </c>
      <c r="G4" s="211" t="s">
        <v>180</v>
      </c>
      <c r="H4" s="211" t="s">
        <v>189</v>
      </c>
      <c r="I4" s="211" t="s">
        <v>190</v>
      </c>
    </row>
    <row r="5" spans="1:9" ht="30">
      <c r="A5" s="210">
        <v>113881</v>
      </c>
      <c r="B5" s="212">
        <v>45136.591909722221</v>
      </c>
      <c r="C5" s="212">
        <v>45257</v>
      </c>
      <c r="D5" s="212" t="s">
        <v>191</v>
      </c>
      <c r="E5" s="212" t="s">
        <v>192</v>
      </c>
      <c r="F5" s="211" t="s">
        <v>179</v>
      </c>
      <c r="G5" s="211" t="s">
        <v>180</v>
      </c>
      <c r="H5" s="211" t="s">
        <v>193</v>
      </c>
      <c r="I5" s="211" t="s">
        <v>194</v>
      </c>
    </row>
    <row r="6" spans="1:9" ht="60">
      <c r="A6" s="210">
        <v>102081</v>
      </c>
      <c r="B6" s="212">
        <v>44909.691979166666</v>
      </c>
      <c r="C6" s="212">
        <v>45120</v>
      </c>
      <c r="D6" s="212" t="s">
        <v>195</v>
      </c>
      <c r="E6" s="212" t="s">
        <v>196</v>
      </c>
      <c r="F6" s="211" t="s">
        <v>179</v>
      </c>
      <c r="G6" s="211" t="s">
        <v>180</v>
      </c>
      <c r="H6" s="211" t="s">
        <v>197</v>
      </c>
      <c r="I6" s="211" t="s">
        <v>186</v>
      </c>
    </row>
    <row r="7" spans="1:9" ht="60">
      <c r="A7" s="210">
        <v>102079</v>
      </c>
      <c r="B7" s="212">
        <v>44909.691840277781</v>
      </c>
      <c r="C7" s="212">
        <v>45120</v>
      </c>
      <c r="D7" s="212" t="s">
        <v>195</v>
      </c>
      <c r="E7" s="212" t="s">
        <v>198</v>
      </c>
      <c r="F7" s="211" t="s">
        <v>179</v>
      </c>
      <c r="G7" s="211" t="s">
        <v>180</v>
      </c>
      <c r="H7" s="211" t="s">
        <v>199</v>
      </c>
      <c r="I7" s="211" t="s">
        <v>200</v>
      </c>
    </row>
    <row r="8" spans="1:9" ht="60">
      <c r="A8" s="210">
        <v>102078</v>
      </c>
      <c r="B8" s="212">
        <v>44909.691736111112</v>
      </c>
      <c r="C8" s="212">
        <v>45120</v>
      </c>
      <c r="D8" s="212" t="s">
        <v>195</v>
      </c>
      <c r="E8" s="212" t="s">
        <v>184</v>
      </c>
      <c r="F8" s="211" t="s">
        <v>179</v>
      </c>
      <c r="G8" s="211" t="s">
        <v>180</v>
      </c>
      <c r="H8" s="211" t="s">
        <v>201</v>
      </c>
      <c r="I8" s="211" t="s">
        <v>202</v>
      </c>
    </row>
    <row r="9" spans="1:9" ht="60">
      <c r="A9" s="210">
        <v>102077</v>
      </c>
      <c r="B9" s="212">
        <v>44909.691724537035</v>
      </c>
      <c r="C9" s="212">
        <v>45120</v>
      </c>
      <c r="D9" s="212" t="s">
        <v>195</v>
      </c>
      <c r="E9" s="212" t="s">
        <v>203</v>
      </c>
      <c r="F9" s="211" t="s">
        <v>179</v>
      </c>
      <c r="G9" s="211" t="s">
        <v>180</v>
      </c>
      <c r="H9" s="211" t="s">
        <v>204</v>
      </c>
      <c r="I9" s="211" t="s">
        <v>182</v>
      </c>
    </row>
    <row r="10" spans="1:9" ht="75">
      <c r="A10" s="210">
        <v>80448</v>
      </c>
      <c r="B10" s="212">
        <v>44523.021944444445</v>
      </c>
      <c r="C10" s="212">
        <v>44662</v>
      </c>
      <c r="D10" s="212" t="s">
        <v>205</v>
      </c>
      <c r="E10" s="212" t="s">
        <v>184</v>
      </c>
      <c r="F10" s="211" t="s">
        <v>179</v>
      </c>
      <c r="G10" s="211" t="s">
        <v>206</v>
      </c>
      <c r="H10" s="211" t="s">
        <v>207</v>
      </c>
      <c r="I10" s="211" t="s">
        <v>194</v>
      </c>
    </row>
    <row r="11" spans="1:9" ht="75">
      <c r="A11" s="210">
        <v>79605</v>
      </c>
      <c r="B11" s="212">
        <v>44512.871944444443</v>
      </c>
      <c r="C11" s="212">
        <v>44634</v>
      </c>
      <c r="D11" s="212" t="s">
        <v>208</v>
      </c>
      <c r="E11" s="212" t="s">
        <v>196</v>
      </c>
      <c r="F11" s="211" t="s">
        <v>179</v>
      </c>
      <c r="G11" s="211" t="s">
        <v>206</v>
      </c>
      <c r="H11" s="211" t="s">
        <v>209</v>
      </c>
      <c r="I11" s="211" t="s">
        <v>210</v>
      </c>
    </row>
    <row r="12" spans="1:9" ht="75">
      <c r="A12" s="210">
        <v>79604</v>
      </c>
      <c r="B12" s="212">
        <v>44512.871817129628</v>
      </c>
      <c r="C12" s="212">
        <v>44651</v>
      </c>
      <c r="D12" s="212" t="s">
        <v>208</v>
      </c>
      <c r="E12" s="212" t="s">
        <v>178</v>
      </c>
      <c r="F12" s="211" t="s">
        <v>179</v>
      </c>
      <c r="G12" s="211" t="s">
        <v>206</v>
      </c>
      <c r="H12" s="211" t="s">
        <v>211</v>
      </c>
      <c r="I12" s="211" t="s">
        <v>212</v>
      </c>
    </row>
    <row r="13" spans="1:9" ht="75">
      <c r="A13" s="210">
        <v>79603</v>
      </c>
      <c r="B13" s="212">
        <v>44512.871805555558</v>
      </c>
      <c r="C13" s="212">
        <v>44634</v>
      </c>
      <c r="D13" s="212" t="s">
        <v>208</v>
      </c>
      <c r="E13" s="212" t="s">
        <v>188</v>
      </c>
      <c r="F13" s="211" t="s">
        <v>179</v>
      </c>
      <c r="G13" s="211" t="s">
        <v>206</v>
      </c>
      <c r="H13" s="211" t="s">
        <v>213</v>
      </c>
      <c r="I13" s="211" t="s">
        <v>190</v>
      </c>
    </row>
    <row r="14" spans="1:9" ht="75">
      <c r="A14" s="210">
        <v>79601</v>
      </c>
      <c r="B14" s="212">
        <v>44512.871562499997</v>
      </c>
      <c r="C14" s="212">
        <v>44634</v>
      </c>
      <c r="D14" s="212" t="s">
        <v>208</v>
      </c>
      <c r="E14" s="212" t="s">
        <v>214</v>
      </c>
      <c r="F14" s="211" t="s">
        <v>179</v>
      </c>
      <c r="G14" s="211" t="s">
        <v>206</v>
      </c>
      <c r="H14" s="211" t="s">
        <v>215</v>
      </c>
      <c r="I14" s="211" t="s">
        <v>216</v>
      </c>
    </row>
    <row r="15" spans="1:9" ht="75">
      <c r="A15" s="210">
        <v>41122</v>
      </c>
      <c r="B15" s="212">
        <v>43739.82917824074</v>
      </c>
      <c r="C15" s="212">
        <v>44165</v>
      </c>
      <c r="D15" s="212" t="s">
        <v>217</v>
      </c>
      <c r="E15" s="212" t="s">
        <v>188</v>
      </c>
      <c r="F15" s="211" t="s">
        <v>179</v>
      </c>
      <c r="G15" s="211" t="s">
        <v>206</v>
      </c>
      <c r="H15" s="211" t="s">
        <v>218</v>
      </c>
      <c r="I15" s="211" t="s">
        <v>219</v>
      </c>
    </row>
    <row r="16" spans="1:9" ht="75">
      <c r="A16" s="210">
        <v>41121</v>
      </c>
      <c r="B16" s="212">
        <v>43739.8284375</v>
      </c>
      <c r="C16" s="212">
        <v>44165</v>
      </c>
      <c r="D16" s="212" t="s">
        <v>217</v>
      </c>
      <c r="E16" s="212" t="s">
        <v>184</v>
      </c>
      <c r="F16" s="211" t="s">
        <v>179</v>
      </c>
      <c r="G16" s="211" t="s">
        <v>206</v>
      </c>
      <c r="H16" s="211" t="s">
        <v>220</v>
      </c>
      <c r="I16" s="211" t="s">
        <v>200</v>
      </c>
    </row>
    <row r="17" spans="1:9" ht="75">
      <c r="A17" s="210">
        <v>41118</v>
      </c>
      <c r="B17" s="212">
        <v>43739.794548611113</v>
      </c>
      <c r="C17" s="212">
        <v>44165</v>
      </c>
      <c r="D17" s="212" t="s">
        <v>217</v>
      </c>
      <c r="E17" s="212" t="s">
        <v>203</v>
      </c>
      <c r="F17" s="211" t="s">
        <v>179</v>
      </c>
      <c r="G17" s="211" t="s">
        <v>206</v>
      </c>
      <c r="H17" s="211" t="s">
        <v>221</v>
      </c>
      <c r="I17" s="211" t="s">
        <v>219</v>
      </c>
    </row>
    <row r="18" spans="1:9" ht="90">
      <c r="A18" s="210">
        <v>34573</v>
      </c>
      <c r="B18" s="212">
        <v>43452.612326388888</v>
      </c>
      <c r="C18" s="212">
        <v>43554</v>
      </c>
      <c r="D18" s="212" t="s">
        <v>222</v>
      </c>
      <c r="E18" s="212" t="s">
        <v>188</v>
      </c>
      <c r="F18" s="211" t="s">
        <v>179</v>
      </c>
      <c r="G18" s="211" t="s">
        <v>206</v>
      </c>
      <c r="H18" s="211" t="s">
        <v>223</v>
      </c>
      <c r="I18" s="211" t="s">
        <v>224</v>
      </c>
    </row>
    <row r="19" spans="1:9" ht="90">
      <c r="A19" s="210">
        <v>34572</v>
      </c>
      <c r="B19" s="212">
        <v>43452.608553240738</v>
      </c>
      <c r="C19" s="212">
        <v>43554</v>
      </c>
      <c r="D19" s="212" t="s">
        <v>225</v>
      </c>
      <c r="E19" s="212" t="s">
        <v>184</v>
      </c>
      <c r="F19" s="211" t="s">
        <v>179</v>
      </c>
      <c r="G19" s="211" t="s">
        <v>206</v>
      </c>
      <c r="H19" s="211" t="s">
        <v>226</v>
      </c>
      <c r="I19" s="211" t="s">
        <v>219</v>
      </c>
    </row>
    <row r="20" spans="1:9" ht="90">
      <c r="A20" s="210">
        <v>34570</v>
      </c>
      <c r="B20" s="212">
        <v>43452.602696759262</v>
      </c>
      <c r="C20" s="212">
        <v>43554</v>
      </c>
      <c r="D20" s="212" t="s">
        <v>227</v>
      </c>
      <c r="E20" s="212" t="s">
        <v>203</v>
      </c>
      <c r="F20" s="211" t="s">
        <v>179</v>
      </c>
      <c r="G20" s="211" t="s">
        <v>206</v>
      </c>
      <c r="H20" s="211" t="s">
        <v>228</v>
      </c>
      <c r="I20" s="211" t="s">
        <v>229</v>
      </c>
    </row>
  </sheetData>
  <hyperlinks>
    <hyperlink ref="A1" r:id="rId1" tooltip="ordenar por Orden de Compra" display="https://operaciones.colombiacompra.gov.co/tienda-virtual-del-estado-colombiano/ordenes-compra?number_order=&amp;state=&amp;entity=SECRETARIA%20DE%20EDUCACION&amp;supplier=&amp;tool=Consumibles%20de%20Impresi%C3%B3n&amp;date_to=&amp;date_from=&amp;sort=desc&amp;order=Orden%20de%20Compra" xr:uid="{037B0CA6-CE9C-4DFF-8E05-3DD205352A9D}"/>
    <hyperlink ref="B1" r:id="rId2" tooltip="ordenar por Fecha de la orden" display="https://operaciones.colombiacompra.gov.co/tienda-virtual-del-estado-colombiano/ordenes-compra?number_order=&amp;state=&amp;entity=SECRETARIA%20DE%20EDUCACION&amp;supplier=&amp;tool=Consumibles%20de%20Impresi%C3%B3n&amp;date_to=&amp;date_from=&amp;sort=asc&amp;order=Fecha%20de%20la%20orden" xr:uid="{CC12339F-ECB6-4A1F-9A80-23A8091A7416}"/>
    <hyperlink ref="F1" r:id="rId3" tooltip="ordenar por Estado" display="https://operaciones.colombiacompra.gov.co/tienda-virtual-del-estado-colombiano/ordenes-compra?number_order=&amp;state=&amp;entity=SECRETARIA%20DE%20EDUCACION&amp;supplier=&amp;tool=Consumibles%20de%20Impresi%C3%B3n&amp;date_to=&amp;date_from=&amp;sort=asc&amp;order=Estado" xr:uid="{F3957AE4-5E5F-4D0F-B863-83F5BB45FE63}"/>
    <hyperlink ref="G1" r:id="rId4" tooltip="ordenar por Instrumento" display="https://operaciones.colombiacompra.gov.co/tienda-virtual-del-estado-colombiano/ordenes-compra?number_order=&amp;state=&amp;entity=SECRETARIA%20DE%20EDUCACION&amp;supplier=&amp;tool=Consumibles%20de%20Impresi%C3%B3n&amp;date_to=&amp;date_from=&amp;sort=asc&amp;order=Instrumento" xr:uid="{92C79395-B0F2-4A83-8CC9-F52449AE0E97}"/>
    <hyperlink ref="H1" r:id="rId5" tooltip="ordenar por Total" display="https://operaciones.colombiacompra.gov.co/tienda-virtual-del-estado-colombiano/ordenes-compra?number_order=&amp;state=&amp;entity=SECRETARIA%20DE%20EDUCACION&amp;supplier=&amp;tool=Consumibles%20de%20Impresi%C3%B3n&amp;date_to=&amp;date_from=&amp;sort=asc&amp;order=Total" xr:uid="{ED86A6EB-F236-49E8-AA57-A717BD38C17F}"/>
    <hyperlink ref="I1" r:id="rId6" tooltip="ordenar por Proveedor" display="https://operaciones.colombiacompra.gov.co/tienda-virtual-del-estado-colombiano/ordenes-compra?number_order=&amp;state=&amp;entity=SECRETARIA%20DE%20EDUCACION&amp;supplier=&amp;tool=Consumibles%20de%20Impresi%C3%B3n&amp;date_to=&amp;date_from=&amp;sort=asc&amp;order=Proveedor" xr:uid="{8496D941-088D-46FB-9297-D5BCE3B6A1A2}"/>
    <hyperlink ref="A2" r:id="rId7" display="https://operaciones.colombiacompra.gov.co/tienda-virtual-del-estado-colombiano/ordenes-compra/113905" xr:uid="{C9ACFB55-1D20-48A8-A546-B53C46546BF8}"/>
    <hyperlink ref="A3" r:id="rId8" display="https://operaciones.colombiacompra.gov.co/tienda-virtual-del-estado-colombiano/ordenes-compra/113883" xr:uid="{D3668ABA-46E9-43D2-81B7-8743B487F8CD}"/>
    <hyperlink ref="A4" r:id="rId9" display="https://operaciones.colombiacompra.gov.co/tienda-virtual-del-estado-colombiano/ordenes-compra/113882" xr:uid="{702FDBB3-8E67-4402-89D4-6908D9A6D91C}"/>
    <hyperlink ref="A5" r:id="rId10" display="https://operaciones.colombiacompra.gov.co/tienda-virtual-del-estado-colombiano/ordenes-compra/113881" xr:uid="{BDFCC563-A2F8-4D90-B844-198E8C9F3116}"/>
    <hyperlink ref="A6" r:id="rId11" display="https://operaciones.colombiacompra.gov.co/tienda-virtual-del-estado-colombiano/ordenes-compra/102081" xr:uid="{23DC448D-5716-4F73-A751-434D101C6E7A}"/>
    <hyperlink ref="A7" r:id="rId12" display="https://operaciones.colombiacompra.gov.co/tienda-virtual-del-estado-colombiano/ordenes-compra/102079" xr:uid="{373FFB06-2C28-4B3C-9D97-842FC0D8D515}"/>
    <hyperlink ref="A8" r:id="rId13" display="https://operaciones.colombiacompra.gov.co/tienda-virtual-del-estado-colombiano/ordenes-compra/102078" xr:uid="{B18B5D71-F3EA-49A9-BC2A-21144CA8BB6B}"/>
    <hyperlink ref="A9" r:id="rId14" display="https://operaciones.colombiacompra.gov.co/tienda-virtual-del-estado-colombiano/ordenes-compra/102077" xr:uid="{45E4F1EE-0CD8-4410-A94F-43100CC0D225}"/>
    <hyperlink ref="A10" r:id="rId15" display="https://operaciones.colombiacompra.gov.co/tienda-virtual-del-estado-colombiano/ordenes-compra/80448" xr:uid="{449BCFD3-E010-454E-BC9A-DE5D4416E2E4}"/>
    <hyperlink ref="A11" r:id="rId16" display="https://operaciones.colombiacompra.gov.co/tienda-virtual-del-estado-colombiano/ordenes-compra/79605" xr:uid="{60A9F968-EB76-4838-96C9-6536140A9034}"/>
    <hyperlink ref="A12" r:id="rId17" display="https://operaciones.colombiacompra.gov.co/tienda-virtual-del-estado-colombiano/ordenes-compra/79604" xr:uid="{D310CA73-FD9A-4579-8A9C-F40E545A0688}"/>
    <hyperlink ref="A13" r:id="rId18" display="https://operaciones.colombiacompra.gov.co/tienda-virtual-del-estado-colombiano/ordenes-compra/79603" xr:uid="{3DC73D23-D5CD-4E15-92EA-64DF6FB868C7}"/>
    <hyperlink ref="A14" r:id="rId19" display="https://operaciones.colombiacompra.gov.co/tienda-virtual-del-estado-colombiano/ordenes-compra/79601" xr:uid="{2926FAE2-63C8-4B99-87F2-DC25D3EEC9D8}"/>
    <hyperlink ref="A15" r:id="rId20" display="https://operaciones.colombiacompra.gov.co/tienda-virtual-del-estado-colombiano/ordenes-compra/41122" xr:uid="{FE1A6F64-0F5A-435E-9202-0C8D0C0E3E97}"/>
    <hyperlink ref="A16" r:id="rId21" display="https://operaciones.colombiacompra.gov.co/tienda-virtual-del-estado-colombiano/ordenes-compra/41121" xr:uid="{7793518E-26D9-4C39-BB5C-EE320AD55920}"/>
    <hyperlink ref="A17" r:id="rId22" display="https://operaciones.colombiacompra.gov.co/tienda-virtual-del-estado-colombiano/ordenes-compra/41118" xr:uid="{96E4C42F-EFA3-49D5-B0D0-D06F6C2A9C50}"/>
    <hyperlink ref="A18" r:id="rId23" display="https://operaciones.colombiacompra.gov.co/tienda-virtual-del-estado-colombiano/ordenes-compra/34573" xr:uid="{DAB5E26A-1B7D-4B00-87D3-9843839EBFED}"/>
    <hyperlink ref="A19" r:id="rId24" display="https://operaciones.colombiacompra.gov.co/tienda-virtual-del-estado-colombiano/ordenes-compra/34572" xr:uid="{917D449F-098D-4046-B3E2-A535E7B913FD}"/>
    <hyperlink ref="A20" r:id="rId25" display="https://operaciones.colombiacompra.gov.co/tienda-virtual-del-estado-colombiano/ordenes-compra/34570" xr:uid="{47EB8547-B3E2-4DC9-9A0C-59820A52A783}"/>
  </hyperlinks>
  <pageMargins left="0.7" right="0.7" top="0.75" bottom="0.75" header="0.3" footer="0.3"/>
  <drawing r:id="rId2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DD4B2-20D5-489E-8E57-52B794935A60}">
  <dimension ref="A1:E7"/>
  <sheetViews>
    <sheetView workbookViewId="0">
      <selection activeCell="F35" sqref="F35"/>
    </sheetView>
  </sheetViews>
  <sheetFormatPr baseColWidth="10" defaultColWidth="46.42578125" defaultRowHeight="12.75"/>
  <cols>
    <col min="1" max="1" width="8.5703125" style="213" bestFit="1" customWidth="1"/>
    <col min="2" max="2" width="32.42578125" style="213" customWidth="1"/>
    <col min="3" max="3" width="37.85546875" style="215" bestFit="1" customWidth="1"/>
    <col min="4" max="4" width="11.85546875" style="216" customWidth="1"/>
    <col min="5" max="5" width="18.42578125" style="214" bestFit="1" customWidth="1"/>
    <col min="6" max="16384" width="46.42578125" style="213"/>
  </cols>
  <sheetData>
    <row r="1" spans="1:5" ht="33.75">
      <c r="A1" s="217" t="s">
        <v>230</v>
      </c>
      <c r="B1" s="217" t="s">
        <v>231</v>
      </c>
      <c r="C1" s="217" t="s">
        <v>232</v>
      </c>
      <c r="D1" s="217" t="s">
        <v>233</v>
      </c>
      <c r="E1" s="217" t="s">
        <v>234</v>
      </c>
    </row>
    <row r="2" spans="1:5" ht="22.5">
      <c r="A2" s="218">
        <v>2023</v>
      </c>
      <c r="B2" s="219" t="s">
        <v>235</v>
      </c>
      <c r="C2" s="219" t="s">
        <v>236</v>
      </c>
      <c r="D2" s="219">
        <v>4</v>
      </c>
      <c r="E2" s="220">
        <v>135210030</v>
      </c>
    </row>
    <row r="3" spans="1:5">
      <c r="A3" s="218">
        <v>2022</v>
      </c>
      <c r="B3" s="219" t="s">
        <v>237</v>
      </c>
      <c r="C3" s="219" t="s">
        <v>238</v>
      </c>
      <c r="D3" s="219">
        <v>7</v>
      </c>
      <c r="E3" s="220">
        <v>150207032</v>
      </c>
    </row>
    <row r="4" spans="1:5" ht="22.5">
      <c r="A4" s="218">
        <v>2021</v>
      </c>
      <c r="B4" s="219" t="s">
        <v>239</v>
      </c>
      <c r="C4" s="219" t="s">
        <v>240</v>
      </c>
      <c r="D4" s="219">
        <v>4</v>
      </c>
      <c r="E4" s="220">
        <v>186096537</v>
      </c>
    </row>
    <row r="5" spans="1:5">
      <c r="A5" s="218">
        <v>2019</v>
      </c>
      <c r="B5" s="219" t="s">
        <v>241</v>
      </c>
      <c r="C5" s="219" t="s">
        <v>242</v>
      </c>
      <c r="D5" s="219">
        <v>14</v>
      </c>
      <c r="E5" s="220">
        <v>467397625</v>
      </c>
    </row>
    <row r="6" spans="1:5">
      <c r="A6" s="218">
        <v>2018</v>
      </c>
      <c r="B6" s="219" t="s">
        <v>243</v>
      </c>
      <c r="C6" s="219" t="s">
        <v>244</v>
      </c>
      <c r="D6" s="219">
        <v>3</v>
      </c>
      <c r="E6" s="220">
        <v>77408011</v>
      </c>
    </row>
    <row r="7" spans="1:5">
      <c r="A7" s="218" t="s">
        <v>245</v>
      </c>
      <c r="B7" s="218" t="s">
        <v>246</v>
      </c>
      <c r="C7" s="219" t="s">
        <v>247</v>
      </c>
      <c r="D7" s="219" t="s">
        <v>247</v>
      </c>
      <c r="E7" s="221">
        <f>SUM(E2:E6)</f>
        <v>1016319235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B11C6-3F17-4A77-9749-C689B56DA2EF}">
  <dimension ref="B18:I78"/>
  <sheetViews>
    <sheetView topLeftCell="A80" workbookViewId="0">
      <selection activeCell="I78" sqref="I78"/>
    </sheetView>
  </sheetViews>
  <sheetFormatPr baseColWidth="10" defaultColWidth="11.42578125" defaultRowHeight="12.75"/>
  <cols>
    <col min="9" max="9" width="12.85546875" bestFit="1" customWidth="1"/>
  </cols>
  <sheetData>
    <row r="18" spans="2:9" ht="34.5" customHeight="1">
      <c r="B18" s="389" t="s">
        <v>248</v>
      </c>
      <c r="C18" s="389"/>
      <c r="D18" s="389"/>
      <c r="E18" s="389"/>
      <c r="F18" s="389"/>
      <c r="G18" s="389"/>
      <c r="H18" s="389"/>
      <c r="I18" s="173">
        <f>110*3688.8</f>
        <v>405768</v>
      </c>
    </row>
    <row r="38" spans="2:9">
      <c r="B38" s="389" t="s">
        <v>100</v>
      </c>
      <c r="C38" s="389"/>
      <c r="D38" s="389"/>
      <c r="E38" s="389"/>
      <c r="F38" s="389"/>
      <c r="G38" s="389"/>
      <c r="H38" s="389"/>
      <c r="I38" s="174">
        <v>329145.15999999997</v>
      </c>
    </row>
    <row r="52" spans="2:9">
      <c r="B52" s="389" t="s">
        <v>101</v>
      </c>
      <c r="C52" s="389"/>
      <c r="D52" s="389"/>
      <c r="E52" s="389"/>
      <c r="F52" s="389"/>
      <c r="G52" s="389"/>
      <c r="H52" s="389"/>
      <c r="I52" s="174">
        <v>389900</v>
      </c>
    </row>
    <row r="78" spans="2:9">
      <c r="B78" s="389" t="s">
        <v>103</v>
      </c>
      <c r="C78" s="389"/>
      <c r="D78" s="389"/>
      <c r="E78" s="389"/>
      <c r="F78" s="389"/>
      <c r="G78" s="389"/>
      <c r="H78" s="389"/>
      <c r="I78" s="174">
        <f>189*4257.5</f>
        <v>804667.5</v>
      </c>
    </row>
  </sheetData>
  <mergeCells count="4">
    <mergeCell ref="B18:H18"/>
    <mergeCell ref="B38:H38"/>
    <mergeCell ref="B52:H52"/>
    <mergeCell ref="B78:H7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AU62"/>
  <sheetViews>
    <sheetView showGridLines="0" zoomScale="80" zoomScaleNormal="80" zoomScaleSheetLayoutView="100" workbookViewId="0">
      <selection activeCell="N37" sqref="N37"/>
    </sheetView>
  </sheetViews>
  <sheetFormatPr baseColWidth="10" defaultColWidth="7.42578125" defaultRowHeight="12.75"/>
  <cols>
    <col min="1" max="1" width="6" style="94" customWidth="1"/>
    <col min="2" max="2" width="24.5703125" style="74" customWidth="1"/>
    <col min="3" max="3" width="9" style="74" customWidth="1"/>
    <col min="4" max="4" width="21.42578125" style="74" bestFit="1" customWidth="1"/>
    <col min="5" max="5" width="8.5703125" style="74" customWidth="1"/>
    <col min="6" max="7" width="11.85546875" style="86" customWidth="1"/>
    <col min="8" max="8" width="16.42578125" style="86" bestFit="1" customWidth="1"/>
    <col min="9" max="10" width="10.5703125" style="86" customWidth="1"/>
    <col min="11" max="11" width="16.42578125" style="86" bestFit="1" customWidth="1"/>
    <col min="12" max="13" width="14.5703125" style="86" customWidth="1"/>
    <col min="14" max="14" width="16.42578125" style="86" bestFit="1" customWidth="1"/>
    <col min="15" max="16" width="12.85546875" style="86" customWidth="1"/>
    <col min="17" max="17" width="16.42578125" style="86" bestFit="1" customWidth="1"/>
    <col min="18" max="18" width="2" style="91" hidden="1" customWidth="1"/>
    <col min="19" max="20" width="10.42578125" style="86" customWidth="1"/>
    <col min="21" max="21" width="13.42578125" style="86" customWidth="1"/>
    <col min="22" max="25" width="11.42578125" style="86" customWidth="1"/>
    <col min="26" max="26" width="7.140625" style="86" customWidth="1"/>
    <col min="27" max="28" width="13.85546875" style="86" customWidth="1"/>
    <col min="29" max="29" width="18.140625" style="86" customWidth="1"/>
    <col min="30" max="30" width="11.42578125" style="86" customWidth="1"/>
    <col min="31" max="31" width="11.42578125" style="86" hidden="1" customWidth="1"/>
    <col min="32" max="32" width="10.42578125" style="86" customWidth="1"/>
    <col min="33" max="33" width="12.42578125" style="86" customWidth="1"/>
    <col min="34" max="39" width="10.42578125" style="86" customWidth="1"/>
    <col min="40" max="40" width="11.42578125" style="86" customWidth="1"/>
    <col min="41" max="41" width="12.140625" style="77" customWidth="1"/>
    <col min="42" max="42" width="13.42578125" style="77" customWidth="1"/>
    <col min="43" max="43" width="11.42578125" style="77" customWidth="1"/>
    <col min="44" max="45" width="13.42578125" style="77" customWidth="1"/>
    <col min="46" max="46" width="113.42578125" style="77" customWidth="1"/>
    <col min="47" max="237" width="11.42578125" style="72" customWidth="1"/>
    <col min="238" max="16384" width="7.42578125" style="72"/>
  </cols>
  <sheetData>
    <row r="3" spans="1:47" ht="26.25" thickBot="1">
      <c r="A3" s="360" t="s">
        <v>73</v>
      </c>
      <c r="B3" s="361"/>
      <c r="C3" s="361"/>
      <c r="D3" s="362"/>
      <c r="E3" s="112"/>
      <c r="F3" s="76"/>
      <c r="G3" s="76"/>
      <c r="H3" s="76"/>
      <c r="I3" s="76"/>
      <c r="J3" s="76"/>
      <c r="K3" s="76"/>
      <c r="L3" s="76"/>
      <c r="M3" s="76"/>
      <c r="N3" s="76"/>
      <c r="O3" s="76"/>
      <c r="P3" s="76"/>
      <c r="Q3" s="76"/>
      <c r="R3" s="76"/>
      <c r="S3" s="80" t="s">
        <v>75</v>
      </c>
      <c r="T3" s="80" t="s">
        <v>76</v>
      </c>
      <c r="U3" s="80" t="s">
        <v>74</v>
      </c>
      <c r="V3" s="76"/>
      <c r="W3" s="76"/>
      <c r="X3" s="76"/>
      <c r="Y3" s="76"/>
      <c r="Z3" s="76"/>
      <c r="AA3" s="76"/>
      <c r="AB3" s="76"/>
      <c r="AC3" s="76"/>
      <c r="AD3" s="76"/>
      <c r="AE3" s="76"/>
      <c r="AF3" s="345" t="s">
        <v>249</v>
      </c>
      <c r="AG3" s="345"/>
      <c r="AH3" s="345"/>
      <c r="AI3" s="345"/>
      <c r="AJ3" s="345"/>
      <c r="AK3" s="345"/>
      <c r="AL3" s="345"/>
      <c r="AM3" s="345"/>
      <c r="AN3" s="345"/>
      <c r="AO3" s="345"/>
      <c r="AP3" s="345"/>
      <c r="AQ3" s="345"/>
      <c r="AR3" s="345"/>
    </row>
    <row r="4" spans="1:47" ht="13.5" customHeight="1" thickBot="1">
      <c r="A4" s="92"/>
      <c r="B4" s="37"/>
      <c r="C4" s="20"/>
      <c r="D4" s="20"/>
      <c r="E4" s="20"/>
      <c r="F4" s="20"/>
      <c r="G4" s="20"/>
      <c r="H4" s="76"/>
      <c r="I4" s="76"/>
      <c r="J4" s="76"/>
      <c r="K4" s="76"/>
      <c r="L4" s="76"/>
      <c r="M4" s="76"/>
      <c r="N4" s="76"/>
      <c r="O4" s="76"/>
      <c r="P4" s="76"/>
      <c r="Q4" s="76"/>
      <c r="R4" s="76"/>
      <c r="S4" s="76"/>
      <c r="U4" s="76"/>
      <c r="V4" s="76"/>
      <c r="W4" s="76"/>
      <c r="X4" s="76"/>
      <c r="Y4" s="76"/>
      <c r="Z4" s="76"/>
      <c r="AA4" s="76"/>
      <c r="AB4" s="76"/>
      <c r="AC4" s="76"/>
      <c r="AD4" s="76"/>
      <c r="AE4" s="76"/>
      <c r="AF4" s="76"/>
      <c r="AG4" s="76"/>
      <c r="AH4" s="76"/>
      <c r="AI4" s="76"/>
      <c r="AJ4" s="76"/>
      <c r="AK4" s="76"/>
      <c r="AL4" s="76"/>
      <c r="AM4" s="76"/>
      <c r="AN4" s="76"/>
      <c r="AO4" s="76"/>
      <c r="AP4" s="76"/>
      <c r="AQ4" s="76"/>
      <c r="AR4" s="76"/>
      <c r="AT4" s="390" t="s">
        <v>250</v>
      </c>
    </row>
    <row r="5" spans="1:47" s="22" customFormat="1" ht="26.25" customHeight="1">
      <c r="A5" s="394" t="s">
        <v>5</v>
      </c>
      <c r="B5" s="395"/>
      <c r="C5" s="395"/>
      <c r="D5" s="395"/>
      <c r="E5" s="110"/>
      <c r="F5" s="396" t="s">
        <v>251</v>
      </c>
      <c r="G5" s="396"/>
      <c r="H5" s="396"/>
      <c r="I5" s="397" t="s">
        <v>252</v>
      </c>
      <c r="J5" s="397"/>
      <c r="K5" s="397"/>
      <c r="L5" s="396" t="s">
        <v>253</v>
      </c>
      <c r="M5" s="396"/>
      <c r="N5" s="396"/>
      <c r="O5" s="397" t="s">
        <v>254</v>
      </c>
      <c r="P5" s="397"/>
      <c r="Q5" s="397"/>
      <c r="R5" s="87"/>
      <c r="S5" s="398" t="s">
        <v>20</v>
      </c>
      <c r="T5" s="399"/>
      <c r="U5" s="399"/>
      <c r="V5" s="400"/>
      <c r="W5" s="344" t="s">
        <v>19</v>
      </c>
      <c r="X5" s="344"/>
      <c r="Y5" s="344"/>
      <c r="Z5" s="76"/>
      <c r="AA5" s="345" t="s">
        <v>12</v>
      </c>
      <c r="AB5" s="345"/>
      <c r="AC5" s="345"/>
      <c r="AD5" s="76"/>
      <c r="AE5" s="76"/>
      <c r="AF5" s="398" t="s">
        <v>3</v>
      </c>
      <c r="AG5" s="400"/>
      <c r="AH5" s="393" t="s">
        <v>4</v>
      </c>
      <c r="AI5" s="393"/>
      <c r="AJ5" s="393"/>
      <c r="AK5" s="393"/>
      <c r="AL5" s="344" t="s">
        <v>18</v>
      </c>
      <c r="AM5" s="344"/>
      <c r="AN5" s="344"/>
      <c r="AO5" s="344"/>
      <c r="AP5" s="344" t="s">
        <v>19</v>
      </c>
      <c r="AQ5" s="344"/>
      <c r="AR5" s="344"/>
      <c r="AS5" s="77"/>
      <c r="AT5" s="390"/>
    </row>
    <row r="6" spans="1:47" s="22" customFormat="1" ht="51">
      <c r="A6" s="93" t="s">
        <v>22</v>
      </c>
      <c r="B6" s="75" t="s">
        <v>23</v>
      </c>
      <c r="C6" s="107" t="s">
        <v>82</v>
      </c>
      <c r="D6" s="75" t="s">
        <v>56</v>
      </c>
      <c r="E6" s="114" t="s">
        <v>25</v>
      </c>
      <c r="F6" s="88" t="s">
        <v>255</v>
      </c>
      <c r="G6" s="88" t="s">
        <v>256</v>
      </c>
      <c r="H6" s="88" t="s">
        <v>257</v>
      </c>
      <c r="I6" s="89" t="s">
        <v>255</v>
      </c>
      <c r="J6" s="89" t="s">
        <v>256</v>
      </c>
      <c r="K6" s="88" t="s">
        <v>257</v>
      </c>
      <c r="L6" s="88" t="s">
        <v>255</v>
      </c>
      <c r="M6" s="88" t="s">
        <v>256</v>
      </c>
      <c r="N6" s="88" t="s">
        <v>257</v>
      </c>
      <c r="O6" s="89" t="s">
        <v>255</v>
      </c>
      <c r="P6" s="89" t="s">
        <v>256</v>
      </c>
      <c r="Q6" s="88" t="s">
        <v>257</v>
      </c>
      <c r="R6" s="87"/>
      <c r="S6" s="115" t="s">
        <v>32</v>
      </c>
      <c r="T6" s="115" t="s">
        <v>31</v>
      </c>
      <c r="U6" s="115" t="s">
        <v>41</v>
      </c>
      <c r="V6" s="115" t="s">
        <v>33</v>
      </c>
      <c r="W6" s="79" t="s">
        <v>43</v>
      </c>
      <c r="X6" s="79" t="s">
        <v>44</v>
      </c>
      <c r="Y6" s="79" t="s">
        <v>45</v>
      </c>
      <c r="Z6" s="76"/>
      <c r="AA6" s="117" t="s">
        <v>47</v>
      </c>
      <c r="AB6" s="117" t="s">
        <v>35</v>
      </c>
      <c r="AC6" s="117" t="s">
        <v>36</v>
      </c>
      <c r="AD6" s="76"/>
      <c r="AE6" s="76"/>
      <c r="AF6" s="79" t="s">
        <v>39</v>
      </c>
      <c r="AG6" s="79" t="s">
        <v>40</v>
      </c>
      <c r="AH6" s="79" t="s">
        <v>258</v>
      </c>
      <c r="AI6" s="79" t="s">
        <v>259</v>
      </c>
      <c r="AJ6" s="79" t="s">
        <v>260</v>
      </c>
      <c r="AK6" s="79" t="s">
        <v>261</v>
      </c>
      <c r="AL6" s="79" t="s">
        <v>32</v>
      </c>
      <c r="AM6" s="79" t="s">
        <v>31</v>
      </c>
      <c r="AN6" s="79" t="s">
        <v>41</v>
      </c>
      <c r="AO6" s="79" t="s">
        <v>33</v>
      </c>
      <c r="AP6" s="79" t="s">
        <v>43</v>
      </c>
      <c r="AQ6" s="79" t="s">
        <v>44</v>
      </c>
      <c r="AR6" s="79" t="s">
        <v>45</v>
      </c>
      <c r="AS6" s="77"/>
      <c r="AT6" s="390"/>
    </row>
    <row r="7" spans="1:47" s="27" customFormat="1" ht="12" customHeight="1">
      <c r="A7" s="96">
        <v>1</v>
      </c>
      <c r="B7" s="105" t="s">
        <v>262</v>
      </c>
      <c r="C7" s="109">
        <v>800</v>
      </c>
      <c r="D7" s="104" t="s">
        <v>263</v>
      </c>
      <c r="E7" s="113">
        <v>0.19</v>
      </c>
      <c r="F7" s="97">
        <v>5000</v>
      </c>
      <c r="G7" s="97">
        <f t="shared" ref="G7:G47" si="0">ROUND(F7*(1+$E7),0)</f>
        <v>5950</v>
      </c>
      <c r="H7" s="120">
        <f>ROUND(G7*$C7,0)</f>
        <v>4760000</v>
      </c>
      <c r="I7" s="97">
        <v>2500</v>
      </c>
      <c r="J7" s="97">
        <f t="shared" ref="J7:J47" si="1">ROUND(I7*(1+$E7),0)</f>
        <v>2975</v>
      </c>
      <c r="K7" s="120">
        <f>ROUND(J7*$C7,0)</f>
        <v>2380000</v>
      </c>
      <c r="L7" s="97">
        <v>1950</v>
      </c>
      <c r="M7" s="97">
        <f t="shared" ref="M7:M47" si="2">ROUND(L7*(1+$E7),0)</f>
        <v>2321</v>
      </c>
      <c r="N7" s="120">
        <f>ROUND(M7*$C7,0)</f>
        <v>1856800</v>
      </c>
      <c r="O7" s="97">
        <v>16900</v>
      </c>
      <c r="P7" s="97">
        <f t="shared" ref="P7:P47" si="3">ROUND(O7*(1+$E7),0)</f>
        <v>20111</v>
      </c>
      <c r="Q7" s="120">
        <f>ROUND(P7*$C7,0)</f>
        <v>16088800</v>
      </c>
      <c r="R7" s="98"/>
      <c r="S7" s="116">
        <f>ROUND(AVERAGE($F7,$I7,$L7,$O7),0)</f>
        <v>6588</v>
      </c>
      <c r="T7" s="116">
        <f>ROUND(MEDIAN($F7,$I7,$L7,$O7),0)</f>
        <v>3750</v>
      </c>
      <c r="U7" s="116">
        <f>ROUND(GEOMEAN($F7,$I7,$L7,$O7),0)</f>
        <v>4505</v>
      </c>
      <c r="V7" s="116">
        <f>+STDEV($F7,$I7,$L7,$O7)</f>
        <v>7001.9491333961196</v>
      </c>
      <c r="W7" s="100">
        <f>V7/$S7</f>
        <v>1.0628338089550879</v>
      </c>
      <c r="X7" s="100">
        <f>T7/V7</f>
        <v>0.53556515886615086</v>
      </c>
      <c r="Y7" s="100">
        <f>U7/V7</f>
        <v>0.6433922775178692</v>
      </c>
      <c r="Z7" s="78"/>
      <c r="AA7" s="119">
        <f>((MIN(S7:U7)*3)+SMALL(S7:U7,2)+SMALL(S7:U7,3))/5</f>
        <v>4468.6000000000004</v>
      </c>
      <c r="AB7" s="119">
        <f>ROUND(AA7*(1+$E7),0)</f>
        <v>5318</v>
      </c>
      <c r="AC7" s="119">
        <f>ROUND(AB7*$C7,0)</f>
        <v>4254400</v>
      </c>
      <c r="AD7" s="76"/>
      <c r="AE7" s="76"/>
      <c r="AF7" s="99">
        <f t="shared" ref="AF7:AF47" si="4">+S7+V7</f>
        <v>13589.94913339612</v>
      </c>
      <c r="AG7" s="99">
        <f t="shared" ref="AG7:AG47" si="5">S7-V7</f>
        <v>-413.94913339611958</v>
      </c>
      <c r="AH7" s="97">
        <f t="shared" ref="AH7:AH47" si="6">IF(((IF(AND(F7&lt;=$AF7,F7&gt;=$AG7),F7,""))&lt;=0),"",(IF(AND(F7&lt;=$AF7,F7&gt;=$AG7),F7,"")))</f>
        <v>5000</v>
      </c>
      <c r="AI7" s="97">
        <f t="shared" ref="AI7:AI47" si="7">IF(((IF(AND(I7&lt;=$AF7,I7&gt;=$AG7),I7,""))&lt;=0),"",(IF(AND(I7&lt;=$AF7,I7&gt;=$AG7),I7,"")))</f>
        <v>2500</v>
      </c>
      <c r="AJ7" s="97">
        <f>IF(((IF(AND(L7&lt;=$AF7,L7&gt;=$AG7),L7,""))&lt;=0),"",(IF(AND(L7&lt;=$AF7,L7&gt;=$AG7),L7,"")))</f>
        <v>1950</v>
      </c>
      <c r="AK7" s="97" t="str">
        <f t="shared" ref="AK7:AK47" si="8">IF(((IF(AND(P7&lt;=$AF7,P7&gt;=$AG7),P7,""))&lt;=0),"",(IF(AND(P7&lt;=$AF7,P7&gt;=$AG7),P7,"")))</f>
        <v/>
      </c>
      <c r="AL7" s="97">
        <f>ROUND(+AVERAGE($AH7:$AK7),0)</f>
        <v>3150</v>
      </c>
      <c r="AM7" s="97">
        <f>ROUND(MEDIAN($AH7:$AK7),0)</f>
        <v>2500</v>
      </c>
      <c r="AN7" s="97">
        <f>ROUND(GEOMEAN($AH7:$AK7),0)</f>
        <v>2899</v>
      </c>
      <c r="AO7" s="101">
        <f t="shared" ref="AO7:AO47" si="9">STDEV(AH7:AK7)</f>
        <v>1625.5768207008859</v>
      </c>
      <c r="AP7" s="102">
        <f>AO7/AL7</f>
        <v>0.51605613355583679</v>
      </c>
      <c r="AQ7" s="102">
        <f>AO7/AM7</f>
        <v>0.65023072828035433</v>
      </c>
      <c r="AR7" s="102">
        <f>AP7/AN7</f>
        <v>1.7801177425175467E-4</v>
      </c>
      <c r="AS7" s="77"/>
      <c r="AT7" s="390"/>
      <c r="AU7" s="49"/>
    </row>
    <row r="8" spans="1:47" s="28" customFormat="1" ht="12" customHeight="1">
      <c r="A8" s="96">
        <v>2</v>
      </c>
      <c r="B8" s="105" t="s">
        <v>264</v>
      </c>
      <c r="C8" s="109">
        <v>50</v>
      </c>
      <c r="D8" s="104" t="s">
        <v>61</v>
      </c>
      <c r="E8" s="113">
        <v>0.19</v>
      </c>
      <c r="F8" s="97">
        <v>4000</v>
      </c>
      <c r="G8" s="111">
        <f t="shared" si="0"/>
        <v>4760</v>
      </c>
      <c r="H8" s="120">
        <f t="shared" ref="H8:H47" si="10">ROUND(G8*$C8,0)</f>
        <v>238000</v>
      </c>
      <c r="I8" s="97">
        <v>3500</v>
      </c>
      <c r="J8" s="97">
        <f t="shared" si="1"/>
        <v>4165</v>
      </c>
      <c r="K8" s="120">
        <f t="shared" ref="K8:K46" si="11">ROUND(J8*$C8,0)</f>
        <v>208250</v>
      </c>
      <c r="L8" s="97">
        <v>2800</v>
      </c>
      <c r="M8" s="97">
        <f t="shared" si="2"/>
        <v>3332</v>
      </c>
      <c r="N8" s="120">
        <f t="shared" ref="N8:N47" si="12">ROUND(M8*$C8,0)</f>
        <v>166600</v>
      </c>
      <c r="O8" s="97">
        <v>5900</v>
      </c>
      <c r="P8" s="111">
        <f t="shared" si="3"/>
        <v>7021</v>
      </c>
      <c r="Q8" s="120">
        <f t="shared" ref="Q8:Q47" si="13">ROUND(P8*$C8,0)</f>
        <v>351050</v>
      </c>
      <c r="R8" s="98"/>
      <c r="S8" s="116">
        <f t="shared" ref="S8:S47" si="14">ROUND(AVERAGE($F8,$I8,$L8,$O8),0)</f>
        <v>4050</v>
      </c>
      <c r="T8" s="116">
        <f t="shared" ref="T8:T47" si="15">ROUND(MEDIAN($F8,$I8,$L8,$O8),0)</f>
        <v>3750</v>
      </c>
      <c r="U8" s="116">
        <f t="shared" ref="U8:U47" si="16">ROUND(GEOMEAN($F8,$I8,$L8,$O8),0)</f>
        <v>3900</v>
      </c>
      <c r="V8" s="116">
        <f t="shared" ref="V8:V47" si="17">+STDEV($F8,$I8,$L8,$O8)</f>
        <v>1327.9056191361392</v>
      </c>
      <c r="W8" s="100">
        <f t="shared" ref="W8:W47" si="18">V8/$S8</f>
        <v>0.32787793065089854</v>
      </c>
      <c r="X8" s="100">
        <f t="shared" ref="X8:X47" si="19">T8/V8</f>
        <v>2.8239958819057782</v>
      </c>
      <c r="Y8" s="100">
        <f t="shared" ref="Y8:Y47" si="20">U8/V8</f>
        <v>2.9369557171820095</v>
      </c>
      <c r="Z8" s="76"/>
      <c r="AA8" s="119">
        <f t="shared" ref="AA8:AA47" si="21">((MIN(S8:U8)*3)+SMALL(S8:U8,2)+SMALL(S8:U8,3))/5</f>
        <v>3840</v>
      </c>
      <c r="AB8" s="119">
        <f t="shared" ref="AB8:AB47" si="22">ROUND(AA8*(1+$E8),0)</f>
        <v>4570</v>
      </c>
      <c r="AC8" s="119">
        <f t="shared" ref="AC8:AC47" si="23">ROUND(AB8*$C8,0)</f>
        <v>228500</v>
      </c>
      <c r="AD8" s="76"/>
      <c r="AE8" s="76"/>
      <c r="AF8" s="99">
        <f t="shared" si="4"/>
        <v>5377.9056191361396</v>
      </c>
      <c r="AG8" s="99">
        <f t="shared" si="5"/>
        <v>2722.0943808638608</v>
      </c>
      <c r="AH8" s="97">
        <f t="shared" si="6"/>
        <v>4000</v>
      </c>
      <c r="AI8" s="97">
        <f t="shared" si="7"/>
        <v>3500</v>
      </c>
      <c r="AJ8" s="97">
        <f t="shared" ref="AJ8:AJ47" si="24">IF(((IF(AND(M8&lt;=$AF8,M8&gt;=$AG8),M8,""))&lt;=0),"",(IF(AND(M8&lt;=$AF8,M8&gt;=$AG8),M8,"")))</f>
        <v>3332</v>
      </c>
      <c r="AK8" s="97" t="str">
        <f t="shared" si="8"/>
        <v/>
      </c>
      <c r="AL8" s="97">
        <f t="shared" ref="AL8:AL47" si="25">ROUND(+AVERAGE(AH8:AK8),0)</f>
        <v>3611</v>
      </c>
      <c r="AM8" s="97">
        <f t="shared" ref="AM8:AM47" si="26">ROUND(MEDIAN($AH8:$AK8),0)</f>
        <v>3500</v>
      </c>
      <c r="AN8" s="97">
        <f t="shared" ref="AN8:AN47" si="27">ROUND(GEOMEAN($AH8:$AK8),0)</f>
        <v>3600</v>
      </c>
      <c r="AO8" s="101">
        <f t="shared" si="9"/>
        <v>347.47853650741268</v>
      </c>
      <c r="AP8" s="102">
        <f t="shared" ref="AP8:AP47" si="28">AO8/AL8</f>
        <v>9.6227786349325037E-2</v>
      </c>
      <c r="AQ8" s="102">
        <f t="shared" ref="AQ8:AQ47" si="29">AO8/AM8</f>
        <v>9.9279581859260765E-2</v>
      </c>
      <c r="AR8" s="102">
        <f t="shared" ref="AR8:AR47" si="30">AP8/AN8</f>
        <v>2.6729940652590289E-5</v>
      </c>
      <c r="AS8" s="77"/>
      <c r="AT8" s="390"/>
    </row>
    <row r="9" spans="1:47" s="28" customFormat="1" ht="12" customHeight="1">
      <c r="A9" s="96">
        <v>3</v>
      </c>
      <c r="B9" s="105" t="s">
        <v>265</v>
      </c>
      <c r="C9" s="109">
        <v>200</v>
      </c>
      <c r="D9" s="104" t="s">
        <v>61</v>
      </c>
      <c r="E9" s="113">
        <v>0.19</v>
      </c>
      <c r="F9" s="97">
        <v>800</v>
      </c>
      <c r="G9" s="111">
        <f t="shared" si="0"/>
        <v>952</v>
      </c>
      <c r="H9" s="120">
        <f t="shared" si="10"/>
        <v>190400</v>
      </c>
      <c r="I9" s="97">
        <v>1375</v>
      </c>
      <c r="J9" s="97">
        <f t="shared" si="1"/>
        <v>1636</v>
      </c>
      <c r="K9" s="120">
        <f t="shared" si="11"/>
        <v>327200</v>
      </c>
      <c r="L9" s="97">
        <v>1400</v>
      </c>
      <c r="M9" s="97">
        <f t="shared" si="2"/>
        <v>1666</v>
      </c>
      <c r="N9" s="120">
        <f t="shared" si="12"/>
        <v>333200</v>
      </c>
      <c r="O9" s="97">
        <v>1000</v>
      </c>
      <c r="P9" s="111">
        <f t="shared" si="3"/>
        <v>1190</v>
      </c>
      <c r="Q9" s="120">
        <f t="shared" si="13"/>
        <v>238000</v>
      </c>
      <c r="R9" s="98"/>
      <c r="S9" s="116">
        <f t="shared" si="14"/>
        <v>1144</v>
      </c>
      <c r="T9" s="116">
        <f t="shared" si="15"/>
        <v>1188</v>
      </c>
      <c r="U9" s="116">
        <f t="shared" si="16"/>
        <v>1114</v>
      </c>
      <c r="V9" s="116">
        <f t="shared" si="17"/>
        <v>293.2398051652151</v>
      </c>
      <c r="W9" s="100">
        <f t="shared" si="18"/>
        <v>0.25632850101854465</v>
      </c>
      <c r="X9" s="100">
        <f t="shared" si="19"/>
        <v>4.0512917382777056</v>
      </c>
      <c r="Y9" s="100">
        <f t="shared" si="20"/>
        <v>3.7989385491930672</v>
      </c>
      <c r="Z9" s="76"/>
      <c r="AA9" s="119">
        <f t="shared" si="21"/>
        <v>1134.8</v>
      </c>
      <c r="AB9" s="119">
        <f t="shared" si="22"/>
        <v>1350</v>
      </c>
      <c r="AC9" s="119">
        <f t="shared" si="23"/>
        <v>270000</v>
      </c>
      <c r="AD9" s="76"/>
      <c r="AE9" s="76"/>
      <c r="AF9" s="99">
        <f t="shared" si="4"/>
        <v>1437.2398051652151</v>
      </c>
      <c r="AG9" s="99">
        <f t="shared" si="5"/>
        <v>850.7601948347849</v>
      </c>
      <c r="AH9" s="97" t="str">
        <f t="shared" si="6"/>
        <v/>
      </c>
      <c r="AI9" s="97">
        <f t="shared" si="7"/>
        <v>1375</v>
      </c>
      <c r="AJ9" s="97" t="str">
        <f t="shared" si="24"/>
        <v/>
      </c>
      <c r="AK9" s="97">
        <f t="shared" si="8"/>
        <v>1190</v>
      </c>
      <c r="AL9" s="97">
        <f t="shared" si="25"/>
        <v>1283</v>
      </c>
      <c r="AM9" s="97">
        <f t="shared" si="26"/>
        <v>1283</v>
      </c>
      <c r="AN9" s="97">
        <f t="shared" si="27"/>
        <v>1279</v>
      </c>
      <c r="AO9" s="101">
        <f t="shared" si="9"/>
        <v>130.8147545195113</v>
      </c>
      <c r="AP9" s="102">
        <f t="shared" si="28"/>
        <v>0.10196005808223796</v>
      </c>
      <c r="AQ9" s="102">
        <f t="shared" si="29"/>
        <v>0.10196005808223796</v>
      </c>
      <c r="AR9" s="102">
        <f t="shared" si="30"/>
        <v>7.9718575513868615E-5</v>
      </c>
      <c r="AS9" s="77"/>
      <c r="AT9" s="390"/>
    </row>
    <row r="10" spans="1:47" s="28" customFormat="1" ht="12" customHeight="1">
      <c r="A10" s="96">
        <v>4</v>
      </c>
      <c r="B10" s="105" t="s">
        <v>266</v>
      </c>
      <c r="C10" s="109">
        <v>50</v>
      </c>
      <c r="D10" s="104" t="s">
        <v>61</v>
      </c>
      <c r="E10" s="113">
        <v>0.19</v>
      </c>
      <c r="F10" s="97">
        <v>3800</v>
      </c>
      <c r="G10" s="111">
        <f t="shared" si="0"/>
        <v>4522</v>
      </c>
      <c r="H10" s="120">
        <f t="shared" si="10"/>
        <v>226100</v>
      </c>
      <c r="I10" s="97">
        <v>2200</v>
      </c>
      <c r="J10" s="97">
        <f t="shared" si="1"/>
        <v>2618</v>
      </c>
      <c r="K10" s="120">
        <f t="shared" si="11"/>
        <v>130900</v>
      </c>
      <c r="L10" s="97">
        <v>2300</v>
      </c>
      <c r="M10" s="97">
        <f t="shared" si="2"/>
        <v>2737</v>
      </c>
      <c r="N10" s="120">
        <f t="shared" si="12"/>
        <v>136850</v>
      </c>
      <c r="O10" s="97">
        <v>5000</v>
      </c>
      <c r="P10" s="111">
        <f t="shared" si="3"/>
        <v>5950</v>
      </c>
      <c r="Q10" s="120">
        <f t="shared" si="13"/>
        <v>297500</v>
      </c>
      <c r="R10" s="98"/>
      <c r="S10" s="116">
        <f t="shared" si="14"/>
        <v>3325</v>
      </c>
      <c r="T10" s="116">
        <f t="shared" si="15"/>
        <v>3050</v>
      </c>
      <c r="U10" s="116">
        <f t="shared" si="16"/>
        <v>3131</v>
      </c>
      <c r="V10" s="116">
        <f t="shared" si="17"/>
        <v>1335.1029922818689</v>
      </c>
      <c r="W10" s="100">
        <f t="shared" si="18"/>
        <v>0.4015347345208628</v>
      </c>
      <c r="X10" s="100">
        <f t="shared" si="19"/>
        <v>2.2844679531330714</v>
      </c>
      <c r="Y10" s="100">
        <f t="shared" si="20"/>
        <v>2.3451374299211958</v>
      </c>
      <c r="Z10" s="76"/>
      <c r="AA10" s="119">
        <f t="shared" si="21"/>
        <v>3121.2</v>
      </c>
      <c r="AB10" s="119">
        <f t="shared" si="22"/>
        <v>3714</v>
      </c>
      <c r="AC10" s="119">
        <f t="shared" si="23"/>
        <v>185700</v>
      </c>
      <c r="AD10" s="76"/>
      <c r="AE10" s="76"/>
      <c r="AF10" s="99">
        <f t="shared" si="4"/>
        <v>4660.1029922818689</v>
      </c>
      <c r="AG10" s="99">
        <f t="shared" si="5"/>
        <v>1989.8970077181311</v>
      </c>
      <c r="AH10" s="97">
        <f t="shared" si="6"/>
        <v>3800</v>
      </c>
      <c r="AI10" s="97">
        <f t="shared" si="7"/>
        <v>2200</v>
      </c>
      <c r="AJ10" s="97">
        <f t="shared" si="24"/>
        <v>2737</v>
      </c>
      <c r="AK10" s="97" t="str">
        <f t="shared" si="8"/>
        <v/>
      </c>
      <c r="AL10" s="97">
        <f t="shared" si="25"/>
        <v>2912</v>
      </c>
      <c r="AM10" s="97">
        <f t="shared" si="26"/>
        <v>2737</v>
      </c>
      <c r="AN10" s="97">
        <f t="shared" si="27"/>
        <v>2839</v>
      </c>
      <c r="AO10" s="101">
        <f t="shared" si="9"/>
        <v>814.28271093848844</v>
      </c>
      <c r="AP10" s="102">
        <f t="shared" si="28"/>
        <v>0.27963005183327211</v>
      </c>
      <c r="AQ10" s="102">
        <f t="shared" si="29"/>
        <v>0.29750921115765017</v>
      </c>
      <c r="AR10" s="102">
        <f t="shared" si="30"/>
        <v>9.8495967535495635E-5</v>
      </c>
      <c r="AS10" s="77"/>
      <c r="AT10" s="390"/>
    </row>
    <row r="11" spans="1:47" s="28" customFormat="1" ht="12" customHeight="1">
      <c r="A11" s="96">
        <v>5</v>
      </c>
      <c r="B11" s="105" t="s">
        <v>267</v>
      </c>
      <c r="C11" s="109">
        <v>100</v>
      </c>
      <c r="D11" s="104" t="s">
        <v>268</v>
      </c>
      <c r="E11" s="113">
        <v>0.19</v>
      </c>
      <c r="F11" s="97">
        <v>6000</v>
      </c>
      <c r="G11" s="111">
        <f t="shared" si="0"/>
        <v>7140</v>
      </c>
      <c r="H11" s="120">
        <f t="shared" si="10"/>
        <v>714000</v>
      </c>
      <c r="I11" s="97">
        <v>6175</v>
      </c>
      <c r="J11" s="97">
        <f t="shared" si="1"/>
        <v>7348</v>
      </c>
      <c r="K11" s="120">
        <f t="shared" si="11"/>
        <v>734800</v>
      </c>
      <c r="L11" s="97">
        <v>4100</v>
      </c>
      <c r="M11" s="97">
        <f t="shared" si="2"/>
        <v>4879</v>
      </c>
      <c r="N11" s="120">
        <f t="shared" si="12"/>
        <v>487900</v>
      </c>
      <c r="O11" s="97">
        <v>8500</v>
      </c>
      <c r="P11" s="111">
        <f t="shared" si="3"/>
        <v>10115</v>
      </c>
      <c r="Q11" s="120">
        <f t="shared" si="13"/>
        <v>1011500</v>
      </c>
      <c r="R11" s="98"/>
      <c r="S11" s="116">
        <f t="shared" si="14"/>
        <v>6194</v>
      </c>
      <c r="T11" s="116">
        <f t="shared" si="15"/>
        <v>6088</v>
      </c>
      <c r="U11" s="116">
        <f t="shared" si="16"/>
        <v>5994</v>
      </c>
      <c r="V11" s="116">
        <f t="shared" si="17"/>
        <v>1801.8942579037946</v>
      </c>
      <c r="W11" s="100">
        <f t="shared" si="18"/>
        <v>0.29090963156341532</v>
      </c>
      <c r="X11" s="100">
        <f t="shared" si="19"/>
        <v>3.3786666300176678</v>
      </c>
      <c r="Y11" s="100">
        <f t="shared" si="20"/>
        <v>3.326499306886646</v>
      </c>
      <c r="Z11" s="76"/>
      <c r="AA11" s="119">
        <f t="shared" si="21"/>
        <v>6052.8</v>
      </c>
      <c r="AB11" s="119">
        <f t="shared" si="22"/>
        <v>7203</v>
      </c>
      <c r="AC11" s="119">
        <f t="shared" si="23"/>
        <v>720300</v>
      </c>
      <c r="AD11" s="76"/>
      <c r="AE11" s="76"/>
      <c r="AF11" s="99">
        <f t="shared" si="4"/>
        <v>7995.8942579037948</v>
      </c>
      <c r="AG11" s="99">
        <f t="shared" si="5"/>
        <v>4392.1057420962052</v>
      </c>
      <c r="AH11" s="97">
        <f t="shared" si="6"/>
        <v>6000</v>
      </c>
      <c r="AI11" s="97">
        <f t="shared" si="7"/>
        <v>6175</v>
      </c>
      <c r="AJ11" s="97">
        <f t="shared" si="24"/>
        <v>4879</v>
      </c>
      <c r="AK11" s="97" t="str">
        <f t="shared" si="8"/>
        <v/>
      </c>
      <c r="AL11" s="97">
        <f t="shared" si="25"/>
        <v>5685</v>
      </c>
      <c r="AM11" s="97">
        <f t="shared" si="26"/>
        <v>6000</v>
      </c>
      <c r="AN11" s="97">
        <f t="shared" si="27"/>
        <v>5654</v>
      </c>
      <c r="AO11" s="101">
        <f t="shared" si="9"/>
        <v>703.19295597533949</v>
      </c>
      <c r="AP11" s="102">
        <f t="shared" si="28"/>
        <v>0.12369269234394714</v>
      </c>
      <c r="AQ11" s="102">
        <f t="shared" si="29"/>
        <v>0.11719882599588992</v>
      </c>
      <c r="AR11" s="102">
        <f t="shared" si="30"/>
        <v>2.1877023760867908E-5</v>
      </c>
      <c r="AS11" s="77"/>
      <c r="AT11" s="390"/>
    </row>
    <row r="12" spans="1:47" s="28" customFormat="1" ht="12" customHeight="1">
      <c r="A12" s="96">
        <v>6</v>
      </c>
      <c r="B12" s="105" t="s">
        <v>269</v>
      </c>
      <c r="C12" s="109">
        <v>300</v>
      </c>
      <c r="D12" s="104" t="s">
        <v>268</v>
      </c>
      <c r="E12" s="113">
        <v>0.19</v>
      </c>
      <c r="F12" s="97">
        <v>12000</v>
      </c>
      <c r="G12" s="111">
        <f t="shared" si="0"/>
        <v>14280</v>
      </c>
      <c r="H12" s="120">
        <f t="shared" si="10"/>
        <v>4284000</v>
      </c>
      <c r="I12" s="97">
        <v>12450</v>
      </c>
      <c r="J12" s="97">
        <f t="shared" si="1"/>
        <v>14816</v>
      </c>
      <c r="K12" s="120">
        <f t="shared" si="11"/>
        <v>4444800</v>
      </c>
      <c r="L12" s="97">
        <v>7200</v>
      </c>
      <c r="M12" s="97">
        <f t="shared" si="2"/>
        <v>8568</v>
      </c>
      <c r="N12" s="120">
        <f t="shared" si="12"/>
        <v>2570400</v>
      </c>
      <c r="O12" s="97">
        <v>15000</v>
      </c>
      <c r="P12" s="111">
        <f t="shared" si="3"/>
        <v>17850</v>
      </c>
      <c r="Q12" s="120">
        <f t="shared" si="13"/>
        <v>5355000</v>
      </c>
      <c r="R12" s="98"/>
      <c r="S12" s="116">
        <f t="shared" si="14"/>
        <v>11663</v>
      </c>
      <c r="T12" s="116">
        <f t="shared" si="15"/>
        <v>12225</v>
      </c>
      <c r="U12" s="116">
        <f t="shared" si="16"/>
        <v>11271</v>
      </c>
      <c r="V12" s="116">
        <f t="shared" si="17"/>
        <v>3255.0921645938074</v>
      </c>
      <c r="W12" s="100">
        <f t="shared" si="18"/>
        <v>0.27909561558722518</v>
      </c>
      <c r="X12" s="100">
        <f t="shared" si="19"/>
        <v>3.7556540281634447</v>
      </c>
      <c r="Y12" s="100">
        <f t="shared" si="20"/>
        <v>3.4625747690331443</v>
      </c>
      <c r="Z12" s="76"/>
      <c r="AA12" s="119">
        <f t="shared" si="21"/>
        <v>11540.2</v>
      </c>
      <c r="AB12" s="119">
        <f t="shared" si="22"/>
        <v>13733</v>
      </c>
      <c r="AC12" s="119">
        <f t="shared" si="23"/>
        <v>4119900</v>
      </c>
      <c r="AD12" s="76"/>
      <c r="AE12" s="76"/>
      <c r="AF12" s="99">
        <f t="shared" si="4"/>
        <v>14918.092164593807</v>
      </c>
      <c r="AG12" s="99">
        <f t="shared" si="5"/>
        <v>8407.907835406193</v>
      </c>
      <c r="AH12" s="97">
        <f t="shared" si="6"/>
        <v>12000</v>
      </c>
      <c r="AI12" s="97">
        <f t="shared" si="7"/>
        <v>12450</v>
      </c>
      <c r="AJ12" s="97">
        <f t="shared" si="24"/>
        <v>8568</v>
      </c>
      <c r="AK12" s="97" t="str">
        <f t="shared" si="8"/>
        <v/>
      </c>
      <c r="AL12" s="97">
        <f t="shared" si="25"/>
        <v>11006</v>
      </c>
      <c r="AM12" s="97">
        <f t="shared" si="26"/>
        <v>12000</v>
      </c>
      <c r="AN12" s="97">
        <f t="shared" si="27"/>
        <v>10858</v>
      </c>
      <c r="AO12" s="101">
        <f t="shared" si="9"/>
        <v>2123.3247514216941</v>
      </c>
      <c r="AP12" s="102">
        <f t="shared" si="28"/>
        <v>0.19292429142483139</v>
      </c>
      <c r="AQ12" s="102">
        <f t="shared" si="29"/>
        <v>0.17694372928514118</v>
      </c>
      <c r="AR12" s="102">
        <f t="shared" si="30"/>
        <v>1.7767939899137169E-5</v>
      </c>
      <c r="AS12" s="77"/>
      <c r="AT12" s="390"/>
    </row>
    <row r="13" spans="1:47" s="28" customFormat="1" ht="12" customHeight="1">
      <c r="A13" s="96">
        <v>7</v>
      </c>
      <c r="B13" s="105" t="s">
        <v>270</v>
      </c>
      <c r="C13" s="109">
        <v>150</v>
      </c>
      <c r="D13" s="104" t="s">
        <v>268</v>
      </c>
      <c r="E13" s="113">
        <v>0.19</v>
      </c>
      <c r="F13" s="97">
        <v>1300</v>
      </c>
      <c r="G13" s="111">
        <f t="shared" si="0"/>
        <v>1547</v>
      </c>
      <c r="H13" s="120">
        <f t="shared" si="10"/>
        <v>232050</v>
      </c>
      <c r="I13" s="97">
        <v>1302.5</v>
      </c>
      <c r="J13" s="97">
        <f t="shared" si="1"/>
        <v>1550</v>
      </c>
      <c r="K13" s="120">
        <f t="shared" si="11"/>
        <v>232500</v>
      </c>
      <c r="L13" s="97">
        <v>950</v>
      </c>
      <c r="M13" s="97">
        <f t="shared" si="2"/>
        <v>1131</v>
      </c>
      <c r="N13" s="120">
        <f t="shared" si="12"/>
        <v>169650</v>
      </c>
      <c r="O13" s="97">
        <v>3000</v>
      </c>
      <c r="P13" s="111">
        <f t="shared" si="3"/>
        <v>3570</v>
      </c>
      <c r="Q13" s="120">
        <f t="shared" si="13"/>
        <v>535500</v>
      </c>
      <c r="R13" s="98"/>
      <c r="S13" s="116">
        <f t="shared" si="14"/>
        <v>1638</v>
      </c>
      <c r="T13" s="116">
        <f t="shared" si="15"/>
        <v>1301</v>
      </c>
      <c r="U13" s="116">
        <f t="shared" si="16"/>
        <v>1482</v>
      </c>
      <c r="V13" s="116">
        <f t="shared" si="17"/>
        <v>922.89258809823946</v>
      </c>
      <c r="W13" s="100">
        <f t="shared" si="18"/>
        <v>0.56342648846046361</v>
      </c>
      <c r="X13" s="100">
        <f t="shared" si="19"/>
        <v>1.409698178073906</v>
      </c>
      <c r="Y13" s="100">
        <f t="shared" si="20"/>
        <v>1.6058206763301528</v>
      </c>
      <c r="Z13" s="76"/>
      <c r="AA13" s="119">
        <f t="shared" si="21"/>
        <v>1404.6</v>
      </c>
      <c r="AB13" s="119">
        <f t="shared" si="22"/>
        <v>1671</v>
      </c>
      <c r="AC13" s="119">
        <f t="shared" si="23"/>
        <v>250650</v>
      </c>
      <c r="AD13" s="76"/>
      <c r="AE13" s="76"/>
      <c r="AF13" s="99">
        <f t="shared" si="4"/>
        <v>2560.8925880982397</v>
      </c>
      <c r="AG13" s="99">
        <f t="shared" si="5"/>
        <v>715.10741190176054</v>
      </c>
      <c r="AH13" s="97">
        <f t="shared" si="6"/>
        <v>1300</v>
      </c>
      <c r="AI13" s="97">
        <f t="shared" si="7"/>
        <v>1302.5</v>
      </c>
      <c r="AJ13" s="97">
        <f t="shared" si="24"/>
        <v>1131</v>
      </c>
      <c r="AK13" s="97" t="str">
        <f t="shared" si="8"/>
        <v/>
      </c>
      <c r="AL13" s="97">
        <f t="shared" si="25"/>
        <v>1245</v>
      </c>
      <c r="AM13" s="97">
        <f t="shared" si="26"/>
        <v>1300</v>
      </c>
      <c r="AN13" s="97">
        <f t="shared" si="27"/>
        <v>1242</v>
      </c>
      <c r="AO13" s="101">
        <f t="shared" si="9"/>
        <v>98.301831112141542</v>
      </c>
      <c r="AP13" s="102">
        <f t="shared" si="28"/>
        <v>7.8957294065977138E-2</v>
      </c>
      <c r="AQ13" s="102">
        <f t="shared" si="29"/>
        <v>7.56167931631858E-2</v>
      </c>
      <c r="AR13" s="102">
        <f t="shared" si="30"/>
        <v>6.3572700536213477E-5</v>
      </c>
      <c r="AS13" s="77"/>
      <c r="AT13" s="390"/>
    </row>
    <row r="14" spans="1:47" s="28" customFormat="1" ht="12" customHeight="1">
      <c r="A14" s="96">
        <v>8</v>
      </c>
      <c r="B14" s="105" t="s">
        <v>271</v>
      </c>
      <c r="C14" s="109">
        <v>300</v>
      </c>
      <c r="D14" s="104" t="s">
        <v>268</v>
      </c>
      <c r="E14" s="113">
        <v>0.19</v>
      </c>
      <c r="F14" s="97">
        <v>2500</v>
      </c>
      <c r="G14" s="111">
        <f t="shared" si="0"/>
        <v>2975</v>
      </c>
      <c r="H14" s="120">
        <f t="shared" si="10"/>
        <v>892500</v>
      </c>
      <c r="I14" s="97">
        <v>1962.5</v>
      </c>
      <c r="J14" s="97">
        <f t="shared" si="1"/>
        <v>2335</v>
      </c>
      <c r="K14" s="120">
        <f t="shared" si="11"/>
        <v>700500</v>
      </c>
      <c r="L14" s="97">
        <v>3100</v>
      </c>
      <c r="M14" s="97">
        <f t="shared" si="2"/>
        <v>3689</v>
      </c>
      <c r="N14" s="120">
        <f t="shared" si="12"/>
        <v>1106700</v>
      </c>
      <c r="O14" s="97">
        <v>6000</v>
      </c>
      <c r="P14" s="111">
        <f t="shared" si="3"/>
        <v>7140</v>
      </c>
      <c r="Q14" s="120">
        <f t="shared" si="13"/>
        <v>2142000</v>
      </c>
      <c r="R14" s="98"/>
      <c r="S14" s="116">
        <f t="shared" si="14"/>
        <v>3391</v>
      </c>
      <c r="T14" s="116">
        <f t="shared" si="15"/>
        <v>2800</v>
      </c>
      <c r="U14" s="116">
        <f t="shared" si="16"/>
        <v>3091</v>
      </c>
      <c r="V14" s="116">
        <f t="shared" si="17"/>
        <v>1800.5605319362819</v>
      </c>
      <c r="W14" s="100">
        <f t="shared" si="18"/>
        <v>0.53098216807321785</v>
      </c>
      <c r="X14" s="100">
        <f t="shared" si="19"/>
        <v>1.555071296041874</v>
      </c>
      <c r="Y14" s="100">
        <f t="shared" si="20"/>
        <v>1.7166876343090831</v>
      </c>
      <c r="Z14" s="76"/>
      <c r="AA14" s="119">
        <f t="shared" si="21"/>
        <v>2976.4</v>
      </c>
      <c r="AB14" s="119">
        <f t="shared" si="22"/>
        <v>3542</v>
      </c>
      <c r="AC14" s="119">
        <f t="shared" si="23"/>
        <v>1062600</v>
      </c>
      <c r="AD14" s="76"/>
      <c r="AE14" s="76"/>
      <c r="AF14" s="99">
        <f t="shared" si="4"/>
        <v>5191.5605319362821</v>
      </c>
      <c r="AG14" s="99">
        <f t="shared" si="5"/>
        <v>1590.4394680637181</v>
      </c>
      <c r="AH14" s="97">
        <f t="shared" si="6"/>
        <v>2500</v>
      </c>
      <c r="AI14" s="97">
        <f t="shared" si="7"/>
        <v>1962.5</v>
      </c>
      <c r="AJ14" s="97">
        <f t="shared" si="24"/>
        <v>3689</v>
      </c>
      <c r="AK14" s="97" t="str">
        <f t="shared" si="8"/>
        <v/>
      </c>
      <c r="AL14" s="97">
        <f t="shared" si="25"/>
        <v>2717</v>
      </c>
      <c r="AM14" s="97">
        <f t="shared" si="26"/>
        <v>2500</v>
      </c>
      <c r="AN14" s="97">
        <f t="shared" si="27"/>
        <v>2626</v>
      </c>
      <c r="AO14" s="101">
        <f t="shared" si="9"/>
        <v>883.49962271261552</v>
      </c>
      <c r="AP14" s="102">
        <f t="shared" si="28"/>
        <v>0.32517468631307161</v>
      </c>
      <c r="AQ14" s="102">
        <f t="shared" si="29"/>
        <v>0.35339984908504618</v>
      </c>
      <c r="AR14" s="102">
        <f t="shared" si="30"/>
        <v>1.2382889806286047E-4</v>
      </c>
      <c r="AS14" s="77"/>
      <c r="AT14" s="390"/>
    </row>
    <row r="15" spans="1:47" s="28" customFormat="1" ht="12" customHeight="1">
      <c r="A15" s="96">
        <v>9</v>
      </c>
      <c r="B15" s="105" t="s">
        <v>272</v>
      </c>
      <c r="C15" s="109">
        <v>500</v>
      </c>
      <c r="D15" s="104" t="s">
        <v>268</v>
      </c>
      <c r="E15" s="113">
        <v>0.19</v>
      </c>
      <c r="F15" s="97">
        <v>8000</v>
      </c>
      <c r="G15" s="111">
        <f t="shared" si="0"/>
        <v>9520</v>
      </c>
      <c r="H15" s="120">
        <f t="shared" si="10"/>
        <v>4760000</v>
      </c>
      <c r="I15" s="97">
        <v>8875</v>
      </c>
      <c r="J15" s="97">
        <f t="shared" si="1"/>
        <v>10561</v>
      </c>
      <c r="K15" s="120">
        <f t="shared" si="11"/>
        <v>5280500</v>
      </c>
      <c r="L15" s="97">
        <v>7400</v>
      </c>
      <c r="M15" s="97">
        <f t="shared" si="2"/>
        <v>8806</v>
      </c>
      <c r="N15" s="120">
        <f t="shared" si="12"/>
        <v>4403000</v>
      </c>
      <c r="O15" s="97">
        <v>12000</v>
      </c>
      <c r="P15" s="111">
        <f t="shared" si="3"/>
        <v>14280</v>
      </c>
      <c r="Q15" s="120">
        <f t="shared" si="13"/>
        <v>7140000</v>
      </c>
      <c r="R15" s="98"/>
      <c r="S15" s="116">
        <f t="shared" si="14"/>
        <v>9069</v>
      </c>
      <c r="T15" s="116">
        <f t="shared" si="15"/>
        <v>8438</v>
      </c>
      <c r="U15" s="116">
        <f t="shared" si="16"/>
        <v>8911</v>
      </c>
      <c r="V15" s="116">
        <f t="shared" si="17"/>
        <v>2045.8672773830335</v>
      </c>
      <c r="W15" s="100">
        <f t="shared" si="18"/>
        <v>0.22558907017124638</v>
      </c>
      <c r="X15" s="100">
        <f t="shared" si="19"/>
        <v>4.1244122203242082</v>
      </c>
      <c r="Y15" s="100">
        <f t="shared" si="20"/>
        <v>4.3556100136654443</v>
      </c>
      <c r="Z15" s="76"/>
      <c r="AA15" s="119">
        <f t="shared" si="21"/>
        <v>8658.7999999999993</v>
      </c>
      <c r="AB15" s="119">
        <f t="shared" si="22"/>
        <v>10304</v>
      </c>
      <c r="AC15" s="119">
        <f t="shared" si="23"/>
        <v>5152000</v>
      </c>
      <c r="AD15" s="76"/>
      <c r="AE15" s="76"/>
      <c r="AF15" s="99">
        <f t="shared" si="4"/>
        <v>11114.867277383033</v>
      </c>
      <c r="AG15" s="99">
        <f t="shared" si="5"/>
        <v>7023.1327226169669</v>
      </c>
      <c r="AH15" s="97">
        <f t="shared" si="6"/>
        <v>8000</v>
      </c>
      <c r="AI15" s="97">
        <f t="shared" si="7"/>
        <v>8875</v>
      </c>
      <c r="AJ15" s="97">
        <f t="shared" si="24"/>
        <v>8806</v>
      </c>
      <c r="AK15" s="97" t="str">
        <f t="shared" si="8"/>
        <v/>
      </c>
      <c r="AL15" s="97">
        <f t="shared" si="25"/>
        <v>8560</v>
      </c>
      <c r="AM15" s="97">
        <f t="shared" si="26"/>
        <v>8806</v>
      </c>
      <c r="AN15" s="97">
        <f t="shared" si="27"/>
        <v>8551</v>
      </c>
      <c r="AO15" s="101">
        <f t="shared" si="9"/>
        <v>486.48775250085521</v>
      </c>
      <c r="AP15" s="102">
        <f t="shared" si="28"/>
        <v>5.6832681366922336E-2</v>
      </c>
      <c r="AQ15" s="102">
        <f t="shared" si="29"/>
        <v>5.5245032080496845E-2</v>
      </c>
      <c r="AR15" s="102">
        <f t="shared" si="30"/>
        <v>6.6463198885419642E-6</v>
      </c>
      <c r="AS15" s="77"/>
      <c r="AT15" s="390"/>
    </row>
    <row r="16" spans="1:47" s="28" customFormat="1" ht="12" customHeight="1">
      <c r="A16" s="96">
        <v>10</v>
      </c>
      <c r="B16" s="105" t="s">
        <v>273</v>
      </c>
      <c r="C16" s="109">
        <v>120</v>
      </c>
      <c r="D16" s="104" t="s">
        <v>274</v>
      </c>
      <c r="E16" s="113">
        <v>0.19</v>
      </c>
      <c r="F16" s="97">
        <v>86000</v>
      </c>
      <c r="G16" s="111">
        <f t="shared" si="0"/>
        <v>102340</v>
      </c>
      <c r="H16" s="120">
        <f t="shared" si="10"/>
        <v>12280800</v>
      </c>
      <c r="I16" s="97">
        <v>33750</v>
      </c>
      <c r="J16" s="97">
        <f t="shared" si="1"/>
        <v>40163</v>
      </c>
      <c r="K16" s="120">
        <f t="shared" si="11"/>
        <v>4819560</v>
      </c>
      <c r="L16" s="97">
        <v>35000</v>
      </c>
      <c r="M16" s="97">
        <f t="shared" si="2"/>
        <v>41650</v>
      </c>
      <c r="N16" s="120">
        <f t="shared" si="12"/>
        <v>4998000</v>
      </c>
      <c r="O16" s="97">
        <v>190000</v>
      </c>
      <c r="P16" s="111">
        <f t="shared" si="3"/>
        <v>226100</v>
      </c>
      <c r="Q16" s="120">
        <f t="shared" si="13"/>
        <v>27132000</v>
      </c>
      <c r="R16" s="98"/>
      <c r="S16" s="116">
        <f t="shared" si="14"/>
        <v>86188</v>
      </c>
      <c r="T16" s="116">
        <f t="shared" si="15"/>
        <v>60500</v>
      </c>
      <c r="U16" s="116">
        <f t="shared" si="16"/>
        <v>66282</v>
      </c>
      <c r="V16" s="116">
        <f t="shared" si="17"/>
        <v>73364.209882385199</v>
      </c>
      <c r="W16" s="100">
        <f t="shared" si="18"/>
        <v>0.85121142017897156</v>
      </c>
      <c r="X16" s="100">
        <f t="shared" si="19"/>
        <v>0.82465278501590045</v>
      </c>
      <c r="Y16" s="100">
        <f t="shared" si="20"/>
        <v>0.90346505613923822</v>
      </c>
      <c r="Z16" s="76"/>
      <c r="AA16" s="119">
        <f t="shared" si="21"/>
        <v>66794</v>
      </c>
      <c r="AB16" s="119">
        <f t="shared" si="22"/>
        <v>79485</v>
      </c>
      <c r="AC16" s="119">
        <f t="shared" si="23"/>
        <v>9538200</v>
      </c>
      <c r="AD16" s="76"/>
      <c r="AE16" s="76"/>
      <c r="AF16" s="99">
        <f t="shared" si="4"/>
        <v>159552.20988238521</v>
      </c>
      <c r="AG16" s="99">
        <f t="shared" si="5"/>
        <v>12823.790117614801</v>
      </c>
      <c r="AH16" s="97">
        <f t="shared" si="6"/>
        <v>86000</v>
      </c>
      <c r="AI16" s="97">
        <f t="shared" si="7"/>
        <v>33750</v>
      </c>
      <c r="AJ16" s="97">
        <f t="shared" si="24"/>
        <v>41650</v>
      </c>
      <c r="AK16" s="97" t="str">
        <f t="shared" si="8"/>
        <v/>
      </c>
      <c r="AL16" s="97">
        <f t="shared" si="25"/>
        <v>53800</v>
      </c>
      <c r="AM16" s="97">
        <f t="shared" si="26"/>
        <v>41650</v>
      </c>
      <c r="AN16" s="97">
        <f t="shared" si="27"/>
        <v>49446</v>
      </c>
      <c r="AO16" s="101">
        <f t="shared" si="9"/>
        <v>28164.383536658494</v>
      </c>
      <c r="AP16" s="102">
        <f t="shared" si="28"/>
        <v>0.5235015527259943</v>
      </c>
      <c r="AQ16" s="102">
        <f t="shared" si="29"/>
        <v>0.67621569115626634</v>
      </c>
      <c r="AR16" s="102">
        <f t="shared" si="30"/>
        <v>1.0587338768070103E-5</v>
      </c>
      <c r="AS16" s="77"/>
      <c r="AT16" s="390"/>
    </row>
    <row r="17" spans="1:46" s="28" customFormat="1" ht="12" customHeight="1">
      <c r="A17" s="96">
        <v>11</v>
      </c>
      <c r="B17" s="105" t="s">
        <v>275</v>
      </c>
      <c r="C17" s="109">
        <v>100</v>
      </c>
      <c r="D17" s="104" t="s">
        <v>61</v>
      </c>
      <c r="E17" s="113">
        <v>0.19</v>
      </c>
      <c r="F17" s="97">
        <v>30000</v>
      </c>
      <c r="G17" s="111">
        <f t="shared" si="0"/>
        <v>35700</v>
      </c>
      <c r="H17" s="120">
        <f t="shared" si="10"/>
        <v>3570000</v>
      </c>
      <c r="I17" s="97">
        <v>23750</v>
      </c>
      <c r="J17" s="97">
        <f t="shared" si="1"/>
        <v>28263</v>
      </c>
      <c r="K17" s="120">
        <f t="shared" si="11"/>
        <v>2826300</v>
      </c>
      <c r="L17" s="97">
        <v>21400</v>
      </c>
      <c r="M17" s="97">
        <f t="shared" si="2"/>
        <v>25466</v>
      </c>
      <c r="N17" s="120">
        <f t="shared" si="12"/>
        <v>2546600</v>
      </c>
      <c r="O17" s="97">
        <v>95000</v>
      </c>
      <c r="P17" s="111">
        <f t="shared" si="3"/>
        <v>113050</v>
      </c>
      <c r="Q17" s="120">
        <f t="shared" si="13"/>
        <v>11305000</v>
      </c>
      <c r="R17" s="98"/>
      <c r="S17" s="116">
        <f t="shared" si="14"/>
        <v>42538</v>
      </c>
      <c r="T17" s="116">
        <f t="shared" si="15"/>
        <v>26875</v>
      </c>
      <c r="U17" s="116">
        <f t="shared" si="16"/>
        <v>34692</v>
      </c>
      <c r="V17" s="116">
        <f t="shared" si="17"/>
        <v>35162.796982985681</v>
      </c>
      <c r="W17" s="100">
        <f t="shared" si="18"/>
        <v>0.82662083273745079</v>
      </c>
      <c r="X17" s="100">
        <f t="shared" si="19"/>
        <v>0.76430211205906284</v>
      </c>
      <c r="Y17" s="100">
        <f t="shared" si="20"/>
        <v>0.9866109347554608</v>
      </c>
      <c r="Z17" s="76"/>
      <c r="AA17" s="119">
        <f t="shared" si="21"/>
        <v>31571</v>
      </c>
      <c r="AB17" s="119">
        <f t="shared" si="22"/>
        <v>37569</v>
      </c>
      <c r="AC17" s="119">
        <f t="shared" si="23"/>
        <v>3756900</v>
      </c>
      <c r="AD17" s="76"/>
      <c r="AE17" s="76"/>
      <c r="AF17" s="99">
        <f t="shared" si="4"/>
        <v>77700.796982985688</v>
      </c>
      <c r="AG17" s="99">
        <f t="shared" si="5"/>
        <v>7375.2030170143189</v>
      </c>
      <c r="AH17" s="97">
        <f t="shared" si="6"/>
        <v>30000</v>
      </c>
      <c r="AI17" s="97">
        <f t="shared" si="7"/>
        <v>23750</v>
      </c>
      <c r="AJ17" s="97">
        <f t="shared" si="24"/>
        <v>25466</v>
      </c>
      <c r="AK17" s="97" t="str">
        <f t="shared" si="8"/>
        <v/>
      </c>
      <c r="AL17" s="97">
        <f t="shared" si="25"/>
        <v>26405</v>
      </c>
      <c r="AM17" s="97">
        <f t="shared" si="26"/>
        <v>25466</v>
      </c>
      <c r="AN17" s="97">
        <f t="shared" si="27"/>
        <v>26277</v>
      </c>
      <c r="AO17" s="101">
        <f t="shared" si="9"/>
        <v>3229.146223591204</v>
      </c>
      <c r="AP17" s="102">
        <f t="shared" si="28"/>
        <v>0.12229298328313593</v>
      </c>
      <c r="AQ17" s="102">
        <f t="shared" si="29"/>
        <v>0.12680225491208685</v>
      </c>
      <c r="AR17" s="102">
        <f t="shared" si="30"/>
        <v>4.6539933509584776E-6</v>
      </c>
      <c r="AS17" s="77"/>
      <c r="AT17" s="390"/>
    </row>
    <row r="18" spans="1:46" s="28" customFormat="1" ht="12" customHeight="1">
      <c r="A18" s="96">
        <v>12</v>
      </c>
      <c r="B18" s="105" t="s">
        <v>276</v>
      </c>
      <c r="C18" s="109">
        <v>50</v>
      </c>
      <c r="D18" s="104" t="s">
        <v>61</v>
      </c>
      <c r="E18" s="113">
        <v>0.19</v>
      </c>
      <c r="F18" s="97">
        <v>2000</v>
      </c>
      <c r="G18" s="111">
        <f t="shared" si="0"/>
        <v>2380</v>
      </c>
      <c r="H18" s="120">
        <f t="shared" si="10"/>
        <v>119000</v>
      </c>
      <c r="I18" s="97">
        <v>2100</v>
      </c>
      <c r="J18" s="97">
        <f t="shared" si="1"/>
        <v>2499</v>
      </c>
      <c r="K18" s="120">
        <f t="shared" si="11"/>
        <v>124950</v>
      </c>
      <c r="L18" s="97">
        <v>1800</v>
      </c>
      <c r="M18" s="97">
        <f t="shared" si="2"/>
        <v>2142</v>
      </c>
      <c r="N18" s="120">
        <f t="shared" si="12"/>
        <v>107100</v>
      </c>
      <c r="O18" s="97">
        <v>7000</v>
      </c>
      <c r="P18" s="111">
        <f t="shared" si="3"/>
        <v>8330</v>
      </c>
      <c r="Q18" s="120">
        <f t="shared" si="13"/>
        <v>416500</v>
      </c>
      <c r="R18" s="98"/>
      <c r="S18" s="116">
        <f t="shared" si="14"/>
        <v>3225</v>
      </c>
      <c r="T18" s="116">
        <f t="shared" si="15"/>
        <v>2050</v>
      </c>
      <c r="U18" s="116">
        <f t="shared" si="16"/>
        <v>2697</v>
      </c>
      <c r="V18" s="116">
        <f t="shared" si="17"/>
        <v>2519.7552791226904</v>
      </c>
      <c r="W18" s="100">
        <f t="shared" si="18"/>
        <v>0.78131946639463268</v>
      </c>
      <c r="X18" s="100">
        <f t="shared" si="19"/>
        <v>0.81357107056592959</v>
      </c>
      <c r="Y18" s="100">
        <f t="shared" si="20"/>
        <v>1.0703420377152741</v>
      </c>
      <c r="Z18" s="76"/>
      <c r="AA18" s="119">
        <f t="shared" si="21"/>
        <v>2414.4</v>
      </c>
      <c r="AB18" s="119">
        <f t="shared" si="22"/>
        <v>2873</v>
      </c>
      <c r="AC18" s="119">
        <f t="shared" si="23"/>
        <v>143650</v>
      </c>
      <c r="AD18" s="76"/>
      <c r="AE18" s="76"/>
      <c r="AF18" s="99">
        <f t="shared" si="4"/>
        <v>5744.7552791226899</v>
      </c>
      <c r="AG18" s="99">
        <f t="shared" si="5"/>
        <v>705.24472087730965</v>
      </c>
      <c r="AH18" s="97">
        <f t="shared" si="6"/>
        <v>2000</v>
      </c>
      <c r="AI18" s="97">
        <f t="shared" si="7"/>
        <v>2100</v>
      </c>
      <c r="AJ18" s="97">
        <f t="shared" si="24"/>
        <v>2142</v>
      </c>
      <c r="AK18" s="97" t="str">
        <f t="shared" si="8"/>
        <v/>
      </c>
      <c r="AL18" s="97">
        <f t="shared" si="25"/>
        <v>2081</v>
      </c>
      <c r="AM18" s="97">
        <f t="shared" si="26"/>
        <v>2100</v>
      </c>
      <c r="AN18" s="97">
        <f t="shared" si="27"/>
        <v>2080</v>
      </c>
      <c r="AO18" s="101">
        <f t="shared" si="9"/>
        <v>72.947469684241511</v>
      </c>
      <c r="AP18" s="102">
        <f t="shared" si="28"/>
        <v>3.5054045979933453E-2</v>
      </c>
      <c r="AQ18" s="102">
        <f t="shared" si="29"/>
        <v>3.4736890325829294E-2</v>
      </c>
      <c r="AR18" s="102">
        <f t="shared" si="30"/>
        <v>1.6852906721121851E-5</v>
      </c>
      <c r="AS18" s="77"/>
      <c r="AT18" s="390"/>
    </row>
    <row r="19" spans="1:46" s="28" customFormat="1" ht="12" customHeight="1">
      <c r="A19" s="96">
        <v>13</v>
      </c>
      <c r="B19" s="105" t="s">
        <v>277</v>
      </c>
      <c r="C19" s="109">
        <v>50</v>
      </c>
      <c r="D19" s="104" t="s">
        <v>61</v>
      </c>
      <c r="E19" s="113">
        <v>0.19</v>
      </c>
      <c r="F19" s="97">
        <v>3000</v>
      </c>
      <c r="G19" s="111">
        <f t="shared" si="0"/>
        <v>3570</v>
      </c>
      <c r="H19" s="120">
        <f t="shared" si="10"/>
        <v>178500</v>
      </c>
      <c r="I19" s="97">
        <v>37500</v>
      </c>
      <c r="J19" s="97">
        <f t="shared" si="1"/>
        <v>44625</v>
      </c>
      <c r="K19" s="120">
        <f t="shared" si="11"/>
        <v>2231250</v>
      </c>
      <c r="L19" s="97">
        <v>14300</v>
      </c>
      <c r="M19" s="97">
        <f t="shared" si="2"/>
        <v>17017</v>
      </c>
      <c r="N19" s="120">
        <f t="shared" si="12"/>
        <v>850850</v>
      </c>
      <c r="O19" s="97">
        <v>10000</v>
      </c>
      <c r="P19" s="111">
        <f t="shared" si="3"/>
        <v>11900</v>
      </c>
      <c r="Q19" s="120">
        <f t="shared" si="13"/>
        <v>595000</v>
      </c>
      <c r="R19" s="98"/>
      <c r="S19" s="116">
        <f t="shared" si="14"/>
        <v>16200</v>
      </c>
      <c r="T19" s="116">
        <f t="shared" si="15"/>
        <v>12150</v>
      </c>
      <c r="U19" s="116">
        <f t="shared" si="16"/>
        <v>11262</v>
      </c>
      <c r="V19" s="116">
        <f t="shared" si="17"/>
        <v>14944.118129440314</v>
      </c>
      <c r="W19" s="100">
        <f t="shared" si="18"/>
        <v>0.92247642774322924</v>
      </c>
      <c r="X19" s="100">
        <f t="shared" si="19"/>
        <v>0.81302890506895642</v>
      </c>
      <c r="Y19" s="100">
        <f t="shared" si="20"/>
        <v>0.75360753324169438</v>
      </c>
      <c r="Z19" s="76"/>
      <c r="AA19" s="119">
        <f t="shared" si="21"/>
        <v>12427.2</v>
      </c>
      <c r="AB19" s="119">
        <f t="shared" si="22"/>
        <v>14788</v>
      </c>
      <c r="AC19" s="119">
        <f t="shared" si="23"/>
        <v>739400</v>
      </c>
      <c r="AD19" s="76"/>
      <c r="AE19" s="76"/>
      <c r="AF19" s="99">
        <f t="shared" si="4"/>
        <v>31144.118129440314</v>
      </c>
      <c r="AG19" s="99">
        <f t="shared" si="5"/>
        <v>1255.8818705596859</v>
      </c>
      <c r="AH19" s="97">
        <f t="shared" si="6"/>
        <v>3000</v>
      </c>
      <c r="AI19" s="97" t="str">
        <f t="shared" si="7"/>
        <v/>
      </c>
      <c r="AJ19" s="97">
        <f t="shared" si="24"/>
        <v>17017</v>
      </c>
      <c r="AK19" s="97">
        <f t="shared" si="8"/>
        <v>11900</v>
      </c>
      <c r="AL19" s="97">
        <f t="shared" si="25"/>
        <v>10639</v>
      </c>
      <c r="AM19" s="97">
        <f t="shared" si="26"/>
        <v>11900</v>
      </c>
      <c r="AN19" s="97">
        <f t="shared" si="27"/>
        <v>8469</v>
      </c>
      <c r="AO19" s="101">
        <f t="shared" si="9"/>
        <v>7093.0714785627251</v>
      </c>
      <c r="AP19" s="102">
        <f t="shared" si="28"/>
        <v>0.66670471647360885</v>
      </c>
      <c r="AQ19" s="102">
        <f t="shared" si="29"/>
        <v>0.59605642676997694</v>
      </c>
      <c r="AR19" s="102">
        <f t="shared" si="30"/>
        <v>7.8722956249097751E-5</v>
      </c>
      <c r="AS19" s="77"/>
      <c r="AT19" s="390"/>
    </row>
    <row r="20" spans="1:46" s="28" customFormat="1" ht="12" customHeight="1">
      <c r="A20" s="96">
        <v>14</v>
      </c>
      <c r="B20" s="105" t="s">
        <v>278</v>
      </c>
      <c r="C20" s="109">
        <v>50</v>
      </c>
      <c r="D20" s="104" t="s">
        <v>274</v>
      </c>
      <c r="E20" s="113">
        <v>0.19</v>
      </c>
      <c r="F20" s="97">
        <v>86000</v>
      </c>
      <c r="G20" s="111">
        <f t="shared" si="0"/>
        <v>102340</v>
      </c>
      <c r="H20" s="120">
        <f t="shared" si="10"/>
        <v>5117000</v>
      </c>
      <c r="I20" s="97">
        <v>270000</v>
      </c>
      <c r="J20" s="97">
        <f t="shared" si="1"/>
        <v>321300</v>
      </c>
      <c r="K20" s="120">
        <f t="shared" si="11"/>
        <v>16065000</v>
      </c>
      <c r="L20" s="97">
        <v>65000</v>
      </c>
      <c r="M20" s="97">
        <f t="shared" si="2"/>
        <v>77350</v>
      </c>
      <c r="N20" s="120">
        <f t="shared" si="12"/>
        <v>3867500</v>
      </c>
      <c r="O20" s="97">
        <v>295000</v>
      </c>
      <c r="P20" s="111">
        <f t="shared" si="3"/>
        <v>351050</v>
      </c>
      <c r="Q20" s="120">
        <f t="shared" si="13"/>
        <v>17552500</v>
      </c>
      <c r="R20" s="98"/>
      <c r="S20" s="116">
        <f t="shared" si="14"/>
        <v>179000</v>
      </c>
      <c r="T20" s="116">
        <f t="shared" si="15"/>
        <v>178000</v>
      </c>
      <c r="U20" s="116">
        <f t="shared" si="16"/>
        <v>145261</v>
      </c>
      <c r="V20" s="116">
        <f t="shared" si="17"/>
        <v>120252.5121012724</v>
      </c>
      <c r="W20" s="100">
        <f t="shared" si="18"/>
        <v>0.67180174358252731</v>
      </c>
      <c r="X20" s="100">
        <f t="shared" si="19"/>
        <v>1.4802185575141642</v>
      </c>
      <c r="Y20" s="100">
        <f t="shared" si="20"/>
        <v>1.207966448781264</v>
      </c>
      <c r="Z20" s="76"/>
      <c r="AA20" s="119">
        <f t="shared" si="21"/>
        <v>158556.6</v>
      </c>
      <c r="AB20" s="119">
        <f t="shared" si="22"/>
        <v>188682</v>
      </c>
      <c r="AC20" s="119">
        <f t="shared" si="23"/>
        <v>9434100</v>
      </c>
      <c r="AD20" s="76"/>
      <c r="AE20" s="76"/>
      <c r="AF20" s="99">
        <f t="shared" si="4"/>
        <v>299252.51210127241</v>
      </c>
      <c r="AG20" s="99">
        <f t="shared" si="5"/>
        <v>58747.487898727602</v>
      </c>
      <c r="AH20" s="97">
        <f t="shared" si="6"/>
        <v>86000</v>
      </c>
      <c r="AI20" s="97">
        <f t="shared" si="7"/>
        <v>270000</v>
      </c>
      <c r="AJ20" s="97">
        <f t="shared" si="24"/>
        <v>77350</v>
      </c>
      <c r="AK20" s="97" t="str">
        <f t="shared" si="8"/>
        <v/>
      </c>
      <c r="AL20" s="97">
        <f t="shared" si="25"/>
        <v>144450</v>
      </c>
      <c r="AM20" s="97">
        <f t="shared" si="26"/>
        <v>86000</v>
      </c>
      <c r="AN20" s="97">
        <f t="shared" si="27"/>
        <v>121555</v>
      </c>
      <c r="AO20" s="101">
        <f t="shared" si="9"/>
        <v>108815.474542916</v>
      </c>
      <c r="AP20" s="102">
        <f t="shared" si="28"/>
        <v>0.75330892726144683</v>
      </c>
      <c r="AQ20" s="102">
        <f t="shared" si="29"/>
        <v>1.2652962156153023</v>
      </c>
      <c r="AR20" s="102">
        <f t="shared" si="30"/>
        <v>6.1972681276907309E-6</v>
      </c>
      <c r="AS20" s="77"/>
      <c r="AT20" s="390"/>
    </row>
    <row r="21" spans="1:46" s="28" customFormat="1" ht="12" customHeight="1">
      <c r="A21" s="96">
        <v>15</v>
      </c>
      <c r="B21" s="105" t="s">
        <v>279</v>
      </c>
      <c r="C21" s="109">
        <v>10</v>
      </c>
      <c r="D21" s="104" t="s">
        <v>61</v>
      </c>
      <c r="E21" s="113">
        <v>0.19</v>
      </c>
      <c r="F21" s="97">
        <v>65000</v>
      </c>
      <c r="G21" s="111">
        <f t="shared" si="0"/>
        <v>77350</v>
      </c>
      <c r="H21" s="120">
        <f t="shared" si="10"/>
        <v>773500</v>
      </c>
      <c r="I21" s="97">
        <v>10500</v>
      </c>
      <c r="J21" s="97">
        <f t="shared" si="1"/>
        <v>12495</v>
      </c>
      <c r="K21" s="120">
        <f t="shared" si="11"/>
        <v>124950</v>
      </c>
      <c r="L21" s="97">
        <v>8500</v>
      </c>
      <c r="M21" s="97">
        <f t="shared" si="2"/>
        <v>10115</v>
      </c>
      <c r="N21" s="120">
        <f t="shared" si="12"/>
        <v>101150</v>
      </c>
      <c r="O21" s="97">
        <v>85000</v>
      </c>
      <c r="P21" s="111">
        <f t="shared" si="3"/>
        <v>101150</v>
      </c>
      <c r="Q21" s="120">
        <f t="shared" si="13"/>
        <v>1011500</v>
      </c>
      <c r="R21" s="98"/>
      <c r="S21" s="116">
        <f t="shared" si="14"/>
        <v>42250</v>
      </c>
      <c r="T21" s="116">
        <f t="shared" si="15"/>
        <v>37750</v>
      </c>
      <c r="U21" s="116">
        <f t="shared" si="16"/>
        <v>26499</v>
      </c>
      <c r="V21" s="116">
        <f t="shared" si="17"/>
        <v>38696.468400445367</v>
      </c>
      <c r="W21" s="100">
        <f t="shared" si="18"/>
        <v>0.91589274320580749</v>
      </c>
      <c r="X21" s="100">
        <f t="shared" si="19"/>
        <v>0.9755412201792949</v>
      </c>
      <c r="Y21" s="100">
        <f t="shared" si="20"/>
        <v>0.68479117333857309</v>
      </c>
      <c r="Z21" s="76"/>
      <c r="AA21" s="119">
        <f t="shared" si="21"/>
        <v>31899.4</v>
      </c>
      <c r="AB21" s="119">
        <f t="shared" si="22"/>
        <v>37960</v>
      </c>
      <c r="AC21" s="119">
        <f t="shared" si="23"/>
        <v>379600</v>
      </c>
      <c r="AD21" s="76"/>
      <c r="AE21" s="76"/>
      <c r="AF21" s="99">
        <f t="shared" si="4"/>
        <v>80946.468400445359</v>
      </c>
      <c r="AG21" s="99">
        <f t="shared" si="5"/>
        <v>3553.5315995546334</v>
      </c>
      <c r="AH21" s="97">
        <f t="shared" si="6"/>
        <v>65000</v>
      </c>
      <c r="AI21" s="97">
        <f t="shared" si="7"/>
        <v>10500</v>
      </c>
      <c r="AJ21" s="97">
        <f t="shared" si="24"/>
        <v>10115</v>
      </c>
      <c r="AK21" s="97" t="str">
        <f t="shared" si="8"/>
        <v/>
      </c>
      <c r="AL21" s="97">
        <f t="shared" si="25"/>
        <v>28538</v>
      </c>
      <c r="AM21" s="97">
        <f t="shared" si="26"/>
        <v>10500</v>
      </c>
      <c r="AN21" s="97">
        <f t="shared" si="27"/>
        <v>19041</v>
      </c>
      <c r="AO21" s="101">
        <f t="shared" si="9"/>
        <v>31577.316357368516</v>
      </c>
      <c r="AP21" s="102">
        <f t="shared" si="28"/>
        <v>1.1065006783015108</v>
      </c>
      <c r="AQ21" s="102">
        <f t="shared" si="29"/>
        <v>3.0073634626065253</v>
      </c>
      <c r="AR21" s="102">
        <f t="shared" si="30"/>
        <v>5.8111479349903405E-5</v>
      </c>
      <c r="AS21" s="77"/>
      <c r="AT21" s="390"/>
    </row>
    <row r="22" spans="1:46" s="28" customFormat="1" ht="12" customHeight="1">
      <c r="A22" s="96">
        <v>16</v>
      </c>
      <c r="B22" s="105" t="s">
        <v>280</v>
      </c>
      <c r="C22" s="109">
        <v>100</v>
      </c>
      <c r="D22" s="104" t="s">
        <v>281</v>
      </c>
      <c r="E22" s="113">
        <v>0.19</v>
      </c>
      <c r="F22" s="97">
        <v>2800</v>
      </c>
      <c r="G22" s="111">
        <f t="shared" si="0"/>
        <v>3332</v>
      </c>
      <c r="H22" s="120">
        <f t="shared" si="10"/>
        <v>333200</v>
      </c>
      <c r="I22" s="97">
        <v>26000</v>
      </c>
      <c r="J22" s="97">
        <f t="shared" si="1"/>
        <v>30940</v>
      </c>
      <c r="K22" s="120">
        <f t="shared" si="11"/>
        <v>3094000</v>
      </c>
      <c r="L22" s="97">
        <v>8340</v>
      </c>
      <c r="M22" s="97">
        <f t="shared" si="2"/>
        <v>9925</v>
      </c>
      <c r="N22" s="120">
        <f t="shared" si="12"/>
        <v>992500</v>
      </c>
      <c r="O22" s="97">
        <v>45000</v>
      </c>
      <c r="P22" s="111">
        <f t="shared" si="3"/>
        <v>53550</v>
      </c>
      <c r="Q22" s="120">
        <f t="shared" si="13"/>
        <v>5355000</v>
      </c>
      <c r="R22" s="98"/>
      <c r="S22" s="116">
        <f t="shared" si="14"/>
        <v>20535</v>
      </c>
      <c r="T22" s="116">
        <f t="shared" si="15"/>
        <v>17170</v>
      </c>
      <c r="U22" s="116">
        <f t="shared" si="16"/>
        <v>12857</v>
      </c>
      <c r="V22" s="116">
        <f t="shared" si="17"/>
        <v>19075.732401841527</v>
      </c>
      <c r="W22" s="100">
        <f t="shared" si="18"/>
        <v>0.92893754087370473</v>
      </c>
      <c r="X22" s="100">
        <f t="shared" si="19"/>
        <v>0.900096501581373</v>
      </c>
      <c r="Y22" s="100">
        <f t="shared" si="20"/>
        <v>0.67399771233731576</v>
      </c>
      <c r="Z22" s="76"/>
      <c r="AA22" s="119">
        <f t="shared" si="21"/>
        <v>15255.2</v>
      </c>
      <c r="AB22" s="119">
        <f t="shared" si="22"/>
        <v>18154</v>
      </c>
      <c r="AC22" s="119">
        <f t="shared" si="23"/>
        <v>1815400</v>
      </c>
      <c r="AD22" s="76"/>
      <c r="AE22" s="76"/>
      <c r="AF22" s="99">
        <f t="shared" si="4"/>
        <v>39610.732401841524</v>
      </c>
      <c r="AG22" s="99">
        <f t="shared" si="5"/>
        <v>1459.2675981584725</v>
      </c>
      <c r="AH22" s="97">
        <f t="shared" si="6"/>
        <v>2800</v>
      </c>
      <c r="AI22" s="97">
        <f t="shared" si="7"/>
        <v>26000</v>
      </c>
      <c r="AJ22" s="97">
        <f t="shared" si="24"/>
        <v>9925</v>
      </c>
      <c r="AK22" s="97" t="str">
        <f t="shared" si="8"/>
        <v/>
      </c>
      <c r="AL22" s="97">
        <f t="shared" si="25"/>
        <v>12908</v>
      </c>
      <c r="AM22" s="97">
        <f t="shared" si="26"/>
        <v>9925</v>
      </c>
      <c r="AN22" s="97">
        <f t="shared" si="27"/>
        <v>8973</v>
      </c>
      <c r="AO22" s="101">
        <f t="shared" si="9"/>
        <v>11884.242017618681</v>
      </c>
      <c r="AP22" s="102">
        <f t="shared" si="28"/>
        <v>0.9206881017677937</v>
      </c>
      <c r="AQ22" s="102">
        <f t="shared" si="29"/>
        <v>1.1974047372915548</v>
      </c>
      <c r="AR22" s="102">
        <f t="shared" si="30"/>
        <v>1.026064974665991E-4</v>
      </c>
      <c r="AS22" s="77"/>
      <c r="AT22" s="390"/>
    </row>
    <row r="23" spans="1:46" s="28" customFormat="1" ht="12" customHeight="1">
      <c r="A23" s="96">
        <v>17</v>
      </c>
      <c r="B23" s="105" t="s">
        <v>282</v>
      </c>
      <c r="C23" s="109">
        <v>50</v>
      </c>
      <c r="D23" s="104" t="s">
        <v>283</v>
      </c>
      <c r="E23" s="113">
        <v>0.19</v>
      </c>
      <c r="F23" s="97">
        <v>3100</v>
      </c>
      <c r="G23" s="111">
        <f t="shared" si="0"/>
        <v>3689</v>
      </c>
      <c r="H23" s="120">
        <f t="shared" si="10"/>
        <v>184450</v>
      </c>
      <c r="I23" s="97">
        <v>5750</v>
      </c>
      <c r="J23" s="97">
        <f t="shared" si="1"/>
        <v>6843</v>
      </c>
      <c r="K23" s="120">
        <f t="shared" si="11"/>
        <v>342150</v>
      </c>
      <c r="L23" s="97">
        <v>5800</v>
      </c>
      <c r="M23" s="97">
        <f t="shared" si="2"/>
        <v>6902</v>
      </c>
      <c r="N23" s="120">
        <f t="shared" si="12"/>
        <v>345100</v>
      </c>
      <c r="O23" s="97">
        <v>4900</v>
      </c>
      <c r="P23" s="111">
        <f t="shared" si="3"/>
        <v>5831</v>
      </c>
      <c r="Q23" s="120">
        <f t="shared" si="13"/>
        <v>291550</v>
      </c>
      <c r="R23" s="98"/>
      <c r="S23" s="116">
        <f t="shared" si="14"/>
        <v>4888</v>
      </c>
      <c r="T23" s="116">
        <f t="shared" si="15"/>
        <v>5325</v>
      </c>
      <c r="U23" s="116">
        <f t="shared" si="16"/>
        <v>4744</v>
      </c>
      <c r="V23" s="116">
        <f t="shared" si="17"/>
        <v>1261.1998255629439</v>
      </c>
      <c r="W23" s="100">
        <f t="shared" si="18"/>
        <v>0.25801960424773812</v>
      </c>
      <c r="X23" s="100">
        <f t="shared" si="19"/>
        <v>4.2221699464818396</v>
      </c>
      <c r="Y23" s="100">
        <f t="shared" si="20"/>
        <v>3.7614975072506751</v>
      </c>
      <c r="Z23" s="76"/>
      <c r="AA23" s="119">
        <f t="shared" si="21"/>
        <v>4889</v>
      </c>
      <c r="AB23" s="119">
        <f t="shared" si="22"/>
        <v>5818</v>
      </c>
      <c r="AC23" s="119">
        <f t="shared" si="23"/>
        <v>290900</v>
      </c>
      <c r="AD23" s="76"/>
      <c r="AE23" s="76"/>
      <c r="AF23" s="99">
        <f t="shared" si="4"/>
        <v>6149.1998255629442</v>
      </c>
      <c r="AG23" s="99">
        <f t="shared" si="5"/>
        <v>3626.8001744370558</v>
      </c>
      <c r="AH23" s="97" t="str">
        <f t="shared" si="6"/>
        <v/>
      </c>
      <c r="AI23" s="97">
        <f t="shared" si="7"/>
        <v>5750</v>
      </c>
      <c r="AJ23" s="97" t="str">
        <f t="shared" si="24"/>
        <v/>
      </c>
      <c r="AK23" s="97">
        <f t="shared" si="8"/>
        <v>5831</v>
      </c>
      <c r="AL23" s="97">
        <f t="shared" si="25"/>
        <v>5791</v>
      </c>
      <c r="AM23" s="97">
        <f t="shared" si="26"/>
        <v>5791</v>
      </c>
      <c r="AN23" s="97">
        <f t="shared" si="27"/>
        <v>5790</v>
      </c>
      <c r="AO23" s="101">
        <f t="shared" si="9"/>
        <v>57.27564927611035</v>
      </c>
      <c r="AP23" s="102">
        <f t="shared" si="28"/>
        <v>9.8904592084459245E-3</v>
      </c>
      <c r="AQ23" s="102">
        <f t="shared" si="29"/>
        <v>9.8904592084459245E-3</v>
      </c>
      <c r="AR23" s="102">
        <f t="shared" si="30"/>
        <v>1.7081967544811614E-6</v>
      </c>
      <c r="AS23" s="77"/>
      <c r="AT23" s="390"/>
    </row>
    <row r="24" spans="1:46" s="28" customFormat="1" ht="12" customHeight="1">
      <c r="A24" s="96">
        <v>18</v>
      </c>
      <c r="B24" s="105" t="s">
        <v>284</v>
      </c>
      <c r="C24" s="109">
        <v>150</v>
      </c>
      <c r="D24" s="104" t="s">
        <v>285</v>
      </c>
      <c r="E24" s="113">
        <v>0.19</v>
      </c>
      <c r="F24" s="97">
        <v>2800</v>
      </c>
      <c r="G24" s="111">
        <f t="shared" si="0"/>
        <v>3332</v>
      </c>
      <c r="H24" s="120">
        <f t="shared" si="10"/>
        <v>499800</v>
      </c>
      <c r="I24" s="97">
        <v>5000</v>
      </c>
      <c r="J24" s="97">
        <f t="shared" si="1"/>
        <v>5950</v>
      </c>
      <c r="K24" s="120">
        <f t="shared" si="11"/>
        <v>892500</v>
      </c>
      <c r="L24" s="97">
        <v>3500</v>
      </c>
      <c r="M24" s="97">
        <f t="shared" si="2"/>
        <v>4165</v>
      </c>
      <c r="N24" s="120">
        <f t="shared" si="12"/>
        <v>624750</v>
      </c>
      <c r="O24" s="97">
        <v>1900</v>
      </c>
      <c r="P24" s="111">
        <f t="shared" si="3"/>
        <v>2261</v>
      </c>
      <c r="Q24" s="120">
        <f t="shared" si="13"/>
        <v>339150</v>
      </c>
      <c r="R24" s="98"/>
      <c r="S24" s="116">
        <f t="shared" si="14"/>
        <v>3300</v>
      </c>
      <c r="T24" s="116">
        <f t="shared" si="15"/>
        <v>3150</v>
      </c>
      <c r="U24" s="116">
        <f t="shared" si="16"/>
        <v>3106</v>
      </c>
      <c r="V24" s="116">
        <f t="shared" si="17"/>
        <v>1308.9435944047907</v>
      </c>
      <c r="W24" s="100">
        <f t="shared" si="18"/>
        <v>0.39664957406205781</v>
      </c>
      <c r="X24" s="100">
        <f t="shared" si="19"/>
        <v>2.4065208107247611</v>
      </c>
      <c r="Y24" s="100">
        <f t="shared" si="20"/>
        <v>2.3729059168606694</v>
      </c>
      <c r="Z24" s="76"/>
      <c r="AA24" s="119">
        <f t="shared" si="21"/>
        <v>3153.6</v>
      </c>
      <c r="AB24" s="119">
        <f t="shared" si="22"/>
        <v>3753</v>
      </c>
      <c r="AC24" s="119">
        <f t="shared" si="23"/>
        <v>562950</v>
      </c>
      <c r="AD24" s="76"/>
      <c r="AE24" s="76"/>
      <c r="AF24" s="99">
        <f t="shared" si="4"/>
        <v>4608.9435944047909</v>
      </c>
      <c r="AG24" s="99">
        <f t="shared" si="5"/>
        <v>1991.0564055952093</v>
      </c>
      <c r="AH24" s="97">
        <f t="shared" si="6"/>
        <v>2800</v>
      </c>
      <c r="AI24" s="97" t="str">
        <f t="shared" si="7"/>
        <v/>
      </c>
      <c r="AJ24" s="97">
        <f t="shared" si="24"/>
        <v>4165</v>
      </c>
      <c r="AK24" s="97">
        <f t="shared" si="8"/>
        <v>2261</v>
      </c>
      <c r="AL24" s="97">
        <f t="shared" si="25"/>
        <v>3075</v>
      </c>
      <c r="AM24" s="97">
        <f t="shared" si="26"/>
        <v>2800</v>
      </c>
      <c r="AN24" s="97">
        <f t="shared" si="27"/>
        <v>2976</v>
      </c>
      <c r="AO24" s="101">
        <f t="shared" si="9"/>
        <v>981.40732284476758</v>
      </c>
      <c r="AP24" s="102">
        <f t="shared" si="28"/>
        <v>0.31915685295764801</v>
      </c>
      <c r="AQ24" s="102">
        <f t="shared" si="29"/>
        <v>0.35050261530170268</v>
      </c>
      <c r="AR24" s="102">
        <f t="shared" si="30"/>
        <v>1.0724356618200538E-4</v>
      </c>
      <c r="AS24" s="77"/>
      <c r="AT24" s="390"/>
    </row>
    <row r="25" spans="1:46" s="28" customFormat="1" ht="12" customHeight="1">
      <c r="A25" s="96">
        <v>19</v>
      </c>
      <c r="B25" s="105" t="s">
        <v>286</v>
      </c>
      <c r="C25" s="109">
        <v>10</v>
      </c>
      <c r="D25" s="104" t="s">
        <v>61</v>
      </c>
      <c r="E25" s="113">
        <v>0.19</v>
      </c>
      <c r="F25" s="97">
        <v>6000</v>
      </c>
      <c r="G25" s="111">
        <f t="shared" si="0"/>
        <v>7140</v>
      </c>
      <c r="H25" s="120">
        <f t="shared" si="10"/>
        <v>71400</v>
      </c>
      <c r="I25" s="97">
        <v>3500</v>
      </c>
      <c r="J25" s="97">
        <f t="shared" si="1"/>
        <v>4165</v>
      </c>
      <c r="K25" s="120">
        <f t="shared" si="11"/>
        <v>41650</v>
      </c>
      <c r="L25" s="97">
        <v>4100</v>
      </c>
      <c r="M25" s="97">
        <f t="shared" si="2"/>
        <v>4879</v>
      </c>
      <c r="N25" s="120">
        <f t="shared" si="12"/>
        <v>48790</v>
      </c>
      <c r="O25" s="97">
        <v>5000</v>
      </c>
      <c r="P25" s="111">
        <f t="shared" si="3"/>
        <v>5950</v>
      </c>
      <c r="Q25" s="120">
        <f t="shared" si="13"/>
        <v>59500</v>
      </c>
      <c r="R25" s="98"/>
      <c r="S25" s="116">
        <f t="shared" si="14"/>
        <v>4650</v>
      </c>
      <c r="T25" s="116">
        <f t="shared" si="15"/>
        <v>4550</v>
      </c>
      <c r="U25" s="116">
        <f t="shared" si="16"/>
        <v>4555</v>
      </c>
      <c r="V25" s="116">
        <f t="shared" si="17"/>
        <v>1090.8712114635714</v>
      </c>
      <c r="W25" s="100">
        <f t="shared" si="18"/>
        <v>0.23459595945453149</v>
      </c>
      <c r="X25" s="100">
        <f t="shared" si="19"/>
        <v>4.1709781614783612</v>
      </c>
      <c r="Y25" s="100">
        <f t="shared" si="20"/>
        <v>4.175561653963503</v>
      </c>
      <c r="Z25" s="76"/>
      <c r="AA25" s="119">
        <f t="shared" si="21"/>
        <v>4571</v>
      </c>
      <c r="AB25" s="119">
        <f t="shared" si="22"/>
        <v>5439</v>
      </c>
      <c r="AC25" s="119">
        <f t="shared" si="23"/>
        <v>54390</v>
      </c>
      <c r="AD25" s="76"/>
      <c r="AE25" s="76"/>
      <c r="AF25" s="99">
        <f t="shared" si="4"/>
        <v>5740.8712114635709</v>
      </c>
      <c r="AG25" s="99">
        <f t="shared" si="5"/>
        <v>3559.1287885364286</v>
      </c>
      <c r="AH25" s="97" t="str">
        <f t="shared" si="6"/>
        <v/>
      </c>
      <c r="AI25" s="97" t="str">
        <f t="shared" si="7"/>
        <v/>
      </c>
      <c r="AJ25" s="97">
        <f t="shared" si="24"/>
        <v>4879</v>
      </c>
      <c r="AK25" s="97" t="str">
        <f t="shared" si="8"/>
        <v/>
      </c>
      <c r="AL25" s="97">
        <f t="shared" si="25"/>
        <v>4879</v>
      </c>
      <c r="AM25" s="97">
        <f t="shared" si="26"/>
        <v>4879</v>
      </c>
      <c r="AN25" s="97">
        <f t="shared" si="27"/>
        <v>4879</v>
      </c>
      <c r="AO25" s="101" t="e">
        <f t="shared" si="9"/>
        <v>#DIV/0!</v>
      </c>
      <c r="AP25" s="102" t="e">
        <f t="shared" si="28"/>
        <v>#DIV/0!</v>
      </c>
      <c r="AQ25" s="102" t="e">
        <f t="shared" si="29"/>
        <v>#DIV/0!</v>
      </c>
      <c r="AR25" s="102" t="e">
        <f t="shared" si="30"/>
        <v>#DIV/0!</v>
      </c>
      <c r="AS25" s="77"/>
      <c r="AT25" s="390"/>
    </row>
    <row r="26" spans="1:46" s="28" customFormat="1" ht="12" customHeight="1">
      <c r="A26" s="96">
        <v>20</v>
      </c>
      <c r="B26" s="105" t="s">
        <v>287</v>
      </c>
      <c r="C26" s="109">
        <v>600</v>
      </c>
      <c r="D26" s="104" t="s">
        <v>61</v>
      </c>
      <c r="E26" s="113">
        <v>0.19</v>
      </c>
      <c r="F26" s="97">
        <v>1500</v>
      </c>
      <c r="G26" s="111">
        <f t="shared" si="0"/>
        <v>1785</v>
      </c>
      <c r="H26" s="120">
        <f t="shared" si="10"/>
        <v>1071000</v>
      </c>
      <c r="I26" s="97">
        <v>2300</v>
      </c>
      <c r="J26" s="97">
        <f t="shared" si="1"/>
        <v>2737</v>
      </c>
      <c r="K26" s="120">
        <f t="shared" si="11"/>
        <v>1642200</v>
      </c>
      <c r="L26" s="97">
        <v>1950</v>
      </c>
      <c r="M26" s="97">
        <f t="shared" si="2"/>
        <v>2321</v>
      </c>
      <c r="N26" s="120">
        <f t="shared" si="12"/>
        <v>1392600</v>
      </c>
      <c r="O26" s="97">
        <v>2900</v>
      </c>
      <c r="P26" s="111">
        <f t="shared" si="3"/>
        <v>3451</v>
      </c>
      <c r="Q26" s="120">
        <f t="shared" si="13"/>
        <v>2070600</v>
      </c>
      <c r="R26" s="98"/>
      <c r="S26" s="116">
        <f t="shared" si="14"/>
        <v>2163</v>
      </c>
      <c r="T26" s="116">
        <f t="shared" si="15"/>
        <v>2125</v>
      </c>
      <c r="U26" s="116">
        <f t="shared" si="16"/>
        <v>2102</v>
      </c>
      <c r="V26" s="116">
        <f t="shared" si="17"/>
        <v>590.72695328157602</v>
      </c>
      <c r="W26" s="100">
        <f t="shared" si="18"/>
        <v>0.27310538755505132</v>
      </c>
      <c r="X26" s="100">
        <f t="shared" si="19"/>
        <v>3.5972626408788515</v>
      </c>
      <c r="Y26" s="100">
        <f t="shared" si="20"/>
        <v>3.558327562883457</v>
      </c>
      <c r="Z26" s="76"/>
      <c r="AA26" s="119">
        <f t="shared" si="21"/>
        <v>2118.8000000000002</v>
      </c>
      <c r="AB26" s="119">
        <f t="shared" si="22"/>
        <v>2521</v>
      </c>
      <c r="AC26" s="119">
        <f t="shared" si="23"/>
        <v>1512600</v>
      </c>
      <c r="AD26" s="76"/>
      <c r="AE26" s="76"/>
      <c r="AF26" s="99">
        <f t="shared" si="4"/>
        <v>2753.7269532815762</v>
      </c>
      <c r="AG26" s="99">
        <f t="shared" si="5"/>
        <v>1572.273046718424</v>
      </c>
      <c r="AH26" s="97" t="str">
        <f t="shared" si="6"/>
        <v/>
      </c>
      <c r="AI26" s="97">
        <f t="shared" si="7"/>
        <v>2300</v>
      </c>
      <c r="AJ26" s="97">
        <f t="shared" si="24"/>
        <v>2321</v>
      </c>
      <c r="AK26" s="97" t="str">
        <f t="shared" si="8"/>
        <v/>
      </c>
      <c r="AL26" s="97">
        <f t="shared" si="25"/>
        <v>2311</v>
      </c>
      <c r="AM26" s="97">
        <f t="shared" si="26"/>
        <v>2311</v>
      </c>
      <c r="AN26" s="97">
        <f t="shared" si="27"/>
        <v>2310</v>
      </c>
      <c r="AO26" s="101">
        <f t="shared" si="9"/>
        <v>14.849242404917497</v>
      </c>
      <c r="AP26" s="102">
        <f t="shared" si="28"/>
        <v>6.4254618801027679E-3</v>
      </c>
      <c r="AQ26" s="102">
        <f t="shared" si="29"/>
        <v>6.4254618801027679E-3</v>
      </c>
      <c r="AR26" s="102">
        <f t="shared" si="30"/>
        <v>2.7815852294817177E-6</v>
      </c>
      <c r="AS26" s="77"/>
      <c r="AT26" s="390"/>
    </row>
    <row r="27" spans="1:46" s="28" customFormat="1" ht="12" customHeight="1">
      <c r="A27" s="96">
        <v>21</v>
      </c>
      <c r="B27" s="105" t="s">
        <v>288</v>
      </c>
      <c r="C27" s="109">
        <v>250</v>
      </c>
      <c r="D27" s="104" t="s">
        <v>61</v>
      </c>
      <c r="E27" s="113">
        <v>0.19</v>
      </c>
      <c r="F27" s="97">
        <v>1300</v>
      </c>
      <c r="G27" s="111">
        <f t="shared" si="0"/>
        <v>1547</v>
      </c>
      <c r="H27" s="120">
        <f t="shared" si="10"/>
        <v>386750</v>
      </c>
      <c r="I27" s="97">
        <v>1900</v>
      </c>
      <c r="J27" s="97">
        <f t="shared" si="1"/>
        <v>2261</v>
      </c>
      <c r="K27" s="120">
        <f t="shared" si="11"/>
        <v>565250</v>
      </c>
      <c r="L27" s="97">
        <v>1700</v>
      </c>
      <c r="M27" s="97">
        <f t="shared" si="2"/>
        <v>2023</v>
      </c>
      <c r="N27" s="120">
        <f t="shared" si="12"/>
        <v>505750</v>
      </c>
      <c r="O27" s="97">
        <v>2900</v>
      </c>
      <c r="P27" s="111">
        <f t="shared" si="3"/>
        <v>3451</v>
      </c>
      <c r="Q27" s="120">
        <f t="shared" si="13"/>
        <v>862750</v>
      </c>
      <c r="R27" s="98"/>
      <c r="S27" s="116">
        <f t="shared" si="14"/>
        <v>1950</v>
      </c>
      <c r="T27" s="116">
        <f t="shared" si="15"/>
        <v>1800</v>
      </c>
      <c r="U27" s="116">
        <f t="shared" si="16"/>
        <v>1868</v>
      </c>
      <c r="V27" s="116">
        <f t="shared" si="17"/>
        <v>680.68592855540453</v>
      </c>
      <c r="W27" s="100">
        <f t="shared" si="18"/>
        <v>0.34906970695148948</v>
      </c>
      <c r="X27" s="100">
        <f t="shared" si="19"/>
        <v>2.6443913771217158</v>
      </c>
      <c r="Y27" s="100">
        <f t="shared" si="20"/>
        <v>2.7442906069240918</v>
      </c>
      <c r="Z27" s="76"/>
      <c r="AA27" s="119">
        <f t="shared" si="21"/>
        <v>1843.6</v>
      </c>
      <c r="AB27" s="119">
        <f t="shared" si="22"/>
        <v>2194</v>
      </c>
      <c r="AC27" s="119">
        <f t="shared" si="23"/>
        <v>548500</v>
      </c>
      <c r="AD27" s="76"/>
      <c r="AE27" s="76"/>
      <c r="AF27" s="99">
        <f t="shared" si="4"/>
        <v>2630.6859285554046</v>
      </c>
      <c r="AG27" s="99">
        <f t="shared" si="5"/>
        <v>1269.3140714445954</v>
      </c>
      <c r="AH27" s="97">
        <f t="shared" si="6"/>
        <v>1300</v>
      </c>
      <c r="AI27" s="97">
        <f t="shared" si="7"/>
        <v>1900</v>
      </c>
      <c r="AJ27" s="97">
        <f t="shared" si="24"/>
        <v>2023</v>
      </c>
      <c r="AK27" s="97" t="str">
        <f t="shared" si="8"/>
        <v/>
      </c>
      <c r="AL27" s="97">
        <f t="shared" si="25"/>
        <v>1741</v>
      </c>
      <c r="AM27" s="97">
        <f t="shared" si="26"/>
        <v>1900</v>
      </c>
      <c r="AN27" s="97">
        <f t="shared" si="27"/>
        <v>1710</v>
      </c>
      <c r="AO27" s="101">
        <f t="shared" si="9"/>
        <v>386.83717504914131</v>
      </c>
      <c r="AP27" s="102">
        <f t="shared" si="28"/>
        <v>0.22219251869565843</v>
      </c>
      <c r="AQ27" s="102">
        <f t="shared" si="29"/>
        <v>0.20359851318375857</v>
      </c>
      <c r="AR27" s="102">
        <f t="shared" si="30"/>
        <v>1.2993714543605757E-4</v>
      </c>
      <c r="AS27" s="77"/>
      <c r="AT27" s="390"/>
    </row>
    <row r="28" spans="1:46" s="28" customFormat="1" ht="12" customHeight="1">
      <c r="A28" s="96">
        <v>22</v>
      </c>
      <c r="B28" s="105" t="s">
        <v>289</v>
      </c>
      <c r="C28" s="109">
        <v>600</v>
      </c>
      <c r="D28" s="104" t="s">
        <v>61</v>
      </c>
      <c r="E28" s="113">
        <v>0.19</v>
      </c>
      <c r="F28" s="97">
        <v>1900</v>
      </c>
      <c r="G28" s="111">
        <f t="shared" si="0"/>
        <v>2261</v>
      </c>
      <c r="H28" s="120">
        <f t="shared" si="10"/>
        <v>1356600</v>
      </c>
      <c r="I28" s="97">
        <v>2500</v>
      </c>
      <c r="J28" s="97">
        <f t="shared" si="1"/>
        <v>2975</v>
      </c>
      <c r="K28" s="120">
        <f t="shared" si="11"/>
        <v>1785000</v>
      </c>
      <c r="L28" s="97">
        <v>2100</v>
      </c>
      <c r="M28" s="97">
        <f t="shared" si="2"/>
        <v>2499</v>
      </c>
      <c r="N28" s="120">
        <f t="shared" si="12"/>
        <v>1499400</v>
      </c>
      <c r="O28" s="97">
        <v>4000</v>
      </c>
      <c r="P28" s="111">
        <f t="shared" si="3"/>
        <v>4760</v>
      </c>
      <c r="Q28" s="120">
        <f t="shared" si="13"/>
        <v>2856000</v>
      </c>
      <c r="R28" s="98"/>
      <c r="S28" s="116">
        <f t="shared" si="14"/>
        <v>2625</v>
      </c>
      <c r="T28" s="116">
        <f t="shared" si="15"/>
        <v>2300</v>
      </c>
      <c r="U28" s="116">
        <f t="shared" si="16"/>
        <v>2513</v>
      </c>
      <c r="V28" s="116">
        <f t="shared" si="17"/>
        <v>950</v>
      </c>
      <c r="W28" s="100">
        <f t="shared" si="18"/>
        <v>0.3619047619047619</v>
      </c>
      <c r="X28" s="100">
        <f t="shared" si="19"/>
        <v>2.4210526315789473</v>
      </c>
      <c r="Y28" s="100">
        <f t="shared" si="20"/>
        <v>2.6452631578947368</v>
      </c>
      <c r="Z28" s="76"/>
      <c r="AA28" s="119">
        <f t="shared" si="21"/>
        <v>2407.6</v>
      </c>
      <c r="AB28" s="119">
        <f t="shared" si="22"/>
        <v>2865</v>
      </c>
      <c r="AC28" s="119">
        <f t="shared" si="23"/>
        <v>1719000</v>
      </c>
      <c r="AD28" s="76"/>
      <c r="AE28" s="76"/>
      <c r="AF28" s="99">
        <f t="shared" si="4"/>
        <v>3575</v>
      </c>
      <c r="AG28" s="99">
        <f t="shared" si="5"/>
        <v>1675</v>
      </c>
      <c r="AH28" s="97">
        <f t="shared" si="6"/>
        <v>1900</v>
      </c>
      <c r="AI28" s="97">
        <f t="shared" si="7"/>
        <v>2500</v>
      </c>
      <c r="AJ28" s="97">
        <f t="shared" si="24"/>
        <v>2499</v>
      </c>
      <c r="AK28" s="97" t="str">
        <f t="shared" si="8"/>
        <v/>
      </c>
      <c r="AL28" s="97">
        <f t="shared" si="25"/>
        <v>2300</v>
      </c>
      <c r="AM28" s="97">
        <f t="shared" si="26"/>
        <v>2499</v>
      </c>
      <c r="AN28" s="97">
        <f t="shared" si="27"/>
        <v>2281</v>
      </c>
      <c r="AO28" s="101">
        <f t="shared" si="9"/>
        <v>346.12184752386412</v>
      </c>
      <c r="AP28" s="102">
        <f t="shared" si="28"/>
        <v>0.1504877597929844</v>
      </c>
      <c r="AQ28" s="102">
        <f t="shared" si="29"/>
        <v>0.13850414066581196</v>
      </c>
      <c r="AR28" s="102">
        <f t="shared" si="30"/>
        <v>6.5974467248129946E-5</v>
      </c>
      <c r="AS28" s="77"/>
      <c r="AT28" s="390"/>
    </row>
    <row r="29" spans="1:46" s="28" customFormat="1" ht="12" customHeight="1">
      <c r="A29" s="96">
        <v>23</v>
      </c>
      <c r="B29" s="105" t="s">
        <v>290</v>
      </c>
      <c r="C29" s="109">
        <v>100</v>
      </c>
      <c r="D29" s="104" t="s">
        <v>291</v>
      </c>
      <c r="E29" s="113">
        <v>0.19</v>
      </c>
      <c r="F29" s="97">
        <v>965</v>
      </c>
      <c r="G29" s="111">
        <f t="shared" si="0"/>
        <v>1148</v>
      </c>
      <c r="H29" s="120">
        <f t="shared" si="10"/>
        <v>114800</v>
      </c>
      <c r="I29" s="97">
        <v>2000</v>
      </c>
      <c r="J29" s="97">
        <f t="shared" si="1"/>
        <v>2380</v>
      </c>
      <c r="K29" s="120">
        <f t="shared" si="11"/>
        <v>238000</v>
      </c>
      <c r="L29" s="97">
        <v>1650</v>
      </c>
      <c r="M29" s="97">
        <f t="shared" si="2"/>
        <v>1964</v>
      </c>
      <c r="N29" s="120">
        <f t="shared" si="12"/>
        <v>196400</v>
      </c>
      <c r="O29" s="97">
        <v>2000</v>
      </c>
      <c r="P29" s="111">
        <f t="shared" si="3"/>
        <v>2380</v>
      </c>
      <c r="Q29" s="120">
        <f t="shared" si="13"/>
        <v>238000</v>
      </c>
      <c r="R29" s="98"/>
      <c r="S29" s="116">
        <f t="shared" si="14"/>
        <v>1654</v>
      </c>
      <c r="T29" s="116">
        <f t="shared" si="15"/>
        <v>1825</v>
      </c>
      <c r="U29" s="116">
        <f t="shared" si="16"/>
        <v>1589</v>
      </c>
      <c r="V29" s="116">
        <f t="shared" si="17"/>
        <v>487.91008392940597</v>
      </c>
      <c r="W29" s="100">
        <f t="shared" si="18"/>
        <v>0.29498795884486456</v>
      </c>
      <c r="X29" s="100">
        <f t="shared" si="19"/>
        <v>3.7404432909077832</v>
      </c>
      <c r="Y29" s="100">
        <f t="shared" si="20"/>
        <v>3.2567476105492972</v>
      </c>
      <c r="Z29" s="76"/>
      <c r="AA29" s="119">
        <f t="shared" si="21"/>
        <v>1649.2</v>
      </c>
      <c r="AB29" s="119">
        <f t="shared" si="22"/>
        <v>1963</v>
      </c>
      <c r="AC29" s="119">
        <f t="shared" si="23"/>
        <v>196300</v>
      </c>
      <c r="AD29" s="76"/>
      <c r="AE29" s="76"/>
      <c r="AF29" s="99">
        <f t="shared" si="4"/>
        <v>2141.910083929406</v>
      </c>
      <c r="AG29" s="99">
        <f t="shared" si="5"/>
        <v>1166.089916070594</v>
      </c>
      <c r="AH29" s="97" t="str">
        <f t="shared" si="6"/>
        <v/>
      </c>
      <c r="AI29" s="97">
        <f t="shared" si="7"/>
        <v>2000</v>
      </c>
      <c r="AJ29" s="97">
        <f t="shared" si="24"/>
        <v>1964</v>
      </c>
      <c r="AK29" s="97" t="str">
        <f t="shared" si="8"/>
        <v/>
      </c>
      <c r="AL29" s="97">
        <f t="shared" si="25"/>
        <v>1982</v>
      </c>
      <c r="AM29" s="97">
        <f t="shared" si="26"/>
        <v>1982</v>
      </c>
      <c r="AN29" s="97">
        <f t="shared" si="27"/>
        <v>1982</v>
      </c>
      <c r="AO29" s="101">
        <f t="shared" si="9"/>
        <v>25.45584412271571</v>
      </c>
      <c r="AP29" s="102">
        <f t="shared" si="28"/>
        <v>1.2843513684518523E-2</v>
      </c>
      <c r="AQ29" s="102">
        <f t="shared" si="29"/>
        <v>1.2843513684518523E-2</v>
      </c>
      <c r="AR29" s="102">
        <f t="shared" si="30"/>
        <v>6.4800775401203442E-6</v>
      </c>
      <c r="AS29" s="77"/>
      <c r="AT29" s="390"/>
    </row>
    <row r="30" spans="1:46" s="28" customFormat="1" ht="12" customHeight="1">
      <c r="A30" s="96">
        <v>24</v>
      </c>
      <c r="B30" s="105" t="s">
        <v>292</v>
      </c>
      <c r="C30" s="109">
        <v>2</v>
      </c>
      <c r="D30" s="104" t="s">
        <v>61</v>
      </c>
      <c r="E30" s="113">
        <v>0.19</v>
      </c>
      <c r="F30" s="97">
        <v>85000</v>
      </c>
      <c r="G30" s="111">
        <f t="shared" si="0"/>
        <v>101150</v>
      </c>
      <c r="H30" s="120">
        <f t="shared" si="10"/>
        <v>202300</v>
      </c>
      <c r="I30" s="97">
        <v>261250</v>
      </c>
      <c r="J30" s="97">
        <f t="shared" si="1"/>
        <v>310888</v>
      </c>
      <c r="K30" s="120">
        <f t="shared" si="11"/>
        <v>621776</v>
      </c>
      <c r="L30" s="97">
        <v>165000</v>
      </c>
      <c r="M30" s="97">
        <f t="shared" si="2"/>
        <v>196350</v>
      </c>
      <c r="N30" s="120">
        <f t="shared" si="12"/>
        <v>392700</v>
      </c>
      <c r="O30" s="97">
        <v>150000</v>
      </c>
      <c r="P30" s="111">
        <f t="shared" si="3"/>
        <v>178500</v>
      </c>
      <c r="Q30" s="120">
        <f t="shared" si="13"/>
        <v>357000</v>
      </c>
      <c r="R30" s="98"/>
      <c r="S30" s="116">
        <f t="shared" si="14"/>
        <v>165313</v>
      </c>
      <c r="T30" s="116">
        <f t="shared" si="15"/>
        <v>157500</v>
      </c>
      <c r="U30" s="116">
        <f t="shared" si="16"/>
        <v>153113</v>
      </c>
      <c r="V30" s="116">
        <f t="shared" si="17"/>
        <v>72775.160311285697</v>
      </c>
      <c r="W30" s="100">
        <f t="shared" si="18"/>
        <v>0.44022648134923265</v>
      </c>
      <c r="X30" s="100">
        <f t="shared" si="19"/>
        <v>2.1641999732644424</v>
      </c>
      <c r="Y30" s="100">
        <f t="shared" si="20"/>
        <v>2.1039184159138955</v>
      </c>
      <c r="Z30" s="76"/>
      <c r="AA30" s="119">
        <f t="shared" si="21"/>
        <v>156430.39999999999</v>
      </c>
      <c r="AB30" s="119">
        <f t="shared" si="22"/>
        <v>186152</v>
      </c>
      <c r="AC30" s="119">
        <f t="shared" si="23"/>
        <v>372304</v>
      </c>
      <c r="AD30" s="76"/>
      <c r="AE30" s="76"/>
      <c r="AF30" s="99">
        <f t="shared" si="4"/>
        <v>238088.1603112857</v>
      </c>
      <c r="AG30" s="99">
        <f t="shared" si="5"/>
        <v>92537.839688714303</v>
      </c>
      <c r="AH30" s="97" t="str">
        <f t="shared" si="6"/>
        <v/>
      </c>
      <c r="AI30" s="97" t="str">
        <f t="shared" si="7"/>
        <v/>
      </c>
      <c r="AJ30" s="97">
        <f t="shared" si="24"/>
        <v>196350</v>
      </c>
      <c r="AK30" s="97">
        <f t="shared" si="8"/>
        <v>178500</v>
      </c>
      <c r="AL30" s="97">
        <f t="shared" si="25"/>
        <v>187425</v>
      </c>
      <c r="AM30" s="97">
        <f t="shared" si="26"/>
        <v>187425</v>
      </c>
      <c r="AN30" s="97">
        <f t="shared" si="27"/>
        <v>187212</v>
      </c>
      <c r="AO30" s="101">
        <f t="shared" si="9"/>
        <v>12621.856044179873</v>
      </c>
      <c r="AP30" s="102">
        <f t="shared" si="28"/>
        <v>6.7343502970147379E-2</v>
      </c>
      <c r="AQ30" s="102">
        <f t="shared" si="29"/>
        <v>6.7343502970147379E-2</v>
      </c>
      <c r="AR30" s="102">
        <f t="shared" si="30"/>
        <v>3.5971787583139636E-7</v>
      </c>
      <c r="AS30" s="77"/>
      <c r="AT30" s="390"/>
    </row>
    <row r="31" spans="1:46" s="28" customFormat="1" ht="12" customHeight="1">
      <c r="A31" s="96">
        <v>25</v>
      </c>
      <c r="B31" s="105" t="s">
        <v>293</v>
      </c>
      <c r="C31" s="109">
        <v>1620</v>
      </c>
      <c r="D31" s="104" t="s">
        <v>294</v>
      </c>
      <c r="E31" s="113">
        <v>0.19</v>
      </c>
      <c r="F31" s="97">
        <v>16000</v>
      </c>
      <c r="G31" s="111">
        <f t="shared" si="0"/>
        <v>19040</v>
      </c>
      <c r="H31" s="120">
        <f t="shared" si="10"/>
        <v>30844800</v>
      </c>
      <c r="I31" s="97">
        <v>27250</v>
      </c>
      <c r="J31" s="97">
        <f t="shared" si="1"/>
        <v>32428</v>
      </c>
      <c r="K31" s="120">
        <f t="shared" si="11"/>
        <v>52533360</v>
      </c>
      <c r="L31" s="97">
        <v>19000</v>
      </c>
      <c r="M31" s="97">
        <f t="shared" si="2"/>
        <v>22610</v>
      </c>
      <c r="N31" s="120">
        <f t="shared" si="12"/>
        <v>36628200</v>
      </c>
      <c r="O31" s="97">
        <v>19000</v>
      </c>
      <c r="P31" s="111">
        <f t="shared" si="3"/>
        <v>22610</v>
      </c>
      <c r="Q31" s="120">
        <f t="shared" si="13"/>
        <v>36628200</v>
      </c>
      <c r="R31" s="98"/>
      <c r="S31" s="116">
        <f t="shared" si="14"/>
        <v>20313</v>
      </c>
      <c r="T31" s="116">
        <f t="shared" si="15"/>
        <v>19000</v>
      </c>
      <c r="U31" s="116">
        <f t="shared" si="16"/>
        <v>19918</v>
      </c>
      <c r="V31" s="116">
        <f t="shared" si="17"/>
        <v>4836.3855305382758</v>
      </c>
      <c r="W31" s="100">
        <f t="shared" si="18"/>
        <v>0.23809311921125761</v>
      </c>
      <c r="X31" s="100">
        <f t="shared" si="19"/>
        <v>3.9285536440444511</v>
      </c>
      <c r="Y31" s="100">
        <f t="shared" si="20"/>
        <v>4.1183648148461778</v>
      </c>
      <c r="Z31" s="76"/>
      <c r="AA31" s="119">
        <f t="shared" si="21"/>
        <v>19446.2</v>
      </c>
      <c r="AB31" s="119">
        <f t="shared" si="22"/>
        <v>23141</v>
      </c>
      <c r="AC31" s="119">
        <f t="shared" si="23"/>
        <v>37488420</v>
      </c>
      <c r="AD31" s="76"/>
      <c r="AE31" s="76"/>
      <c r="AF31" s="99">
        <f t="shared" si="4"/>
        <v>25149.385530538275</v>
      </c>
      <c r="AG31" s="99">
        <f t="shared" si="5"/>
        <v>15476.614469461725</v>
      </c>
      <c r="AH31" s="97">
        <f t="shared" si="6"/>
        <v>16000</v>
      </c>
      <c r="AI31" s="97" t="str">
        <f t="shared" si="7"/>
        <v/>
      </c>
      <c r="AJ31" s="97">
        <f t="shared" si="24"/>
        <v>22610</v>
      </c>
      <c r="AK31" s="97">
        <f t="shared" si="8"/>
        <v>22610</v>
      </c>
      <c r="AL31" s="97">
        <f t="shared" si="25"/>
        <v>20407</v>
      </c>
      <c r="AM31" s="97">
        <f t="shared" si="26"/>
        <v>22610</v>
      </c>
      <c r="AN31" s="97">
        <f t="shared" si="27"/>
        <v>20148</v>
      </c>
      <c r="AO31" s="101">
        <f t="shared" si="9"/>
        <v>3816.2852793434313</v>
      </c>
      <c r="AP31" s="102">
        <f t="shared" si="28"/>
        <v>0.18700863818020441</v>
      </c>
      <c r="AQ31" s="102">
        <f t="shared" si="29"/>
        <v>0.16878749576928045</v>
      </c>
      <c r="AR31" s="102">
        <f t="shared" si="30"/>
        <v>9.2817469813482428E-6</v>
      </c>
      <c r="AS31" s="77"/>
      <c r="AT31" s="390"/>
    </row>
    <row r="32" spans="1:46" s="103" customFormat="1" ht="12" customHeight="1">
      <c r="A32" s="96">
        <v>26</v>
      </c>
      <c r="B32" s="105" t="s">
        <v>295</v>
      </c>
      <c r="C32" s="109">
        <v>50</v>
      </c>
      <c r="D32" s="104" t="s">
        <v>294</v>
      </c>
      <c r="E32" s="113">
        <v>0.19</v>
      </c>
      <c r="F32" s="97">
        <v>19000</v>
      </c>
      <c r="G32" s="111">
        <f t="shared" si="0"/>
        <v>22610</v>
      </c>
      <c r="H32" s="120">
        <f t="shared" si="10"/>
        <v>1130500</v>
      </c>
      <c r="I32" s="97">
        <v>32750</v>
      </c>
      <c r="J32" s="97">
        <f t="shared" si="1"/>
        <v>38973</v>
      </c>
      <c r="K32" s="120">
        <f t="shared" si="11"/>
        <v>1948650</v>
      </c>
      <c r="L32" s="97">
        <v>24000</v>
      </c>
      <c r="M32" s="97">
        <f t="shared" si="2"/>
        <v>28560</v>
      </c>
      <c r="N32" s="120">
        <f t="shared" si="12"/>
        <v>1428000</v>
      </c>
      <c r="O32" s="97">
        <v>24000</v>
      </c>
      <c r="P32" s="111">
        <f t="shared" si="3"/>
        <v>28560</v>
      </c>
      <c r="Q32" s="120">
        <f t="shared" si="13"/>
        <v>1428000</v>
      </c>
      <c r="R32" s="98"/>
      <c r="S32" s="116">
        <f t="shared" si="14"/>
        <v>24938</v>
      </c>
      <c r="T32" s="116">
        <f t="shared" si="15"/>
        <v>24000</v>
      </c>
      <c r="U32" s="116">
        <f t="shared" si="16"/>
        <v>24468</v>
      </c>
      <c r="V32" s="116">
        <f t="shared" si="17"/>
        <v>5716.8428058384352</v>
      </c>
      <c r="W32" s="100">
        <f t="shared" si="18"/>
        <v>0.22924223297130625</v>
      </c>
      <c r="X32" s="100">
        <f t="shared" si="19"/>
        <v>4.1981213783750606</v>
      </c>
      <c r="Y32" s="100">
        <f t="shared" si="20"/>
        <v>4.2799847452533744</v>
      </c>
      <c r="Z32" s="76"/>
      <c r="AA32" s="119">
        <f t="shared" si="21"/>
        <v>24281.200000000001</v>
      </c>
      <c r="AB32" s="119">
        <f t="shared" si="22"/>
        <v>28895</v>
      </c>
      <c r="AC32" s="119">
        <f t="shared" si="23"/>
        <v>1444750</v>
      </c>
      <c r="AD32" s="76"/>
      <c r="AE32" s="76"/>
      <c r="AF32" s="99">
        <f t="shared" si="4"/>
        <v>30654.842805838434</v>
      </c>
      <c r="AG32" s="99">
        <f t="shared" si="5"/>
        <v>19221.157194161566</v>
      </c>
      <c r="AH32" s="97" t="str">
        <f t="shared" si="6"/>
        <v/>
      </c>
      <c r="AI32" s="97" t="str">
        <f t="shared" si="7"/>
        <v/>
      </c>
      <c r="AJ32" s="97">
        <f t="shared" si="24"/>
        <v>28560</v>
      </c>
      <c r="AK32" s="97">
        <f t="shared" si="8"/>
        <v>28560</v>
      </c>
      <c r="AL32" s="97">
        <f t="shared" si="25"/>
        <v>28560</v>
      </c>
      <c r="AM32" s="97">
        <f t="shared" si="26"/>
        <v>28560</v>
      </c>
      <c r="AN32" s="97">
        <f t="shared" si="27"/>
        <v>28560</v>
      </c>
      <c r="AO32" s="101">
        <f t="shared" si="9"/>
        <v>0</v>
      </c>
      <c r="AP32" s="102">
        <f t="shared" si="28"/>
        <v>0</v>
      </c>
      <c r="AQ32" s="102">
        <f t="shared" si="29"/>
        <v>0</v>
      </c>
      <c r="AR32" s="102">
        <f t="shared" si="30"/>
        <v>0</v>
      </c>
      <c r="AS32" s="77"/>
      <c r="AT32" s="390"/>
    </row>
    <row r="33" spans="1:46" s="28" customFormat="1" ht="12" customHeight="1">
      <c r="A33" s="96">
        <v>27</v>
      </c>
      <c r="B33" s="105" t="s">
        <v>296</v>
      </c>
      <c r="C33" s="109">
        <v>600</v>
      </c>
      <c r="D33" s="104" t="s">
        <v>274</v>
      </c>
      <c r="E33" s="113">
        <v>0.19</v>
      </c>
      <c r="F33" s="97">
        <v>95000</v>
      </c>
      <c r="G33" s="111">
        <f t="shared" si="0"/>
        <v>113050</v>
      </c>
      <c r="H33" s="120">
        <f t="shared" si="10"/>
        <v>67830000</v>
      </c>
      <c r="I33" s="97">
        <v>9000</v>
      </c>
      <c r="J33" s="97">
        <f t="shared" si="1"/>
        <v>10710</v>
      </c>
      <c r="K33" s="120">
        <f t="shared" si="11"/>
        <v>6426000</v>
      </c>
      <c r="L33" s="97">
        <v>12000</v>
      </c>
      <c r="M33" s="97">
        <f t="shared" si="2"/>
        <v>14280</v>
      </c>
      <c r="N33" s="120">
        <f t="shared" si="12"/>
        <v>8568000</v>
      </c>
      <c r="O33" s="97">
        <v>8000</v>
      </c>
      <c r="P33" s="111">
        <f t="shared" si="3"/>
        <v>9520</v>
      </c>
      <c r="Q33" s="120">
        <f t="shared" si="13"/>
        <v>5712000</v>
      </c>
      <c r="R33" s="98"/>
      <c r="S33" s="116">
        <f t="shared" si="14"/>
        <v>31000</v>
      </c>
      <c r="T33" s="116">
        <f t="shared" si="15"/>
        <v>10500</v>
      </c>
      <c r="U33" s="116">
        <f t="shared" si="16"/>
        <v>16926</v>
      </c>
      <c r="V33" s="116">
        <f t="shared" si="17"/>
        <v>42700.507413066334</v>
      </c>
      <c r="W33" s="100">
        <f t="shared" si="18"/>
        <v>1.3774357230021399</v>
      </c>
      <c r="X33" s="100">
        <f t="shared" si="19"/>
        <v>0.24589871727816998</v>
      </c>
      <c r="Y33" s="100">
        <f t="shared" si="20"/>
        <v>0.39638873225241</v>
      </c>
      <c r="Z33" s="76"/>
      <c r="AA33" s="119">
        <f t="shared" si="21"/>
        <v>15885.2</v>
      </c>
      <c r="AB33" s="119">
        <f t="shared" si="22"/>
        <v>18903</v>
      </c>
      <c r="AC33" s="119">
        <f t="shared" si="23"/>
        <v>11341800</v>
      </c>
      <c r="AD33" s="76"/>
      <c r="AE33" s="76"/>
      <c r="AF33" s="99">
        <f t="shared" si="4"/>
        <v>73700.507413066342</v>
      </c>
      <c r="AG33" s="99">
        <f t="shared" si="5"/>
        <v>-11700.507413066334</v>
      </c>
      <c r="AH33" s="97" t="str">
        <f t="shared" si="6"/>
        <v/>
      </c>
      <c r="AI33" s="97">
        <f t="shared" si="7"/>
        <v>9000</v>
      </c>
      <c r="AJ33" s="97">
        <f t="shared" si="24"/>
        <v>14280</v>
      </c>
      <c r="AK33" s="97">
        <f t="shared" si="8"/>
        <v>9520</v>
      </c>
      <c r="AL33" s="97">
        <f>ROUND(+AVERAGE(AH33:AK33),0)</f>
        <v>10933</v>
      </c>
      <c r="AM33" s="97">
        <f t="shared" si="26"/>
        <v>9520</v>
      </c>
      <c r="AN33" s="97">
        <f t="shared" si="27"/>
        <v>10696</v>
      </c>
      <c r="AO33" s="101">
        <f t="shared" si="9"/>
        <v>2909.9369981725281</v>
      </c>
      <c r="AP33" s="102">
        <f t="shared" si="28"/>
        <v>0.26616088888434358</v>
      </c>
      <c r="AQ33" s="102">
        <f t="shared" si="29"/>
        <v>0.30566565106854288</v>
      </c>
      <c r="AR33" s="102">
        <f t="shared" si="30"/>
        <v>2.4884151915140573E-5</v>
      </c>
      <c r="AS33" s="77"/>
      <c r="AT33" s="390"/>
    </row>
    <row r="34" spans="1:46" s="28" customFormat="1" ht="12" customHeight="1">
      <c r="A34" s="96">
        <v>28</v>
      </c>
      <c r="B34" s="105" t="s">
        <v>297</v>
      </c>
      <c r="C34" s="109">
        <v>100</v>
      </c>
      <c r="D34" s="104" t="s">
        <v>61</v>
      </c>
      <c r="E34" s="113">
        <v>0.19</v>
      </c>
      <c r="F34" s="97">
        <v>4400</v>
      </c>
      <c r="G34" s="111">
        <f t="shared" si="0"/>
        <v>5236</v>
      </c>
      <c r="H34" s="120">
        <f t="shared" si="10"/>
        <v>523600</v>
      </c>
      <c r="I34" s="97">
        <v>3100</v>
      </c>
      <c r="J34" s="97">
        <f t="shared" si="1"/>
        <v>3689</v>
      </c>
      <c r="K34" s="120">
        <f t="shared" si="11"/>
        <v>368900</v>
      </c>
      <c r="L34" s="97">
        <v>3100</v>
      </c>
      <c r="M34" s="97">
        <f t="shared" si="2"/>
        <v>3689</v>
      </c>
      <c r="N34" s="120">
        <f t="shared" si="12"/>
        <v>368900</v>
      </c>
      <c r="O34" s="97">
        <v>9500</v>
      </c>
      <c r="P34" s="111">
        <f t="shared" si="3"/>
        <v>11305</v>
      </c>
      <c r="Q34" s="120">
        <f t="shared" si="13"/>
        <v>1130500</v>
      </c>
      <c r="R34" s="98"/>
      <c r="S34" s="116">
        <f t="shared" si="14"/>
        <v>5025</v>
      </c>
      <c r="T34" s="116">
        <f t="shared" si="15"/>
        <v>3750</v>
      </c>
      <c r="U34" s="116">
        <f t="shared" si="16"/>
        <v>4477</v>
      </c>
      <c r="V34" s="116">
        <f t="shared" si="17"/>
        <v>3045.6252778917719</v>
      </c>
      <c r="W34" s="100">
        <f t="shared" si="18"/>
        <v>0.60609458266502925</v>
      </c>
      <c r="X34" s="100">
        <f t="shared" si="19"/>
        <v>1.2312742566268058</v>
      </c>
      <c r="Y34" s="100">
        <f t="shared" si="20"/>
        <v>1.4699772925115224</v>
      </c>
      <c r="Z34" s="76"/>
      <c r="AA34" s="119">
        <f t="shared" si="21"/>
        <v>4150.3999999999996</v>
      </c>
      <c r="AB34" s="119">
        <f t="shared" si="22"/>
        <v>4939</v>
      </c>
      <c r="AC34" s="119">
        <f t="shared" si="23"/>
        <v>493900</v>
      </c>
      <c r="AD34" s="76"/>
      <c r="AE34" s="76"/>
      <c r="AF34" s="99">
        <f t="shared" si="4"/>
        <v>8070.6252778917715</v>
      </c>
      <c r="AG34" s="99">
        <f t="shared" si="5"/>
        <v>1979.3747221082281</v>
      </c>
      <c r="AH34" s="97">
        <f t="shared" si="6"/>
        <v>4400</v>
      </c>
      <c r="AI34" s="97">
        <f t="shared" si="7"/>
        <v>3100</v>
      </c>
      <c r="AJ34" s="97">
        <f t="shared" si="24"/>
        <v>3689</v>
      </c>
      <c r="AK34" s="97" t="str">
        <f t="shared" si="8"/>
        <v/>
      </c>
      <c r="AL34" s="97">
        <f t="shared" si="25"/>
        <v>3730</v>
      </c>
      <c r="AM34" s="97">
        <f t="shared" si="26"/>
        <v>3689</v>
      </c>
      <c r="AN34" s="97">
        <f t="shared" si="27"/>
        <v>3692</v>
      </c>
      <c r="AO34" s="101">
        <f t="shared" si="9"/>
        <v>650.95340335029516</v>
      </c>
      <c r="AP34" s="102">
        <f t="shared" si="28"/>
        <v>0.17451833869981104</v>
      </c>
      <c r="AQ34" s="102">
        <f t="shared" si="29"/>
        <v>0.17645795699384526</v>
      </c>
      <c r="AR34" s="102">
        <f t="shared" si="30"/>
        <v>4.7269322508074497E-5</v>
      </c>
      <c r="AS34" s="77"/>
      <c r="AT34" s="390"/>
    </row>
    <row r="35" spans="1:46" s="28" customFormat="1" ht="12" customHeight="1">
      <c r="A35" s="96">
        <v>29</v>
      </c>
      <c r="B35" s="105" t="s">
        <v>298</v>
      </c>
      <c r="C35" s="109">
        <v>100</v>
      </c>
      <c r="D35" s="104" t="s">
        <v>299</v>
      </c>
      <c r="E35" s="113">
        <v>0.19</v>
      </c>
      <c r="F35" s="97">
        <v>3440</v>
      </c>
      <c r="G35" s="111">
        <f t="shared" si="0"/>
        <v>4094</v>
      </c>
      <c r="H35" s="120">
        <f t="shared" si="10"/>
        <v>409400</v>
      </c>
      <c r="I35" s="97">
        <v>6250</v>
      </c>
      <c r="J35" s="97">
        <f t="shared" si="1"/>
        <v>7438</v>
      </c>
      <c r="K35" s="120">
        <f t="shared" si="11"/>
        <v>743800</v>
      </c>
      <c r="L35" s="97">
        <v>4500</v>
      </c>
      <c r="M35" s="97">
        <f t="shared" si="2"/>
        <v>5355</v>
      </c>
      <c r="N35" s="120">
        <f t="shared" si="12"/>
        <v>535500</v>
      </c>
      <c r="O35" s="97">
        <v>7500</v>
      </c>
      <c r="P35" s="111">
        <f t="shared" si="3"/>
        <v>8925</v>
      </c>
      <c r="Q35" s="120">
        <f t="shared" si="13"/>
        <v>892500</v>
      </c>
      <c r="R35" s="98"/>
      <c r="S35" s="116">
        <f t="shared" si="14"/>
        <v>5423</v>
      </c>
      <c r="T35" s="116">
        <f t="shared" si="15"/>
        <v>5375</v>
      </c>
      <c r="U35" s="116">
        <f t="shared" si="16"/>
        <v>5190</v>
      </c>
      <c r="V35" s="116">
        <f t="shared" si="17"/>
        <v>1805.738537736476</v>
      </c>
      <c r="W35" s="100">
        <f t="shared" si="18"/>
        <v>0.33297778678526202</v>
      </c>
      <c r="X35" s="100">
        <f t="shared" si="19"/>
        <v>2.9766214142705589</v>
      </c>
      <c r="Y35" s="100">
        <f t="shared" si="20"/>
        <v>2.8741702586165951</v>
      </c>
      <c r="Z35" s="76"/>
      <c r="AA35" s="119">
        <f t="shared" si="21"/>
        <v>5273.6</v>
      </c>
      <c r="AB35" s="119">
        <f t="shared" si="22"/>
        <v>6276</v>
      </c>
      <c r="AC35" s="119">
        <f t="shared" si="23"/>
        <v>627600</v>
      </c>
      <c r="AD35" s="76"/>
      <c r="AE35" s="76"/>
      <c r="AF35" s="99">
        <f t="shared" si="4"/>
        <v>7228.7385377364762</v>
      </c>
      <c r="AG35" s="99">
        <f t="shared" si="5"/>
        <v>3617.2614622635238</v>
      </c>
      <c r="AH35" s="97" t="str">
        <f t="shared" si="6"/>
        <v/>
      </c>
      <c r="AI35" s="97">
        <f t="shared" si="7"/>
        <v>6250</v>
      </c>
      <c r="AJ35" s="97">
        <f t="shared" si="24"/>
        <v>5355</v>
      </c>
      <c r="AK35" s="97" t="str">
        <f t="shared" si="8"/>
        <v/>
      </c>
      <c r="AL35" s="97">
        <f t="shared" si="25"/>
        <v>5803</v>
      </c>
      <c r="AM35" s="97">
        <f t="shared" si="26"/>
        <v>5803</v>
      </c>
      <c r="AN35" s="97">
        <f t="shared" si="27"/>
        <v>5785</v>
      </c>
      <c r="AO35" s="101">
        <f t="shared" si="9"/>
        <v>632.86056916196003</v>
      </c>
      <c r="AP35" s="102">
        <f t="shared" si="28"/>
        <v>0.10905748219230743</v>
      </c>
      <c r="AQ35" s="102">
        <f t="shared" si="29"/>
        <v>0.10905748219230743</v>
      </c>
      <c r="AR35" s="102">
        <f t="shared" si="30"/>
        <v>1.8851768745429116E-5</v>
      </c>
      <c r="AS35" s="77"/>
      <c r="AT35" s="390"/>
    </row>
    <row r="36" spans="1:46" s="28" customFormat="1" ht="12" customHeight="1">
      <c r="A36" s="96">
        <v>30</v>
      </c>
      <c r="B36" s="105" t="s">
        <v>300</v>
      </c>
      <c r="C36" s="109">
        <v>1000</v>
      </c>
      <c r="D36" s="104" t="s">
        <v>61</v>
      </c>
      <c r="E36" s="113">
        <v>0.19</v>
      </c>
      <c r="F36" s="97">
        <v>2500</v>
      </c>
      <c r="G36" s="111">
        <f t="shared" si="0"/>
        <v>2975</v>
      </c>
      <c r="H36" s="120">
        <f t="shared" si="10"/>
        <v>2975000</v>
      </c>
      <c r="I36" s="97">
        <v>2300</v>
      </c>
      <c r="J36" s="97">
        <f t="shared" si="1"/>
        <v>2737</v>
      </c>
      <c r="K36" s="120">
        <f t="shared" si="11"/>
        <v>2737000</v>
      </c>
      <c r="L36" s="97">
        <v>1800</v>
      </c>
      <c r="M36" s="97">
        <f t="shared" si="2"/>
        <v>2142</v>
      </c>
      <c r="N36" s="120">
        <f t="shared" si="12"/>
        <v>2142000</v>
      </c>
      <c r="O36" s="97">
        <v>5000</v>
      </c>
      <c r="P36" s="111">
        <f t="shared" si="3"/>
        <v>5950</v>
      </c>
      <c r="Q36" s="120">
        <f t="shared" si="13"/>
        <v>5950000</v>
      </c>
      <c r="R36" s="98"/>
      <c r="S36" s="116">
        <f t="shared" si="14"/>
        <v>2900</v>
      </c>
      <c r="T36" s="116">
        <f t="shared" si="15"/>
        <v>2400</v>
      </c>
      <c r="U36" s="116">
        <f t="shared" si="16"/>
        <v>2682</v>
      </c>
      <c r="V36" s="116">
        <f t="shared" si="17"/>
        <v>1430.6175822583291</v>
      </c>
      <c r="W36" s="100">
        <f t="shared" si="18"/>
        <v>0.4933164076752859</v>
      </c>
      <c r="X36" s="100">
        <f t="shared" si="19"/>
        <v>1.6775971648631869</v>
      </c>
      <c r="Y36" s="100">
        <f t="shared" si="20"/>
        <v>1.8747148317346114</v>
      </c>
      <c r="Z36" s="76"/>
      <c r="AA36" s="119">
        <f t="shared" si="21"/>
        <v>2556.4</v>
      </c>
      <c r="AB36" s="119">
        <f t="shared" si="22"/>
        <v>3042</v>
      </c>
      <c r="AC36" s="119">
        <f t="shared" si="23"/>
        <v>3042000</v>
      </c>
      <c r="AD36" s="76"/>
      <c r="AE36" s="76"/>
      <c r="AF36" s="99">
        <f t="shared" si="4"/>
        <v>4330.6175822583291</v>
      </c>
      <c r="AG36" s="99">
        <f t="shared" si="5"/>
        <v>1469.3824177416709</v>
      </c>
      <c r="AH36" s="97">
        <f t="shared" si="6"/>
        <v>2500</v>
      </c>
      <c r="AI36" s="97">
        <f t="shared" si="7"/>
        <v>2300</v>
      </c>
      <c r="AJ36" s="97">
        <f t="shared" si="24"/>
        <v>2142</v>
      </c>
      <c r="AK36" s="97" t="str">
        <f t="shared" si="8"/>
        <v/>
      </c>
      <c r="AL36" s="97">
        <f t="shared" si="25"/>
        <v>2314</v>
      </c>
      <c r="AM36" s="97">
        <f t="shared" si="26"/>
        <v>2300</v>
      </c>
      <c r="AN36" s="97">
        <f t="shared" si="27"/>
        <v>2309</v>
      </c>
      <c r="AO36" s="101">
        <f t="shared" si="9"/>
        <v>179.41014464070867</v>
      </c>
      <c r="AP36" s="102">
        <f t="shared" si="28"/>
        <v>7.753247391560443E-2</v>
      </c>
      <c r="AQ36" s="102">
        <f t="shared" si="29"/>
        <v>7.8004410713351596E-2</v>
      </c>
      <c r="AR36" s="102">
        <f t="shared" si="30"/>
        <v>3.3578377616112786E-5</v>
      </c>
      <c r="AS36" s="77"/>
      <c r="AT36" s="390"/>
    </row>
    <row r="37" spans="1:46" s="28" customFormat="1" ht="12" customHeight="1">
      <c r="A37" s="96">
        <v>31</v>
      </c>
      <c r="B37" s="106" t="s">
        <v>301</v>
      </c>
      <c r="C37" s="109">
        <v>30</v>
      </c>
      <c r="D37" s="104" t="s">
        <v>61</v>
      </c>
      <c r="E37" s="113">
        <v>0.19</v>
      </c>
      <c r="F37" s="97">
        <v>500</v>
      </c>
      <c r="G37" s="111">
        <f t="shared" si="0"/>
        <v>595</v>
      </c>
      <c r="H37" s="120">
        <f t="shared" si="10"/>
        <v>17850</v>
      </c>
      <c r="I37" s="97">
        <v>750</v>
      </c>
      <c r="J37" s="97">
        <f t="shared" si="1"/>
        <v>893</v>
      </c>
      <c r="K37" s="120">
        <f t="shared" si="11"/>
        <v>26790</v>
      </c>
      <c r="L37" s="97">
        <v>1300</v>
      </c>
      <c r="M37" s="97">
        <f t="shared" si="2"/>
        <v>1547</v>
      </c>
      <c r="N37" s="120">
        <f t="shared" si="12"/>
        <v>46410</v>
      </c>
      <c r="O37" s="97">
        <v>1800</v>
      </c>
      <c r="P37" s="111">
        <f t="shared" si="3"/>
        <v>2142</v>
      </c>
      <c r="Q37" s="120">
        <f t="shared" si="13"/>
        <v>64260</v>
      </c>
      <c r="R37" s="98"/>
      <c r="S37" s="116">
        <f t="shared" si="14"/>
        <v>1088</v>
      </c>
      <c r="T37" s="116">
        <f t="shared" si="15"/>
        <v>1025</v>
      </c>
      <c r="U37" s="116">
        <f t="shared" si="16"/>
        <v>968</v>
      </c>
      <c r="V37" s="116">
        <f t="shared" si="17"/>
        <v>580.76816946753092</v>
      </c>
      <c r="W37" s="100">
        <f t="shared" si="18"/>
        <v>0.53379427340765706</v>
      </c>
      <c r="X37" s="100">
        <f t="shared" si="19"/>
        <v>1.764903887449198</v>
      </c>
      <c r="Y37" s="100">
        <f t="shared" si="20"/>
        <v>1.666758012732511</v>
      </c>
      <c r="Z37" s="76"/>
      <c r="AA37" s="119">
        <f t="shared" si="21"/>
        <v>1003.4</v>
      </c>
      <c r="AB37" s="119">
        <f t="shared" si="22"/>
        <v>1194</v>
      </c>
      <c r="AC37" s="119">
        <f t="shared" si="23"/>
        <v>35820</v>
      </c>
      <c r="AD37" s="76"/>
      <c r="AE37" s="76"/>
      <c r="AF37" s="99">
        <f t="shared" si="4"/>
        <v>1668.7681694675309</v>
      </c>
      <c r="AG37" s="99">
        <f t="shared" si="5"/>
        <v>507.23183053246908</v>
      </c>
      <c r="AH37" s="97" t="str">
        <f t="shared" si="6"/>
        <v/>
      </c>
      <c r="AI37" s="97">
        <f t="shared" si="7"/>
        <v>750</v>
      </c>
      <c r="AJ37" s="97">
        <f t="shared" si="24"/>
        <v>1547</v>
      </c>
      <c r="AK37" s="97" t="str">
        <f t="shared" si="8"/>
        <v/>
      </c>
      <c r="AL37" s="97">
        <f t="shared" si="25"/>
        <v>1149</v>
      </c>
      <c r="AM37" s="97">
        <f t="shared" si="26"/>
        <v>1149</v>
      </c>
      <c r="AN37" s="97">
        <f t="shared" si="27"/>
        <v>1077</v>
      </c>
      <c r="AO37" s="101">
        <f t="shared" si="9"/>
        <v>563.56410460567838</v>
      </c>
      <c r="AP37" s="102">
        <f t="shared" si="28"/>
        <v>0.49048224943923269</v>
      </c>
      <c r="AQ37" s="102">
        <f t="shared" si="29"/>
        <v>0.49048224943923269</v>
      </c>
      <c r="AR37" s="102">
        <f t="shared" si="30"/>
        <v>4.5541527338833121E-4</v>
      </c>
      <c r="AS37" s="77"/>
      <c r="AT37" s="390"/>
    </row>
    <row r="38" spans="1:46" s="28" customFormat="1" ht="12" customHeight="1">
      <c r="A38" s="96">
        <v>32</v>
      </c>
      <c r="B38" s="105" t="s">
        <v>302</v>
      </c>
      <c r="C38" s="109">
        <v>1000</v>
      </c>
      <c r="D38" s="104" t="s">
        <v>61</v>
      </c>
      <c r="E38" s="113">
        <v>0.19</v>
      </c>
      <c r="F38" s="97">
        <v>1250</v>
      </c>
      <c r="G38" s="111">
        <f t="shared" si="0"/>
        <v>1488</v>
      </c>
      <c r="H38" s="120">
        <f t="shared" si="10"/>
        <v>1488000</v>
      </c>
      <c r="I38" s="97">
        <v>1500</v>
      </c>
      <c r="J38" s="97">
        <f t="shared" si="1"/>
        <v>1785</v>
      </c>
      <c r="K38" s="120">
        <f t="shared" si="11"/>
        <v>1785000</v>
      </c>
      <c r="L38" s="97">
        <v>1800</v>
      </c>
      <c r="M38" s="97">
        <f t="shared" si="2"/>
        <v>2142</v>
      </c>
      <c r="N38" s="120">
        <f t="shared" si="12"/>
        <v>2142000</v>
      </c>
      <c r="O38" s="97">
        <v>2500</v>
      </c>
      <c r="P38" s="111">
        <f t="shared" si="3"/>
        <v>2975</v>
      </c>
      <c r="Q38" s="120">
        <f t="shared" si="13"/>
        <v>2975000</v>
      </c>
      <c r="R38" s="98"/>
      <c r="S38" s="116">
        <f t="shared" si="14"/>
        <v>1763</v>
      </c>
      <c r="T38" s="116">
        <f t="shared" si="15"/>
        <v>1650</v>
      </c>
      <c r="U38" s="116">
        <f t="shared" si="16"/>
        <v>1704</v>
      </c>
      <c r="V38" s="116">
        <f t="shared" si="17"/>
        <v>540.6400527769531</v>
      </c>
      <c r="W38" s="100">
        <f t="shared" si="18"/>
        <v>0.30665913373621845</v>
      </c>
      <c r="X38" s="100">
        <f t="shared" si="19"/>
        <v>3.0519381453980534</v>
      </c>
      <c r="Y38" s="100">
        <f t="shared" si="20"/>
        <v>3.1518197574292626</v>
      </c>
      <c r="Z38" s="76"/>
      <c r="AA38" s="119">
        <f t="shared" si="21"/>
        <v>1683.4</v>
      </c>
      <c r="AB38" s="119">
        <f t="shared" si="22"/>
        <v>2003</v>
      </c>
      <c r="AC38" s="119">
        <f t="shared" si="23"/>
        <v>2003000</v>
      </c>
      <c r="AD38" s="76"/>
      <c r="AE38" s="76"/>
      <c r="AF38" s="99">
        <f t="shared" si="4"/>
        <v>2303.6400527769529</v>
      </c>
      <c r="AG38" s="99">
        <f t="shared" si="5"/>
        <v>1222.3599472230469</v>
      </c>
      <c r="AH38" s="97">
        <f t="shared" si="6"/>
        <v>1250</v>
      </c>
      <c r="AI38" s="97">
        <f t="shared" si="7"/>
        <v>1500</v>
      </c>
      <c r="AJ38" s="97">
        <f t="shared" si="24"/>
        <v>2142</v>
      </c>
      <c r="AK38" s="97" t="str">
        <f t="shared" si="8"/>
        <v/>
      </c>
      <c r="AL38" s="97">
        <f t="shared" si="25"/>
        <v>1631</v>
      </c>
      <c r="AM38" s="97">
        <f t="shared" si="26"/>
        <v>1500</v>
      </c>
      <c r="AN38" s="97">
        <f t="shared" si="27"/>
        <v>1590</v>
      </c>
      <c r="AO38" s="101">
        <f t="shared" si="9"/>
        <v>460.13186515751494</v>
      </c>
      <c r="AP38" s="102">
        <f t="shared" si="28"/>
        <v>0.28211641027438072</v>
      </c>
      <c r="AQ38" s="102">
        <f t="shared" si="29"/>
        <v>0.30675457677167661</v>
      </c>
      <c r="AR38" s="102">
        <f t="shared" si="30"/>
        <v>1.7743170457508223E-4</v>
      </c>
      <c r="AS38" s="77"/>
      <c r="AT38" s="390"/>
    </row>
    <row r="39" spans="1:46" s="28" customFormat="1" ht="12" customHeight="1">
      <c r="A39" s="96">
        <v>33</v>
      </c>
      <c r="B39" s="105" t="s">
        <v>303</v>
      </c>
      <c r="C39" s="109">
        <v>100</v>
      </c>
      <c r="D39" s="104" t="s">
        <v>61</v>
      </c>
      <c r="E39" s="113">
        <v>0.19</v>
      </c>
      <c r="F39" s="97">
        <v>3000</v>
      </c>
      <c r="G39" s="111">
        <f t="shared" si="0"/>
        <v>3570</v>
      </c>
      <c r="H39" s="120">
        <f t="shared" si="10"/>
        <v>357000</v>
      </c>
      <c r="I39" s="97">
        <v>2500</v>
      </c>
      <c r="J39" s="97">
        <f t="shared" si="1"/>
        <v>2975</v>
      </c>
      <c r="K39" s="120">
        <f t="shared" si="11"/>
        <v>297500</v>
      </c>
      <c r="L39" s="97">
        <v>2900</v>
      </c>
      <c r="M39" s="97">
        <f t="shared" si="2"/>
        <v>3451</v>
      </c>
      <c r="N39" s="120">
        <f t="shared" si="12"/>
        <v>345100</v>
      </c>
      <c r="O39" s="97">
        <v>3500</v>
      </c>
      <c r="P39" s="111">
        <f t="shared" si="3"/>
        <v>4165</v>
      </c>
      <c r="Q39" s="120">
        <f t="shared" si="13"/>
        <v>416500</v>
      </c>
      <c r="R39" s="98"/>
      <c r="S39" s="116">
        <f t="shared" si="14"/>
        <v>2975</v>
      </c>
      <c r="T39" s="116">
        <f t="shared" si="15"/>
        <v>2950</v>
      </c>
      <c r="U39" s="116">
        <f t="shared" si="16"/>
        <v>2954</v>
      </c>
      <c r="V39" s="116">
        <f t="shared" si="17"/>
        <v>411.29875597510221</v>
      </c>
      <c r="W39" s="100">
        <f t="shared" si="18"/>
        <v>0.13825168268070662</v>
      </c>
      <c r="X39" s="100">
        <f t="shared" si="19"/>
        <v>7.1724019514870037</v>
      </c>
      <c r="Y39" s="100">
        <f t="shared" si="20"/>
        <v>7.182127242268681</v>
      </c>
      <c r="Z39" s="76"/>
      <c r="AA39" s="119">
        <f t="shared" si="21"/>
        <v>2955.8</v>
      </c>
      <c r="AB39" s="119">
        <f t="shared" si="22"/>
        <v>3517</v>
      </c>
      <c r="AC39" s="119">
        <f t="shared" si="23"/>
        <v>351700</v>
      </c>
      <c r="AD39" s="76"/>
      <c r="AE39" s="76"/>
      <c r="AF39" s="99">
        <f t="shared" si="4"/>
        <v>3386.2987559751023</v>
      </c>
      <c r="AG39" s="99">
        <f t="shared" si="5"/>
        <v>2563.7012440248977</v>
      </c>
      <c r="AH39" s="97">
        <f t="shared" si="6"/>
        <v>3000</v>
      </c>
      <c r="AI39" s="97" t="str">
        <f t="shared" si="7"/>
        <v/>
      </c>
      <c r="AJ39" s="97" t="str">
        <f t="shared" si="24"/>
        <v/>
      </c>
      <c r="AK39" s="97" t="str">
        <f t="shared" si="8"/>
        <v/>
      </c>
      <c r="AL39" s="97">
        <f t="shared" si="25"/>
        <v>3000</v>
      </c>
      <c r="AM39" s="97">
        <f t="shared" si="26"/>
        <v>3000</v>
      </c>
      <c r="AN39" s="97">
        <f t="shared" si="27"/>
        <v>3000</v>
      </c>
      <c r="AO39" s="101" t="e">
        <f t="shared" si="9"/>
        <v>#DIV/0!</v>
      </c>
      <c r="AP39" s="102" t="e">
        <f t="shared" si="28"/>
        <v>#DIV/0!</v>
      </c>
      <c r="AQ39" s="102" t="e">
        <f t="shared" si="29"/>
        <v>#DIV/0!</v>
      </c>
      <c r="AR39" s="102" t="e">
        <f t="shared" si="30"/>
        <v>#DIV/0!</v>
      </c>
      <c r="AS39" s="77"/>
      <c r="AT39" s="390"/>
    </row>
    <row r="40" spans="1:46" s="28" customFormat="1" ht="12" customHeight="1">
      <c r="A40" s="96">
        <v>34</v>
      </c>
      <c r="B40" s="105" t="s">
        <v>304</v>
      </c>
      <c r="C40" s="109">
        <v>150</v>
      </c>
      <c r="D40" s="104" t="s">
        <v>61</v>
      </c>
      <c r="E40" s="113">
        <v>0.19</v>
      </c>
      <c r="F40" s="97">
        <v>500</v>
      </c>
      <c r="G40" s="111">
        <f t="shared" si="0"/>
        <v>595</v>
      </c>
      <c r="H40" s="120">
        <f t="shared" si="10"/>
        <v>89250</v>
      </c>
      <c r="I40" s="97">
        <v>1050</v>
      </c>
      <c r="J40" s="97">
        <f t="shared" si="1"/>
        <v>1250</v>
      </c>
      <c r="K40" s="120">
        <f t="shared" si="11"/>
        <v>187500</v>
      </c>
      <c r="L40" s="97">
        <v>900</v>
      </c>
      <c r="M40" s="97">
        <f t="shared" si="2"/>
        <v>1071</v>
      </c>
      <c r="N40" s="120">
        <f t="shared" si="12"/>
        <v>160650</v>
      </c>
      <c r="O40" s="97">
        <v>800</v>
      </c>
      <c r="P40" s="111">
        <f t="shared" si="3"/>
        <v>952</v>
      </c>
      <c r="Q40" s="120">
        <f t="shared" si="13"/>
        <v>142800</v>
      </c>
      <c r="R40" s="98"/>
      <c r="S40" s="116">
        <f t="shared" si="14"/>
        <v>813</v>
      </c>
      <c r="T40" s="116">
        <f t="shared" si="15"/>
        <v>850</v>
      </c>
      <c r="U40" s="116">
        <f t="shared" si="16"/>
        <v>784</v>
      </c>
      <c r="V40" s="116">
        <f t="shared" si="17"/>
        <v>232.28933107943925</v>
      </c>
      <c r="W40" s="100">
        <f t="shared" si="18"/>
        <v>0.28571873441505441</v>
      </c>
      <c r="X40" s="100">
        <f t="shared" si="19"/>
        <v>3.6592296170042933</v>
      </c>
      <c r="Y40" s="100">
        <f t="shared" si="20"/>
        <v>3.3751011996839599</v>
      </c>
      <c r="Z40" s="76"/>
      <c r="AA40" s="119">
        <f t="shared" si="21"/>
        <v>803</v>
      </c>
      <c r="AB40" s="119">
        <f t="shared" si="22"/>
        <v>956</v>
      </c>
      <c r="AC40" s="119">
        <f t="shared" si="23"/>
        <v>143400</v>
      </c>
      <c r="AD40" s="76"/>
      <c r="AE40" s="76"/>
      <c r="AF40" s="99">
        <f t="shared" si="4"/>
        <v>1045.2893310794393</v>
      </c>
      <c r="AG40" s="99">
        <f t="shared" si="5"/>
        <v>580.71066892056069</v>
      </c>
      <c r="AH40" s="97" t="str">
        <f t="shared" si="6"/>
        <v/>
      </c>
      <c r="AI40" s="97" t="str">
        <f t="shared" si="7"/>
        <v/>
      </c>
      <c r="AJ40" s="97" t="str">
        <f t="shared" si="24"/>
        <v/>
      </c>
      <c r="AK40" s="97">
        <f t="shared" si="8"/>
        <v>952</v>
      </c>
      <c r="AL40" s="97">
        <f t="shared" si="25"/>
        <v>952</v>
      </c>
      <c r="AM40" s="97">
        <f t="shared" si="26"/>
        <v>952</v>
      </c>
      <c r="AN40" s="97">
        <f t="shared" si="27"/>
        <v>952</v>
      </c>
      <c r="AO40" s="101" t="e">
        <f t="shared" si="9"/>
        <v>#DIV/0!</v>
      </c>
      <c r="AP40" s="102" t="e">
        <f t="shared" si="28"/>
        <v>#DIV/0!</v>
      </c>
      <c r="AQ40" s="102" t="e">
        <f t="shared" si="29"/>
        <v>#DIV/0!</v>
      </c>
      <c r="AR40" s="102" t="e">
        <f t="shared" si="30"/>
        <v>#DIV/0!</v>
      </c>
      <c r="AS40" s="77"/>
      <c r="AT40" s="390"/>
    </row>
    <row r="41" spans="1:46" s="28" customFormat="1" ht="12" customHeight="1">
      <c r="A41" s="96">
        <v>35</v>
      </c>
      <c r="B41" s="105" t="s">
        <v>305</v>
      </c>
      <c r="C41" s="109">
        <v>500</v>
      </c>
      <c r="D41" s="104" t="s">
        <v>61</v>
      </c>
      <c r="E41" s="113">
        <v>0.19</v>
      </c>
      <c r="F41" s="97">
        <v>7500</v>
      </c>
      <c r="G41" s="111">
        <f t="shared" si="0"/>
        <v>8925</v>
      </c>
      <c r="H41" s="120">
        <f t="shared" si="10"/>
        <v>4462500</v>
      </c>
      <c r="I41" s="97">
        <v>4250</v>
      </c>
      <c r="J41" s="97">
        <f t="shared" si="1"/>
        <v>5058</v>
      </c>
      <c r="K41" s="120">
        <f t="shared" si="11"/>
        <v>2529000</v>
      </c>
      <c r="L41" s="97">
        <v>4300</v>
      </c>
      <c r="M41" s="97">
        <f t="shared" si="2"/>
        <v>5117</v>
      </c>
      <c r="N41" s="120">
        <f t="shared" si="12"/>
        <v>2558500</v>
      </c>
      <c r="O41" s="97">
        <v>5000</v>
      </c>
      <c r="P41" s="111">
        <f t="shared" si="3"/>
        <v>5950</v>
      </c>
      <c r="Q41" s="120">
        <f t="shared" si="13"/>
        <v>2975000</v>
      </c>
      <c r="R41" s="98"/>
      <c r="S41" s="116">
        <f t="shared" si="14"/>
        <v>5263</v>
      </c>
      <c r="T41" s="116">
        <f t="shared" si="15"/>
        <v>4650</v>
      </c>
      <c r="U41" s="116">
        <f t="shared" si="16"/>
        <v>5116</v>
      </c>
      <c r="V41" s="116">
        <f t="shared" si="17"/>
        <v>1530.4547254547149</v>
      </c>
      <c r="W41" s="100">
        <f t="shared" si="18"/>
        <v>0.29079512169004651</v>
      </c>
      <c r="X41" s="100">
        <f t="shared" si="19"/>
        <v>3.0383126809703134</v>
      </c>
      <c r="Y41" s="100">
        <f t="shared" si="20"/>
        <v>3.3427973496438979</v>
      </c>
      <c r="Z41" s="76"/>
      <c r="AA41" s="119">
        <f t="shared" si="21"/>
        <v>4865.8</v>
      </c>
      <c r="AB41" s="119">
        <f t="shared" si="22"/>
        <v>5790</v>
      </c>
      <c r="AC41" s="119">
        <f t="shared" si="23"/>
        <v>2895000</v>
      </c>
      <c r="AD41" s="76"/>
      <c r="AE41" s="76"/>
      <c r="AF41" s="99">
        <f t="shared" si="4"/>
        <v>6793.4547254547151</v>
      </c>
      <c r="AG41" s="99">
        <f t="shared" si="5"/>
        <v>3732.5452745452849</v>
      </c>
      <c r="AH41" s="97" t="str">
        <f t="shared" si="6"/>
        <v/>
      </c>
      <c r="AI41" s="97">
        <f t="shared" si="7"/>
        <v>4250</v>
      </c>
      <c r="AJ41" s="97">
        <f t="shared" si="24"/>
        <v>5117</v>
      </c>
      <c r="AK41" s="97">
        <f t="shared" si="8"/>
        <v>5950</v>
      </c>
      <c r="AL41" s="97">
        <f t="shared" si="25"/>
        <v>5106</v>
      </c>
      <c r="AM41" s="97">
        <f t="shared" si="26"/>
        <v>5117</v>
      </c>
      <c r="AN41" s="97">
        <f t="shared" si="27"/>
        <v>5058</v>
      </c>
      <c r="AO41" s="101">
        <f t="shared" si="9"/>
        <v>850.0566647779051</v>
      </c>
      <c r="AP41" s="102">
        <f t="shared" si="28"/>
        <v>0.16648191632939779</v>
      </c>
      <c r="AQ41" s="102">
        <f t="shared" si="29"/>
        <v>0.16612403063863693</v>
      </c>
      <c r="AR41" s="102">
        <f t="shared" si="30"/>
        <v>3.2914574205100396E-5</v>
      </c>
      <c r="AS41" s="77"/>
      <c r="AT41" s="390"/>
    </row>
    <row r="42" spans="1:46" s="28" customFormat="1" ht="12" customHeight="1">
      <c r="A42" s="96">
        <v>36</v>
      </c>
      <c r="B42" s="105" t="s">
        <v>306</v>
      </c>
      <c r="C42" s="109">
        <v>5</v>
      </c>
      <c r="D42" s="104" t="s">
        <v>61</v>
      </c>
      <c r="E42" s="113">
        <v>0.19</v>
      </c>
      <c r="F42" s="97">
        <v>3280</v>
      </c>
      <c r="G42" s="111">
        <f t="shared" si="0"/>
        <v>3903</v>
      </c>
      <c r="H42" s="120">
        <f t="shared" si="10"/>
        <v>19515</v>
      </c>
      <c r="I42" s="97">
        <v>3750</v>
      </c>
      <c r="J42" s="97">
        <f t="shared" si="1"/>
        <v>4463</v>
      </c>
      <c r="K42" s="120">
        <f t="shared" si="11"/>
        <v>22315</v>
      </c>
      <c r="L42" s="97">
        <v>3150</v>
      </c>
      <c r="M42" s="97">
        <f t="shared" si="2"/>
        <v>3749</v>
      </c>
      <c r="N42" s="120">
        <f t="shared" si="12"/>
        <v>18745</v>
      </c>
      <c r="O42" s="97">
        <v>5000</v>
      </c>
      <c r="P42" s="111">
        <f t="shared" si="3"/>
        <v>5950</v>
      </c>
      <c r="Q42" s="120">
        <f t="shared" si="13"/>
        <v>29750</v>
      </c>
      <c r="R42" s="98"/>
      <c r="S42" s="116">
        <f t="shared" si="14"/>
        <v>3795</v>
      </c>
      <c r="T42" s="116">
        <f t="shared" si="15"/>
        <v>3515</v>
      </c>
      <c r="U42" s="116">
        <f t="shared" si="16"/>
        <v>3731</v>
      </c>
      <c r="V42" s="116">
        <f t="shared" si="17"/>
        <v>843.66264979947209</v>
      </c>
      <c r="W42" s="100">
        <f t="shared" si="18"/>
        <v>0.22230899862963691</v>
      </c>
      <c r="X42" s="100">
        <f t="shared" si="19"/>
        <v>4.1663572529084592</v>
      </c>
      <c r="Y42" s="100">
        <f t="shared" si="20"/>
        <v>4.4223837583503443</v>
      </c>
      <c r="Z42" s="76"/>
      <c r="AA42" s="119">
        <f t="shared" si="21"/>
        <v>3614.2</v>
      </c>
      <c r="AB42" s="119">
        <f t="shared" si="22"/>
        <v>4301</v>
      </c>
      <c r="AC42" s="119">
        <f t="shared" si="23"/>
        <v>21505</v>
      </c>
      <c r="AD42" s="76"/>
      <c r="AE42" s="76"/>
      <c r="AF42" s="99">
        <f t="shared" si="4"/>
        <v>4638.6626497994721</v>
      </c>
      <c r="AG42" s="99">
        <f t="shared" si="5"/>
        <v>2951.3373502005279</v>
      </c>
      <c r="AH42" s="97">
        <f t="shared" si="6"/>
        <v>3280</v>
      </c>
      <c r="AI42" s="97">
        <f t="shared" si="7"/>
        <v>3750</v>
      </c>
      <c r="AJ42" s="97">
        <f t="shared" si="24"/>
        <v>3749</v>
      </c>
      <c r="AK42" s="97" t="str">
        <f t="shared" si="8"/>
        <v/>
      </c>
      <c r="AL42" s="97">
        <f t="shared" si="25"/>
        <v>3593</v>
      </c>
      <c r="AM42" s="97">
        <f t="shared" si="26"/>
        <v>3749</v>
      </c>
      <c r="AN42" s="97">
        <f t="shared" si="27"/>
        <v>3586</v>
      </c>
      <c r="AO42" s="101">
        <f t="shared" si="9"/>
        <v>271.06641252652457</v>
      </c>
      <c r="AP42" s="102">
        <f t="shared" si="28"/>
        <v>7.5442920269002109E-2</v>
      </c>
      <c r="AQ42" s="102">
        <f t="shared" si="29"/>
        <v>7.2303657649112979E-2</v>
      </c>
      <c r="AR42" s="102">
        <f t="shared" si="30"/>
        <v>2.1038181893196351E-5</v>
      </c>
      <c r="AS42" s="77"/>
      <c r="AT42" s="390"/>
    </row>
    <row r="43" spans="1:46" s="28" customFormat="1" ht="12" customHeight="1">
      <c r="A43" s="96">
        <v>37</v>
      </c>
      <c r="B43" s="105" t="s">
        <v>307</v>
      </c>
      <c r="C43" s="109">
        <v>2</v>
      </c>
      <c r="D43" s="104" t="s">
        <v>308</v>
      </c>
      <c r="E43" s="113">
        <v>0.19</v>
      </c>
      <c r="F43" s="97">
        <v>465000</v>
      </c>
      <c r="G43" s="111">
        <f t="shared" si="0"/>
        <v>553350</v>
      </c>
      <c r="H43" s="120">
        <f t="shared" si="10"/>
        <v>1106700</v>
      </c>
      <c r="I43" s="97">
        <v>420000</v>
      </c>
      <c r="J43" s="97">
        <f t="shared" si="1"/>
        <v>499800</v>
      </c>
      <c r="K43" s="120">
        <f t="shared" si="11"/>
        <v>999600</v>
      </c>
      <c r="L43" s="97">
        <v>286000</v>
      </c>
      <c r="M43" s="97">
        <f t="shared" si="2"/>
        <v>340340</v>
      </c>
      <c r="N43" s="120">
        <f t="shared" si="12"/>
        <v>680680</v>
      </c>
      <c r="O43" s="97">
        <v>380000</v>
      </c>
      <c r="P43" s="111">
        <f t="shared" si="3"/>
        <v>452200</v>
      </c>
      <c r="Q43" s="120">
        <f t="shared" si="13"/>
        <v>904400</v>
      </c>
      <c r="R43" s="98"/>
      <c r="S43" s="116">
        <f t="shared" si="14"/>
        <v>387750</v>
      </c>
      <c r="T43" s="116">
        <f t="shared" si="15"/>
        <v>400000</v>
      </c>
      <c r="U43" s="116">
        <f t="shared" si="16"/>
        <v>381692</v>
      </c>
      <c r="V43" s="116">
        <f t="shared" si="17"/>
        <v>76203.127669844805</v>
      </c>
      <c r="W43" s="100">
        <f t="shared" si="18"/>
        <v>0.19652644144382928</v>
      </c>
      <c r="X43" s="100">
        <f t="shared" si="19"/>
        <v>5.2491283787330492</v>
      </c>
      <c r="Y43" s="100">
        <f t="shared" si="20"/>
        <v>5.0088757728384374</v>
      </c>
      <c r="Z43" s="76"/>
      <c r="AA43" s="119">
        <f t="shared" si="21"/>
        <v>386565.2</v>
      </c>
      <c r="AB43" s="119">
        <f t="shared" si="22"/>
        <v>460013</v>
      </c>
      <c r="AC43" s="119">
        <f t="shared" si="23"/>
        <v>920026</v>
      </c>
      <c r="AD43" s="76"/>
      <c r="AE43" s="76"/>
      <c r="AF43" s="99">
        <f t="shared" si="4"/>
        <v>463953.12766984478</v>
      </c>
      <c r="AG43" s="99">
        <f t="shared" si="5"/>
        <v>311546.87233015522</v>
      </c>
      <c r="AH43" s="97" t="str">
        <f t="shared" si="6"/>
        <v/>
      </c>
      <c r="AI43" s="97">
        <f t="shared" si="7"/>
        <v>420000</v>
      </c>
      <c r="AJ43" s="97">
        <f t="shared" si="24"/>
        <v>340340</v>
      </c>
      <c r="AK43" s="97">
        <f t="shared" si="8"/>
        <v>452200</v>
      </c>
      <c r="AL43" s="97">
        <f t="shared" si="25"/>
        <v>404180</v>
      </c>
      <c r="AM43" s="97">
        <f t="shared" si="26"/>
        <v>420000</v>
      </c>
      <c r="AN43" s="97">
        <f t="shared" si="27"/>
        <v>401326</v>
      </c>
      <c r="AO43" s="101">
        <f t="shared" si="9"/>
        <v>57583.58446640848</v>
      </c>
      <c r="AP43" s="102">
        <f t="shared" si="28"/>
        <v>0.14247014811818615</v>
      </c>
      <c r="AQ43" s="102">
        <f t="shared" si="29"/>
        <v>0.1371037725390678</v>
      </c>
      <c r="AR43" s="102">
        <f t="shared" si="30"/>
        <v>3.5499855010187765E-7</v>
      </c>
      <c r="AS43" s="77"/>
      <c r="AT43" s="390"/>
    </row>
    <row r="44" spans="1:46" s="28" customFormat="1" ht="12" customHeight="1">
      <c r="A44" s="96">
        <v>38</v>
      </c>
      <c r="B44" s="105" t="s">
        <v>309</v>
      </c>
      <c r="C44" s="109">
        <v>25</v>
      </c>
      <c r="D44" s="104" t="s">
        <v>61</v>
      </c>
      <c r="E44" s="113">
        <v>0.19</v>
      </c>
      <c r="F44" s="97">
        <v>25000</v>
      </c>
      <c r="G44" s="111">
        <f t="shared" si="0"/>
        <v>29750</v>
      </c>
      <c r="H44" s="120">
        <f t="shared" si="10"/>
        <v>743750</v>
      </c>
      <c r="I44" s="97">
        <v>28000</v>
      </c>
      <c r="J44" s="97">
        <f t="shared" si="1"/>
        <v>33320</v>
      </c>
      <c r="K44" s="120">
        <f t="shared" si="11"/>
        <v>833000</v>
      </c>
      <c r="L44" s="97">
        <v>27000</v>
      </c>
      <c r="M44" s="97">
        <f t="shared" si="2"/>
        <v>32130</v>
      </c>
      <c r="N44" s="120">
        <f t="shared" si="12"/>
        <v>803250</v>
      </c>
      <c r="O44" s="97">
        <v>19000</v>
      </c>
      <c r="P44" s="111">
        <f t="shared" si="3"/>
        <v>22610</v>
      </c>
      <c r="Q44" s="120">
        <f t="shared" si="13"/>
        <v>565250</v>
      </c>
      <c r="R44" s="98"/>
      <c r="S44" s="116">
        <f t="shared" si="14"/>
        <v>24750</v>
      </c>
      <c r="T44" s="116">
        <f t="shared" si="15"/>
        <v>26000</v>
      </c>
      <c r="U44" s="116">
        <f t="shared" si="16"/>
        <v>24480</v>
      </c>
      <c r="V44" s="116">
        <f t="shared" si="17"/>
        <v>4031.1288741492749</v>
      </c>
      <c r="W44" s="100">
        <f t="shared" si="18"/>
        <v>0.16287389390502122</v>
      </c>
      <c r="X44" s="100">
        <f t="shared" si="19"/>
        <v>6.4498061986388393</v>
      </c>
      <c r="Y44" s="100">
        <f t="shared" si="20"/>
        <v>6.0727406054876463</v>
      </c>
      <c r="Z44" s="76"/>
      <c r="AA44" s="119">
        <f t="shared" si="21"/>
        <v>24838</v>
      </c>
      <c r="AB44" s="119">
        <f t="shared" si="22"/>
        <v>29557</v>
      </c>
      <c r="AC44" s="119">
        <f t="shared" si="23"/>
        <v>738925</v>
      </c>
      <c r="AD44" s="76"/>
      <c r="AE44" s="76"/>
      <c r="AF44" s="99">
        <f t="shared" si="4"/>
        <v>28781.128874149275</v>
      </c>
      <c r="AG44" s="99">
        <f t="shared" si="5"/>
        <v>20718.871125850725</v>
      </c>
      <c r="AH44" s="97">
        <f t="shared" si="6"/>
        <v>25000</v>
      </c>
      <c r="AI44" s="97">
        <f t="shared" si="7"/>
        <v>28000</v>
      </c>
      <c r="AJ44" s="97" t="str">
        <f t="shared" si="24"/>
        <v/>
      </c>
      <c r="AK44" s="97">
        <f t="shared" si="8"/>
        <v>22610</v>
      </c>
      <c r="AL44" s="97">
        <f t="shared" si="25"/>
        <v>25203</v>
      </c>
      <c r="AM44" s="97">
        <f t="shared" si="26"/>
        <v>25000</v>
      </c>
      <c r="AN44" s="97">
        <f t="shared" si="27"/>
        <v>25107</v>
      </c>
      <c r="AO44" s="101">
        <f t="shared" si="9"/>
        <v>2700.7468102977246</v>
      </c>
      <c r="AP44" s="102">
        <f t="shared" si="28"/>
        <v>0.10715973536077945</v>
      </c>
      <c r="AQ44" s="102">
        <f t="shared" si="29"/>
        <v>0.10802987241190898</v>
      </c>
      <c r="AR44" s="102">
        <f t="shared" si="30"/>
        <v>4.2681218529007627E-6</v>
      </c>
      <c r="AS44" s="77"/>
      <c r="AT44" s="390"/>
    </row>
    <row r="45" spans="1:46" s="28" customFormat="1" ht="12" customHeight="1">
      <c r="A45" s="96">
        <v>39</v>
      </c>
      <c r="B45" s="105" t="s">
        <v>310</v>
      </c>
      <c r="C45" s="109">
        <v>200</v>
      </c>
      <c r="D45" s="104" t="s">
        <v>61</v>
      </c>
      <c r="E45" s="113">
        <v>0.19</v>
      </c>
      <c r="F45" s="97">
        <v>2100</v>
      </c>
      <c r="G45" s="111">
        <f t="shared" si="0"/>
        <v>2499</v>
      </c>
      <c r="H45" s="120">
        <f t="shared" si="10"/>
        <v>499800</v>
      </c>
      <c r="I45" s="97">
        <v>4500</v>
      </c>
      <c r="J45" s="97">
        <f t="shared" si="1"/>
        <v>5355</v>
      </c>
      <c r="K45" s="120">
        <f t="shared" si="11"/>
        <v>1071000</v>
      </c>
      <c r="L45" s="97">
        <v>1500</v>
      </c>
      <c r="M45" s="97">
        <f t="shared" si="2"/>
        <v>1785</v>
      </c>
      <c r="N45" s="120">
        <f t="shared" si="12"/>
        <v>357000</v>
      </c>
      <c r="O45" s="97">
        <v>29000</v>
      </c>
      <c r="P45" s="111">
        <f t="shared" si="3"/>
        <v>34510</v>
      </c>
      <c r="Q45" s="120">
        <f t="shared" si="13"/>
        <v>6902000</v>
      </c>
      <c r="R45" s="98"/>
      <c r="S45" s="116">
        <f t="shared" si="14"/>
        <v>9275</v>
      </c>
      <c r="T45" s="116">
        <f t="shared" si="15"/>
        <v>3300</v>
      </c>
      <c r="U45" s="116">
        <f t="shared" si="16"/>
        <v>4503</v>
      </c>
      <c r="V45" s="116">
        <f t="shared" si="17"/>
        <v>13213.723926282099</v>
      </c>
      <c r="W45" s="100">
        <f t="shared" si="18"/>
        <v>1.4246602615937574</v>
      </c>
      <c r="X45" s="100">
        <f t="shared" si="19"/>
        <v>0.24974034711261825</v>
      </c>
      <c r="Y45" s="100">
        <f t="shared" si="20"/>
        <v>0.34078205546912727</v>
      </c>
      <c r="Z45" s="76"/>
      <c r="AA45" s="119">
        <f t="shared" si="21"/>
        <v>4735.6000000000004</v>
      </c>
      <c r="AB45" s="119">
        <f t="shared" si="22"/>
        <v>5635</v>
      </c>
      <c r="AC45" s="119">
        <f t="shared" si="23"/>
        <v>1127000</v>
      </c>
      <c r="AD45" s="76"/>
      <c r="AE45" s="76"/>
      <c r="AF45" s="99">
        <f t="shared" si="4"/>
        <v>22488.723926282099</v>
      </c>
      <c r="AG45" s="99">
        <f t="shared" si="5"/>
        <v>-3938.7239262820985</v>
      </c>
      <c r="AH45" s="97">
        <f t="shared" si="6"/>
        <v>2100</v>
      </c>
      <c r="AI45" s="97">
        <f t="shared" si="7"/>
        <v>4500</v>
      </c>
      <c r="AJ45" s="97">
        <f t="shared" si="24"/>
        <v>1785</v>
      </c>
      <c r="AK45" s="97" t="str">
        <f t="shared" si="8"/>
        <v/>
      </c>
      <c r="AL45" s="97">
        <f t="shared" si="25"/>
        <v>2795</v>
      </c>
      <c r="AM45" s="97">
        <f t="shared" si="26"/>
        <v>2100</v>
      </c>
      <c r="AN45" s="97">
        <f t="shared" si="27"/>
        <v>2565</v>
      </c>
      <c r="AO45" s="101">
        <f t="shared" si="9"/>
        <v>1484.9494940906241</v>
      </c>
      <c r="AP45" s="102">
        <f t="shared" si="28"/>
        <v>0.53128783330612672</v>
      </c>
      <c r="AQ45" s="102">
        <f t="shared" si="29"/>
        <v>0.70711880670982097</v>
      </c>
      <c r="AR45" s="102">
        <f t="shared" si="30"/>
        <v>2.0712975957353868E-4</v>
      </c>
      <c r="AS45" s="77" t="e" cm="1">
        <f t="array" ref="AS45">media</f>
        <v>#NAME?</v>
      </c>
      <c r="AT45" s="390"/>
    </row>
    <row r="46" spans="1:46" s="28" customFormat="1" ht="12" customHeight="1">
      <c r="A46" s="96">
        <v>40</v>
      </c>
      <c r="B46" s="105" t="s">
        <v>311</v>
      </c>
      <c r="C46" s="109">
        <v>300</v>
      </c>
      <c r="D46" s="104" t="s">
        <v>312</v>
      </c>
      <c r="E46" s="113">
        <v>0.19</v>
      </c>
      <c r="F46" s="97">
        <v>1500</v>
      </c>
      <c r="G46" s="111">
        <f t="shared" si="0"/>
        <v>1785</v>
      </c>
      <c r="H46" s="120">
        <f t="shared" si="10"/>
        <v>535500</v>
      </c>
      <c r="I46" s="97">
        <v>6000</v>
      </c>
      <c r="J46" s="97">
        <f t="shared" si="1"/>
        <v>7140</v>
      </c>
      <c r="K46" s="120">
        <f t="shared" si="11"/>
        <v>2142000</v>
      </c>
      <c r="L46" s="97">
        <v>1900</v>
      </c>
      <c r="M46" s="97">
        <f t="shared" si="2"/>
        <v>2261</v>
      </c>
      <c r="N46" s="120">
        <f t="shared" si="12"/>
        <v>678300</v>
      </c>
      <c r="O46" s="97">
        <v>180000</v>
      </c>
      <c r="P46" s="111">
        <f t="shared" si="3"/>
        <v>214200</v>
      </c>
      <c r="Q46" s="120">
        <f t="shared" si="13"/>
        <v>64260000</v>
      </c>
      <c r="R46" s="98"/>
      <c r="S46" s="116">
        <f t="shared" si="14"/>
        <v>47350</v>
      </c>
      <c r="T46" s="116">
        <f t="shared" si="15"/>
        <v>3950</v>
      </c>
      <c r="U46" s="116">
        <f t="shared" si="16"/>
        <v>7448</v>
      </c>
      <c r="V46" s="116">
        <f t="shared" si="17"/>
        <v>88456.712577395723</v>
      </c>
      <c r="W46" s="100">
        <f t="shared" si="18"/>
        <v>1.8681459889629508</v>
      </c>
      <c r="X46" s="100">
        <f t="shared" si="19"/>
        <v>4.4654609977099524E-2</v>
      </c>
      <c r="Y46" s="100">
        <f t="shared" si="20"/>
        <v>8.4199375977072721E-2</v>
      </c>
      <c r="Z46" s="76"/>
      <c r="AA46" s="119">
        <f t="shared" si="21"/>
        <v>13329.6</v>
      </c>
      <c r="AB46" s="119">
        <f t="shared" si="22"/>
        <v>15862</v>
      </c>
      <c r="AC46" s="119">
        <f t="shared" si="23"/>
        <v>4758600</v>
      </c>
      <c r="AD46" s="76"/>
      <c r="AE46" s="76"/>
      <c r="AF46" s="99">
        <f t="shared" si="4"/>
        <v>135806.71257739572</v>
      </c>
      <c r="AG46" s="99">
        <f t="shared" si="5"/>
        <v>-41106.712577395723</v>
      </c>
      <c r="AH46" s="97">
        <f t="shared" si="6"/>
        <v>1500</v>
      </c>
      <c r="AI46" s="97">
        <f t="shared" si="7"/>
        <v>6000</v>
      </c>
      <c r="AJ46" s="97">
        <f t="shared" si="24"/>
        <v>2261</v>
      </c>
      <c r="AK46" s="97" t="str">
        <f t="shared" si="8"/>
        <v/>
      </c>
      <c r="AL46" s="97">
        <f t="shared" si="25"/>
        <v>3254</v>
      </c>
      <c r="AM46" s="97">
        <f t="shared" si="26"/>
        <v>2261</v>
      </c>
      <c r="AN46" s="97">
        <f t="shared" si="27"/>
        <v>2730</v>
      </c>
      <c r="AO46" s="101">
        <f t="shared" si="9"/>
        <v>2408.6386888309617</v>
      </c>
      <c r="AP46" s="102">
        <f t="shared" si="28"/>
        <v>0.74020857063028933</v>
      </c>
      <c r="AQ46" s="102">
        <f t="shared" si="29"/>
        <v>1.0652979605621238</v>
      </c>
      <c r="AR46" s="102">
        <f t="shared" si="30"/>
        <v>2.7113867056054554E-4</v>
      </c>
      <c r="AS46" s="77"/>
      <c r="AT46" s="390"/>
    </row>
    <row r="47" spans="1:46" s="28" customFormat="1" ht="12" customHeight="1" thickBot="1">
      <c r="A47" s="96">
        <v>41</v>
      </c>
      <c r="B47" s="105" t="s">
        <v>313</v>
      </c>
      <c r="C47" s="109">
        <v>50</v>
      </c>
      <c r="D47" s="104" t="s">
        <v>268</v>
      </c>
      <c r="E47" s="113">
        <v>0.19</v>
      </c>
      <c r="F47" s="97">
        <v>8200</v>
      </c>
      <c r="G47" s="111">
        <f t="shared" si="0"/>
        <v>9758</v>
      </c>
      <c r="H47" s="120">
        <f t="shared" si="10"/>
        <v>487900</v>
      </c>
      <c r="I47" s="97">
        <v>4500</v>
      </c>
      <c r="J47" s="97">
        <f t="shared" si="1"/>
        <v>5355</v>
      </c>
      <c r="K47" s="120">
        <f>ROUND(J47*$C47,0)</f>
        <v>267750</v>
      </c>
      <c r="L47" s="97">
        <v>9500</v>
      </c>
      <c r="M47" s="97">
        <f t="shared" si="2"/>
        <v>11305</v>
      </c>
      <c r="N47" s="120">
        <f t="shared" si="12"/>
        <v>565250</v>
      </c>
      <c r="O47" s="97">
        <v>10000</v>
      </c>
      <c r="P47" s="111">
        <f t="shared" si="3"/>
        <v>11900</v>
      </c>
      <c r="Q47" s="120">
        <f t="shared" si="13"/>
        <v>595000</v>
      </c>
      <c r="R47" s="98"/>
      <c r="S47" s="116">
        <f t="shared" si="14"/>
        <v>8050</v>
      </c>
      <c r="T47" s="116">
        <f t="shared" si="15"/>
        <v>8850</v>
      </c>
      <c r="U47" s="116">
        <f t="shared" si="16"/>
        <v>7695</v>
      </c>
      <c r="V47" s="116">
        <f t="shared" si="17"/>
        <v>2485.2900568478253</v>
      </c>
      <c r="W47" s="100">
        <f t="shared" si="18"/>
        <v>0.30873168408047519</v>
      </c>
      <c r="X47" s="100">
        <f t="shared" si="19"/>
        <v>3.560952563913101</v>
      </c>
      <c r="Y47" s="100">
        <f t="shared" si="20"/>
        <v>3.0962180767583405</v>
      </c>
      <c r="Z47" s="76"/>
      <c r="AA47" s="119">
        <f t="shared" si="21"/>
        <v>7997</v>
      </c>
      <c r="AB47" s="119">
        <f t="shared" si="22"/>
        <v>9516</v>
      </c>
      <c r="AC47" s="119">
        <f t="shared" si="23"/>
        <v>475800</v>
      </c>
      <c r="AD47" s="76"/>
      <c r="AE47" s="76"/>
      <c r="AF47" s="99">
        <f t="shared" si="4"/>
        <v>10535.290056847825</v>
      </c>
      <c r="AG47" s="99">
        <f t="shared" si="5"/>
        <v>5564.7099431521747</v>
      </c>
      <c r="AH47" s="97">
        <f t="shared" si="6"/>
        <v>8200</v>
      </c>
      <c r="AI47" s="97" t="str">
        <f t="shared" si="7"/>
        <v/>
      </c>
      <c r="AJ47" s="97" t="str">
        <f t="shared" si="24"/>
        <v/>
      </c>
      <c r="AK47" s="97" t="str">
        <f t="shared" si="8"/>
        <v/>
      </c>
      <c r="AL47" s="97">
        <f t="shared" si="25"/>
        <v>8200</v>
      </c>
      <c r="AM47" s="97">
        <f t="shared" si="26"/>
        <v>8200</v>
      </c>
      <c r="AN47" s="97">
        <f t="shared" si="27"/>
        <v>8200</v>
      </c>
      <c r="AO47" s="101" t="e">
        <f t="shared" si="9"/>
        <v>#DIV/0!</v>
      </c>
      <c r="AP47" s="102" t="e">
        <f t="shared" si="28"/>
        <v>#DIV/0!</v>
      </c>
      <c r="AQ47" s="102" t="e">
        <f t="shared" si="29"/>
        <v>#DIV/0!</v>
      </c>
      <c r="AR47" s="102" t="e">
        <f t="shared" si="30"/>
        <v>#DIV/0!</v>
      </c>
      <c r="AS47" s="77"/>
      <c r="AT47" s="390"/>
    </row>
    <row r="48" spans="1:46" s="28" customFormat="1" ht="13.5" thickBot="1">
      <c r="A48" s="391" t="s">
        <v>53</v>
      </c>
      <c r="B48" s="392"/>
      <c r="C48" s="108">
        <f>SUM(C7:C47)</f>
        <v>10524</v>
      </c>
      <c r="D48" s="34"/>
      <c r="E48" s="34"/>
      <c r="F48" s="90">
        <f t="shared" ref="F48:V48" si="31">SUM(F7:F47)</f>
        <v>1078935</v>
      </c>
      <c r="G48" s="90">
        <f>SUM(G7:G47)</f>
        <v>1283933</v>
      </c>
      <c r="H48" s="121">
        <f>SUM(H7:H47)</f>
        <v>156077215</v>
      </c>
      <c r="I48" s="90">
        <f t="shared" si="31"/>
        <v>1285590</v>
      </c>
      <c r="J48" s="90">
        <f>SUM(J7:J47)</f>
        <v>1529857</v>
      </c>
      <c r="K48" s="121">
        <f>SUM(K7:K47)</f>
        <v>124773151</v>
      </c>
      <c r="L48" s="90">
        <f t="shared" si="31"/>
        <v>775990</v>
      </c>
      <c r="M48" s="90">
        <f>SUM(M7:M47)</f>
        <v>923431</v>
      </c>
      <c r="N48" s="121">
        <f>SUM(N7:N47)</f>
        <v>87726775</v>
      </c>
      <c r="O48" s="90">
        <f t="shared" si="31"/>
        <v>1683500</v>
      </c>
      <c r="P48" s="90">
        <f>SUM(P7:P47)</f>
        <v>2003365</v>
      </c>
      <c r="Q48" s="121">
        <f>SUM(Q7:Q47)</f>
        <v>235172560</v>
      </c>
      <c r="R48" s="90">
        <f t="shared" si="31"/>
        <v>0</v>
      </c>
      <c r="S48" s="90">
        <f t="shared" si="31"/>
        <v>1206012</v>
      </c>
      <c r="T48" s="90">
        <f t="shared" si="31"/>
        <v>1077425</v>
      </c>
      <c r="U48" s="90">
        <f t="shared" si="31"/>
        <v>1031275</v>
      </c>
      <c r="V48" s="90">
        <f t="shared" si="31"/>
        <v>651010.40939227375</v>
      </c>
      <c r="W48" s="82"/>
      <c r="X48" s="82"/>
      <c r="Y48" s="82"/>
      <c r="Z48" s="76"/>
      <c r="AA48" s="351" t="s">
        <v>49</v>
      </c>
      <c r="AB48" s="351"/>
      <c r="AC48" s="118">
        <f>SUM(AC7:AC47)</f>
        <v>115217490</v>
      </c>
      <c r="AD48" s="76"/>
      <c r="AE48" s="76"/>
      <c r="AF48" s="81"/>
      <c r="AG48" s="81"/>
      <c r="AH48" s="83"/>
      <c r="AI48" s="83"/>
      <c r="AJ48" s="83"/>
      <c r="AK48" s="83"/>
      <c r="AL48" s="84">
        <f>ROUND(SUM(AL7:AL47),0)</f>
        <v>1059304</v>
      </c>
      <c r="AM48" s="84">
        <f t="shared" ref="AM48:AN48" si="32">ROUND(SUM(AM7:AM47),0)</f>
        <v>983264</v>
      </c>
      <c r="AN48" s="84">
        <f t="shared" si="32"/>
        <v>1010910</v>
      </c>
      <c r="AO48" s="85"/>
      <c r="AP48" s="85"/>
      <c r="AQ48" s="85"/>
      <c r="AR48" s="85"/>
      <c r="AS48" s="77"/>
      <c r="AT48" s="95" t="e">
        <f>+#REF!/1423500</f>
        <v>#REF!</v>
      </c>
    </row>
    <row r="60" spans="3:6">
      <c r="C60" s="352"/>
      <c r="D60" s="352"/>
      <c r="E60" s="352"/>
      <c r="F60" s="352"/>
    </row>
    <row r="61" spans="3:6">
      <c r="C61" s="72"/>
      <c r="D61" s="72"/>
      <c r="E61" s="72"/>
      <c r="F61" s="77"/>
    </row>
    <row r="62" spans="3:6">
      <c r="C62" s="73"/>
      <c r="D62" s="352"/>
      <c r="E62" s="352"/>
      <c r="F62" s="352"/>
    </row>
  </sheetData>
  <autoFilter ref="A6:AS6" xr:uid="{00000000-0001-0000-0000-000000000000}"/>
  <mergeCells count="19">
    <mergeCell ref="D62:F62"/>
    <mergeCell ref="A3:D3"/>
    <mergeCell ref="A48:B48"/>
    <mergeCell ref="AH5:AK5"/>
    <mergeCell ref="A5:D5"/>
    <mergeCell ref="F5:H5"/>
    <mergeCell ref="I5:K5"/>
    <mergeCell ref="L5:N5"/>
    <mergeCell ref="O5:Q5"/>
    <mergeCell ref="S5:V5"/>
    <mergeCell ref="AF5:AG5"/>
    <mergeCell ref="C60:F60"/>
    <mergeCell ref="AP5:AR5"/>
    <mergeCell ref="W5:Y5"/>
    <mergeCell ref="AT4:AT47"/>
    <mergeCell ref="AF3:AR3"/>
    <mergeCell ref="AA48:AB48"/>
    <mergeCell ref="AA5:AC5"/>
    <mergeCell ref="AL5:AO5"/>
  </mergeCells>
  <phoneticPr fontId="13" type="noConversion"/>
  <printOptions horizontalCentered="1" verticalCentered="1"/>
  <pageMargins left="0" right="0" top="0.59055118110236227" bottom="0.59055118110236227" header="0" footer="0"/>
  <pageSetup scale="24"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58E71-24B7-814A-A1D4-FCCB64E25A5F}">
  <sheetPr>
    <pageSetUpPr fitToPage="1"/>
  </sheetPr>
  <dimension ref="A3:Y45"/>
  <sheetViews>
    <sheetView showGridLines="0" zoomScaleNormal="100" zoomScaleSheetLayoutView="100" workbookViewId="0">
      <selection activeCell="B12" sqref="B12"/>
    </sheetView>
  </sheetViews>
  <sheetFormatPr baseColWidth="10" defaultColWidth="7.42578125" defaultRowHeight="12.75"/>
  <cols>
    <col min="1" max="1" width="11.42578125" style="33" customWidth="1"/>
    <col min="2" max="2" width="44.140625" style="4" customWidth="1"/>
    <col min="3" max="3" width="10.85546875" style="4" bestFit="1" customWidth="1"/>
    <col min="4" max="4" width="14.5703125" style="4" customWidth="1"/>
    <col min="5" max="10" width="17" style="2" customWidth="1"/>
    <col min="11" max="11" width="4.140625" style="3" customWidth="1"/>
    <col min="12" max="12" width="11.42578125" style="38" customWidth="1"/>
    <col min="13" max="13" width="3" style="38" customWidth="1"/>
    <col min="14" max="14" width="11.42578125" style="38" customWidth="1"/>
    <col min="15" max="15" width="3.42578125" style="38" customWidth="1"/>
    <col min="16" max="16" width="13" style="38" customWidth="1"/>
    <col min="17" max="17" width="3.42578125" style="38" customWidth="1"/>
    <col min="18" max="18" width="11.42578125" style="38" customWidth="1"/>
    <col min="19" max="19" width="4.42578125" style="3" customWidth="1"/>
    <col min="20" max="20" width="15.42578125" style="3" customWidth="1"/>
    <col min="21" max="21" width="4" style="3" customWidth="1"/>
    <col min="22" max="22" width="11.42578125" style="3" customWidth="1"/>
    <col min="23" max="23" width="7.140625" style="3" customWidth="1"/>
    <col min="24" max="24" width="179" style="3" customWidth="1"/>
    <col min="25" max="215" width="11.42578125" style="3" customWidth="1"/>
    <col min="216" max="16384" width="7.42578125" style="3"/>
  </cols>
  <sheetData>
    <row r="3" spans="1:25" ht="32.25" customHeight="1" thickBot="1">
      <c r="A3" s="405" t="s">
        <v>73</v>
      </c>
      <c r="B3" s="406"/>
      <c r="C3" s="406"/>
      <c r="D3" s="407"/>
      <c r="E3" s="19"/>
      <c r="F3" s="19"/>
      <c r="G3" s="19"/>
      <c r="H3" s="19"/>
      <c r="I3" s="19"/>
      <c r="J3" s="19"/>
      <c r="P3" s="50"/>
      <c r="R3" s="50"/>
      <c r="T3" s="51"/>
      <c r="V3" s="51"/>
    </row>
    <row r="4" spans="1:25" ht="14.1" customHeight="1" thickBot="1">
      <c r="A4" s="8"/>
      <c r="B4" s="1"/>
      <c r="C4" s="20"/>
      <c r="D4" s="20"/>
      <c r="E4" s="20"/>
      <c r="F4" s="21"/>
      <c r="G4" s="21"/>
      <c r="H4" s="21"/>
      <c r="I4" s="21"/>
      <c r="J4" s="21"/>
      <c r="X4" s="408" t="s">
        <v>314</v>
      </c>
    </row>
    <row r="5" spans="1:25" s="5" customFormat="1" ht="26.25" customHeight="1" thickBot="1">
      <c r="A5" s="409" t="s">
        <v>5</v>
      </c>
      <c r="B5" s="410"/>
      <c r="C5" s="410"/>
      <c r="D5" s="410"/>
      <c r="E5" s="411" t="s">
        <v>315</v>
      </c>
      <c r="F5" s="411"/>
      <c r="G5" s="412" t="s">
        <v>316</v>
      </c>
      <c r="H5" s="412"/>
      <c r="I5" s="413" t="s">
        <v>317</v>
      </c>
      <c r="J5" s="414"/>
      <c r="L5" s="402" t="s">
        <v>318</v>
      </c>
      <c r="M5" s="403"/>
      <c r="N5" s="403"/>
      <c r="O5" s="403"/>
      <c r="P5" s="403"/>
      <c r="Q5" s="403"/>
      <c r="R5" s="403"/>
      <c r="S5" s="403"/>
      <c r="T5" s="403"/>
      <c r="U5" s="403"/>
      <c r="V5" s="404"/>
      <c r="X5" s="408"/>
    </row>
    <row r="6" spans="1:25" s="22" customFormat="1" ht="55.5" customHeight="1" thickBot="1">
      <c r="A6" s="9" t="s">
        <v>22</v>
      </c>
      <c r="B6" s="6" t="s">
        <v>23</v>
      </c>
      <c r="C6" s="6" t="s">
        <v>82</v>
      </c>
      <c r="D6" s="6" t="s">
        <v>56</v>
      </c>
      <c r="E6" s="10" t="s">
        <v>255</v>
      </c>
      <c r="F6" s="10" t="s">
        <v>256</v>
      </c>
      <c r="G6" s="13" t="s">
        <v>255</v>
      </c>
      <c r="H6" s="13" t="s">
        <v>256</v>
      </c>
      <c r="I6" s="10" t="s">
        <v>255</v>
      </c>
      <c r="J6" s="10" t="s">
        <v>256</v>
      </c>
      <c r="L6" s="43" t="s">
        <v>32</v>
      </c>
      <c r="M6" s="39"/>
      <c r="N6" s="43" t="s">
        <v>31</v>
      </c>
      <c r="O6" s="39"/>
      <c r="P6" s="43" t="s">
        <v>319</v>
      </c>
      <c r="Q6" s="39"/>
      <c r="R6" s="44" t="s">
        <v>320</v>
      </c>
      <c r="T6" s="44" t="s">
        <v>321</v>
      </c>
      <c r="V6" s="45" t="s">
        <v>49</v>
      </c>
      <c r="X6" s="408"/>
    </row>
    <row r="7" spans="1:25" s="27" customFormat="1" ht="24" customHeight="1" thickTop="1" thickBot="1">
      <c r="A7" s="23">
        <v>1</v>
      </c>
      <c r="B7" s="24"/>
      <c r="C7" s="25"/>
      <c r="D7" s="26"/>
      <c r="E7" s="11"/>
      <c r="F7" s="11"/>
      <c r="G7" s="14"/>
      <c r="H7" s="14"/>
      <c r="I7" s="11"/>
      <c r="J7" s="11"/>
      <c r="L7" s="42" t="e">
        <f>+AVERAGE(F7,H7,J7)</f>
        <v>#DIV/0!</v>
      </c>
      <c r="M7" s="40"/>
      <c r="N7" s="42" t="e">
        <f>MEDIAN(F7,H7,J7)</f>
        <v>#NUM!</v>
      </c>
      <c r="O7" s="40"/>
      <c r="P7" s="42" t="e">
        <f>GEOMEAN(F7,H7,J7)</f>
        <v>#NUM!</v>
      </c>
      <c r="Q7" s="40"/>
      <c r="R7" s="40" t="e">
        <f>MIN(L7:P7)</f>
        <v>#DIV/0!</v>
      </c>
      <c r="T7" s="40" t="e">
        <f>+((MIN(L7,N7,P7)*3)+SMALL(L7:P7,2)+SMALL(L7:P7,3))/5</f>
        <v>#DIV/0!</v>
      </c>
      <c r="U7" s="40"/>
      <c r="V7" s="46" t="e">
        <f t="shared" ref="V7:V30" si="0">T7*C7</f>
        <v>#DIV/0!</v>
      </c>
      <c r="X7" s="408"/>
      <c r="Y7" s="49"/>
    </row>
    <row r="8" spans="1:25" s="28" customFormat="1" ht="20.100000000000001" customHeight="1" thickTop="1" thickBot="1">
      <c r="A8" s="23">
        <v>2</v>
      </c>
      <c r="B8" s="24"/>
      <c r="C8" s="25"/>
      <c r="D8" s="26"/>
      <c r="E8" s="11"/>
      <c r="F8" s="11"/>
      <c r="G8" s="14"/>
      <c r="H8" s="14"/>
      <c r="I8" s="11"/>
      <c r="J8" s="11"/>
      <c r="L8" s="42" t="e">
        <f>+AVERAGE(F8,H8,J8)</f>
        <v>#DIV/0!</v>
      </c>
      <c r="M8" s="40"/>
      <c r="N8" s="42" t="e">
        <f t="shared" ref="N8:N30" si="1">MEDIAN(F8,H8,J8)</f>
        <v>#NUM!</v>
      </c>
      <c r="O8" s="40"/>
      <c r="P8" s="42" t="e">
        <f t="shared" ref="P8:P30" si="2">GEOMEAN(F8,H8,J8)</f>
        <v>#NUM!</v>
      </c>
      <c r="Q8" s="40"/>
      <c r="R8" s="40" t="e">
        <f t="shared" ref="R8:R30" si="3">MIN(L8:P8)</f>
        <v>#DIV/0!</v>
      </c>
      <c r="S8" s="27"/>
      <c r="T8" s="40" t="e">
        <f t="shared" ref="T8:T30" si="4">+((MIN(L8,N8,P8)*3)+SMALL(L8:P8,2)+SMALL(L8:P8,3))/5</f>
        <v>#DIV/0!</v>
      </c>
      <c r="U8" s="40"/>
      <c r="V8" s="52" t="e">
        <f t="shared" si="0"/>
        <v>#DIV/0!</v>
      </c>
      <c r="X8" s="408"/>
    </row>
    <row r="9" spans="1:25" s="28" customFormat="1" ht="20.100000000000001" customHeight="1" thickTop="1" thickBot="1">
      <c r="A9" s="23">
        <v>3</v>
      </c>
      <c r="B9" s="24"/>
      <c r="C9" s="25"/>
      <c r="D9" s="26"/>
      <c r="E9" s="11"/>
      <c r="F9" s="11"/>
      <c r="G9" s="14"/>
      <c r="H9" s="14"/>
      <c r="I9" s="11"/>
      <c r="J9" s="11"/>
      <c r="L9" s="42" t="e">
        <f t="shared" ref="L9:L30" si="5">+AVERAGE(F9,H9,J9)</f>
        <v>#DIV/0!</v>
      </c>
      <c r="M9" s="40"/>
      <c r="N9" s="42" t="e">
        <f t="shared" si="1"/>
        <v>#NUM!</v>
      </c>
      <c r="O9" s="40"/>
      <c r="P9" s="42" t="e">
        <f t="shared" si="2"/>
        <v>#NUM!</v>
      </c>
      <c r="Q9" s="40"/>
      <c r="R9" s="40" t="e">
        <f t="shared" si="3"/>
        <v>#DIV/0!</v>
      </c>
      <c r="S9" s="27"/>
      <c r="T9" s="40" t="e">
        <f t="shared" si="4"/>
        <v>#DIV/0!</v>
      </c>
      <c r="U9" s="40"/>
      <c r="V9" s="47" t="e">
        <f t="shared" si="0"/>
        <v>#DIV/0!</v>
      </c>
      <c r="X9" s="408"/>
    </row>
    <row r="10" spans="1:25" s="28" customFormat="1" ht="20.100000000000001" customHeight="1" thickTop="1" thickBot="1">
      <c r="A10" s="23">
        <v>4</v>
      </c>
      <c r="B10" s="24"/>
      <c r="C10" s="25"/>
      <c r="D10" s="26"/>
      <c r="E10" s="11"/>
      <c r="F10" s="11"/>
      <c r="G10" s="14"/>
      <c r="H10" s="14"/>
      <c r="I10" s="11"/>
      <c r="J10" s="11"/>
      <c r="L10" s="42" t="e">
        <f t="shared" si="5"/>
        <v>#DIV/0!</v>
      </c>
      <c r="M10" s="40"/>
      <c r="N10" s="42" t="e">
        <f t="shared" si="1"/>
        <v>#NUM!</v>
      </c>
      <c r="O10" s="40"/>
      <c r="P10" s="42" t="e">
        <f t="shared" si="2"/>
        <v>#NUM!</v>
      </c>
      <c r="Q10" s="40"/>
      <c r="R10" s="40" t="e">
        <f t="shared" si="3"/>
        <v>#DIV/0!</v>
      </c>
      <c r="S10" s="27"/>
      <c r="T10" s="40" t="e">
        <f t="shared" si="4"/>
        <v>#DIV/0!</v>
      </c>
      <c r="U10" s="40"/>
      <c r="V10" s="47" t="e">
        <f t="shared" si="0"/>
        <v>#DIV/0!</v>
      </c>
      <c r="X10" s="408"/>
    </row>
    <row r="11" spans="1:25" s="28" customFormat="1" ht="20.100000000000001" customHeight="1" thickTop="1" thickBot="1">
      <c r="A11" s="23">
        <v>5</v>
      </c>
      <c r="B11" s="24"/>
      <c r="C11" s="25"/>
      <c r="D11" s="26"/>
      <c r="E11" s="11"/>
      <c r="F11" s="11"/>
      <c r="G11" s="14"/>
      <c r="H11" s="14"/>
      <c r="I11" s="11"/>
      <c r="J11" s="11"/>
      <c r="L11" s="42" t="e">
        <f t="shared" si="5"/>
        <v>#DIV/0!</v>
      </c>
      <c r="M11" s="40"/>
      <c r="N11" s="42" t="e">
        <f t="shared" si="1"/>
        <v>#NUM!</v>
      </c>
      <c r="O11" s="40"/>
      <c r="P11" s="42" t="e">
        <f t="shared" si="2"/>
        <v>#NUM!</v>
      </c>
      <c r="Q11" s="40"/>
      <c r="R11" s="40" t="e">
        <f t="shared" si="3"/>
        <v>#DIV/0!</v>
      </c>
      <c r="S11" s="27"/>
      <c r="T11" s="40" t="e">
        <f t="shared" si="4"/>
        <v>#DIV/0!</v>
      </c>
      <c r="U11" s="40"/>
      <c r="V11" s="47" t="e">
        <f t="shared" si="0"/>
        <v>#DIV/0!</v>
      </c>
      <c r="X11" s="408"/>
    </row>
    <row r="12" spans="1:25" s="28" customFormat="1" ht="20.100000000000001" customHeight="1" thickTop="1" thickBot="1">
      <c r="A12" s="23">
        <v>6</v>
      </c>
      <c r="B12" s="24"/>
      <c r="C12" s="25"/>
      <c r="D12" s="26"/>
      <c r="E12" s="11"/>
      <c r="F12" s="11"/>
      <c r="G12" s="14"/>
      <c r="H12" s="14"/>
      <c r="I12" s="11"/>
      <c r="J12" s="11"/>
      <c r="L12" s="42" t="e">
        <f t="shared" si="5"/>
        <v>#DIV/0!</v>
      </c>
      <c r="M12" s="40"/>
      <c r="N12" s="42" t="e">
        <f t="shared" si="1"/>
        <v>#NUM!</v>
      </c>
      <c r="O12" s="40"/>
      <c r="P12" s="42" t="e">
        <f t="shared" si="2"/>
        <v>#NUM!</v>
      </c>
      <c r="Q12" s="40"/>
      <c r="R12" s="40" t="e">
        <f t="shared" si="3"/>
        <v>#DIV/0!</v>
      </c>
      <c r="S12" s="27"/>
      <c r="T12" s="40" t="e">
        <f t="shared" si="4"/>
        <v>#DIV/0!</v>
      </c>
      <c r="U12" s="40"/>
      <c r="V12" s="47" t="e">
        <f t="shared" si="0"/>
        <v>#DIV/0!</v>
      </c>
      <c r="X12" s="408"/>
    </row>
    <row r="13" spans="1:25" s="28" customFormat="1" ht="20.100000000000001" customHeight="1" thickTop="1" thickBot="1">
      <c r="A13" s="23">
        <v>7</v>
      </c>
      <c r="B13" s="24"/>
      <c r="C13" s="25"/>
      <c r="D13" s="26"/>
      <c r="E13" s="11"/>
      <c r="F13" s="11"/>
      <c r="G13" s="14"/>
      <c r="H13" s="14"/>
      <c r="I13" s="11"/>
      <c r="J13" s="11"/>
      <c r="L13" s="42" t="e">
        <f t="shared" si="5"/>
        <v>#DIV/0!</v>
      </c>
      <c r="M13" s="40"/>
      <c r="N13" s="42" t="e">
        <f t="shared" si="1"/>
        <v>#NUM!</v>
      </c>
      <c r="O13" s="40"/>
      <c r="P13" s="42" t="e">
        <f t="shared" si="2"/>
        <v>#NUM!</v>
      </c>
      <c r="Q13" s="40"/>
      <c r="R13" s="40" t="e">
        <f t="shared" si="3"/>
        <v>#DIV/0!</v>
      </c>
      <c r="S13" s="27"/>
      <c r="T13" s="40" t="e">
        <f t="shared" si="4"/>
        <v>#DIV/0!</v>
      </c>
      <c r="U13" s="40"/>
      <c r="V13" s="47" t="e">
        <f t="shared" si="0"/>
        <v>#DIV/0!</v>
      </c>
      <c r="X13" s="408"/>
    </row>
    <row r="14" spans="1:25" s="28" customFormat="1" ht="14.25" thickTop="1" thickBot="1">
      <c r="A14" s="23">
        <v>8</v>
      </c>
      <c r="B14" s="24"/>
      <c r="C14" s="25"/>
      <c r="D14" s="26"/>
      <c r="E14" s="11"/>
      <c r="F14" s="11"/>
      <c r="G14" s="14"/>
      <c r="H14" s="14"/>
      <c r="I14" s="11"/>
      <c r="J14" s="11"/>
      <c r="L14" s="42" t="e">
        <f t="shared" si="5"/>
        <v>#DIV/0!</v>
      </c>
      <c r="M14" s="40"/>
      <c r="N14" s="42" t="e">
        <f t="shared" si="1"/>
        <v>#NUM!</v>
      </c>
      <c r="O14" s="40"/>
      <c r="P14" s="42" t="e">
        <f t="shared" si="2"/>
        <v>#NUM!</v>
      </c>
      <c r="Q14" s="40"/>
      <c r="R14" s="40" t="e">
        <f t="shared" si="3"/>
        <v>#DIV/0!</v>
      </c>
      <c r="S14" s="27"/>
      <c r="T14" s="40" t="e">
        <f t="shared" si="4"/>
        <v>#DIV/0!</v>
      </c>
      <c r="U14" s="40"/>
      <c r="V14" s="47" t="e">
        <f t="shared" si="0"/>
        <v>#DIV/0!</v>
      </c>
      <c r="X14" s="408"/>
    </row>
    <row r="15" spans="1:25" s="28" customFormat="1" ht="14.25" thickTop="1" thickBot="1">
      <c r="A15" s="23">
        <v>9</v>
      </c>
      <c r="B15" s="24"/>
      <c r="C15" s="25"/>
      <c r="D15" s="26"/>
      <c r="E15" s="11"/>
      <c r="F15" s="11"/>
      <c r="G15" s="14"/>
      <c r="H15" s="14"/>
      <c r="I15" s="11"/>
      <c r="J15" s="11"/>
      <c r="L15" s="42" t="e">
        <f t="shared" si="5"/>
        <v>#DIV/0!</v>
      </c>
      <c r="M15" s="40"/>
      <c r="N15" s="42" t="e">
        <f t="shared" si="1"/>
        <v>#NUM!</v>
      </c>
      <c r="O15" s="40"/>
      <c r="P15" s="42" t="e">
        <f t="shared" si="2"/>
        <v>#NUM!</v>
      </c>
      <c r="Q15" s="40"/>
      <c r="R15" s="40" t="e">
        <f t="shared" si="3"/>
        <v>#DIV/0!</v>
      </c>
      <c r="S15" s="27"/>
      <c r="T15" s="40" t="e">
        <f t="shared" si="4"/>
        <v>#DIV/0!</v>
      </c>
      <c r="U15" s="40"/>
      <c r="V15" s="47" t="e">
        <f t="shared" si="0"/>
        <v>#DIV/0!</v>
      </c>
      <c r="X15" s="408"/>
    </row>
    <row r="16" spans="1:25" s="28" customFormat="1" ht="14.25" thickTop="1" thickBot="1">
      <c r="A16" s="23">
        <v>10</v>
      </c>
      <c r="B16" s="24"/>
      <c r="C16" s="25"/>
      <c r="D16" s="26"/>
      <c r="E16" s="11"/>
      <c r="F16" s="11"/>
      <c r="G16" s="14"/>
      <c r="H16" s="14"/>
      <c r="I16" s="11"/>
      <c r="J16" s="11"/>
      <c r="L16" s="42" t="e">
        <f t="shared" si="5"/>
        <v>#DIV/0!</v>
      </c>
      <c r="M16" s="40"/>
      <c r="N16" s="42" t="e">
        <f t="shared" si="1"/>
        <v>#NUM!</v>
      </c>
      <c r="O16" s="40"/>
      <c r="P16" s="42" t="e">
        <f t="shared" si="2"/>
        <v>#NUM!</v>
      </c>
      <c r="Q16" s="40"/>
      <c r="R16" s="40" t="e">
        <f t="shared" si="3"/>
        <v>#DIV/0!</v>
      </c>
      <c r="S16" s="27"/>
      <c r="T16" s="40" t="e">
        <f t="shared" si="4"/>
        <v>#DIV/0!</v>
      </c>
      <c r="U16" s="40"/>
      <c r="V16" s="47" t="e">
        <f t="shared" si="0"/>
        <v>#DIV/0!</v>
      </c>
      <c r="X16" s="408"/>
    </row>
    <row r="17" spans="1:24" s="28" customFormat="1" ht="14.25" thickTop="1" thickBot="1">
      <c r="A17" s="23">
        <v>11</v>
      </c>
      <c r="B17" s="24"/>
      <c r="C17" s="25"/>
      <c r="D17" s="26"/>
      <c r="E17" s="11"/>
      <c r="F17" s="11"/>
      <c r="G17" s="14"/>
      <c r="H17" s="14"/>
      <c r="I17" s="11"/>
      <c r="J17" s="11"/>
      <c r="L17" s="42" t="e">
        <f t="shared" si="5"/>
        <v>#DIV/0!</v>
      </c>
      <c r="M17" s="40"/>
      <c r="N17" s="42" t="e">
        <f t="shared" si="1"/>
        <v>#NUM!</v>
      </c>
      <c r="O17" s="40"/>
      <c r="P17" s="42" t="e">
        <f t="shared" si="2"/>
        <v>#NUM!</v>
      </c>
      <c r="Q17" s="40"/>
      <c r="R17" s="40" t="e">
        <f t="shared" si="3"/>
        <v>#DIV/0!</v>
      </c>
      <c r="S17" s="27"/>
      <c r="T17" s="40" t="e">
        <f t="shared" si="4"/>
        <v>#DIV/0!</v>
      </c>
      <c r="U17" s="40"/>
      <c r="V17" s="47" t="e">
        <f t="shared" si="0"/>
        <v>#DIV/0!</v>
      </c>
      <c r="X17" s="408"/>
    </row>
    <row r="18" spans="1:24" s="28" customFormat="1" ht="14.25" thickTop="1" thickBot="1">
      <c r="A18" s="23">
        <v>12</v>
      </c>
      <c r="B18" s="24"/>
      <c r="C18" s="25"/>
      <c r="D18" s="26"/>
      <c r="E18" s="11"/>
      <c r="F18" s="11"/>
      <c r="G18" s="14"/>
      <c r="H18" s="14"/>
      <c r="I18" s="11"/>
      <c r="J18" s="11"/>
      <c r="L18" s="42" t="e">
        <f t="shared" si="5"/>
        <v>#DIV/0!</v>
      </c>
      <c r="M18" s="40"/>
      <c r="N18" s="42" t="e">
        <f t="shared" si="1"/>
        <v>#NUM!</v>
      </c>
      <c r="O18" s="40"/>
      <c r="P18" s="42" t="e">
        <f t="shared" si="2"/>
        <v>#NUM!</v>
      </c>
      <c r="Q18" s="40"/>
      <c r="R18" s="40" t="e">
        <f t="shared" si="3"/>
        <v>#DIV/0!</v>
      </c>
      <c r="S18" s="27"/>
      <c r="T18" s="40" t="e">
        <f t="shared" si="4"/>
        <v>#DIV/0!</v>
      </c>
      <c r="U18" s="40"/>
      <c r="V18" s="47" t="e">
        <f t="shared" si="0"/>
        <v>#DIV/0!</v>
      </c>
      <c r="X18" s="408"/>
    </row>
    <row r="19" spans="1:24" s="28" customFormat="1" ht="14.25" thickTop="1" thickBot="1">
      <c r="A19" s="23">
        <v>13</v>
      </c>
      <c r="B19" s="24"/>
      <c r="C19" s="25"/>
      <c r="D19" s="26"/>
      <c r="E19" s="11"/>
      <c r="F19" s="11"/>
      <c r="G19" s="14"/>
      <c r="H19" s="14"/>
      <c r="I19" s="11"/>
      <c r="J19" s="11"/>
      <c r="L19" s="42" t="e">
        <f t="shared" si="5"/>
        <v>#DIV/0!</v>
      </c>
      <c r="M19" s="40"/>
      <c r="N19" s="42" t="e">
        <f t="shared" si="1"/>
        <v>#NUM!</v>
      </c>
      <c r="O19" s="40"/>
      <c r="P19" s="42" t="e">
        <f t="shared" si="2"/>
        <v>#NUM!</v>
      </c>
      <c r="Q19" s="40"/>
      <c r="R19" s="40" t="e">
        <f t="shared" si="3"/>
        <v>#DIV/0!</v>
      </c>
      <c r="S19" s="27"/>
      <c r="T19" s="40" t="e">
        <f t="shared" si="4"/>
        <v>#DIV/0!</v>
      </c>
      <c r="U19" s="40"/>
      <c r="V19" s="47" t="e">
        <f t="shared" si="0"/>
        <v>#DIV/0!</v>
      </c>
      <c r="X19" s="408"/>
    </row>
    <row r="20" spans="1:24" s="28" customFormat="1" ht="14.25" thickTop="1" thickBot="1">
      <c r="A20" s="23">
        <v>14</v>
      </c>
      <c r="B20" s="24"/>
      <c r="C20" s="25"/>
      <c r="D20" s="26"/>
      <c r="E20" s="11"/>
      <c r="F20" s="11"/>
      <c r="G20" s="14"/>
      <c r="H20" s="14"/>
      <c r="I20" s="11"/>
      <c r="J20" s="11"/>
      <c r="L20" s="42" t="e">
        <f t="shared" si="5"/>
        <v>#DIV/0!</v>
      </c>
      <c r="M20" s="40"/>
      <c r="N20" s="42" t="e">
        <f t="shared" si="1"/>
        <v>#NUM!</v>
      </c>
      <c r="O20" s="40"/>
      <c r="P20" s="42" t="e">
        <f t="shared" si="2"/>
        <v>#NUM!</v>
      </c>
      <c r="Q20" s="40"/>
      <c r="R20" s="40" t="e">
        <f t="shared" si="3"/>
        <v>#DIV/0!</v>
      </c>
      <c r="S20" s="27"/>
      <c r="T20" s="40" t="e">
        <f t="shared" si="4"/>
        <v>#DIV/0!</v>
      </c>
      <c r="U20" s="40"/>
      <c r="V20" s="47" t="e">
        <f t="shared" si="0"/>
        <v>#DIV/0!</v>
      </c>
      <c r="X20" s="408"/>
    </row>
    <row r="21" spans="1:24" s="28" customFormat="1" ht="14.25" thickTop="1" thickBot="1">
      <c r="A21" s="23">
        <v>15</v>
      </c>
      <c r="B21" s="24"/>
      <c r="C21" s="25"/>
      <c r="D21" s="26"/>
      <c r="E21" s="11"/>
      <c r="F21" s="11"/>
      <c r="G21" s="14"/>
      <c r="H21" s="14"/>
      <c r="I21" s="11"/>
      <c r="J21" s="11"/>
      <c r="L21" s="42" t="e">
        <f t="shared" si="5"/>
        <v>#DIV/0!</v>
      </c>
      <c r="M21" s="40"/>
      <c r="N21" s="42" t="e">
        <f t="shared" si="1"/>
        <v>#NUM!</v>
      </c>
      <c r="O21" s="40"/>
      <c r="P21" s="42" t="e">
        <f t="shared" si="2"/>
        <v>#NUM!</v>
      </c>
      <c r="Q21" s="40"/>
      <c r="R21" s="40" t="e">
        <f t="shared" si="3"/>
        <v>#DIV/0!</v>
      </c>
      <c r="S21" s="27"/>
      <c r="T21" s="40" t="e">
        <f t="shared" si="4"/>
        <v>#DIV/0!</v>
      </c>
      <c r="U21" s="40"/>
      <c r="V21" s="47" t="e">
        <f t="shared" si="0"/>
        <v>#DIV/0!</v>
      </c>
      <c r="X21" s="408"/>
    </row>
    <row r="22" spans="1:24" s="28" customFormat="1" ht="14.25" thickTop="1" thickBot="1">
      <c r="A22" s="23">
        <v>16</v>
      </c>
      <c r="B22" s="24"/>
      <c r="C22" s="25"/>
      <c r="D22" s="26"/>
      <c r="E22" s="11"/>
      <c r="F22" s="11"/>
      <c r="G22" s="14"/>
      <c r="H22" s="14"/>
      <c r="I22" s="11"/>
      <c r="J22" s="11"/>
      <c r="L22" s="42" t="e">
        <f t="shared" si="5"/>
        <v>#DIV/0!</v>
      </c>
      <c r="M22" s="40"/>
      <c r="N22" s="42" t="e">
        <f t="shared" si="1"/>
        <v>#NUM!</v>
      </c>
      <c r="O22" s="40"/>
      <c r="P22" s="42" t="e">
        <f t="shared" si="2"/>
        <v>#NUM!</v>
      </c>
      <c r="Q22" s="40"/>
      <c r="R22" s="40" t="e">
        <f t="shared" si="3"/>
        <v>#DIV/0!</v>
      </c>
      <c r="S22" s="27"/>
      <c r="T22" s="40" t="e">
        <f t="shared" si="4"/>
        <v>#DIV/0!</v>
      </c>
      <c r="U22" s="40"/>
      <c r="V22" s="47" t="e">
        <f t="shared" si="0"/>
        <v>#DIV/0!</v>
      </c>
      <c r="X22" s="408"/>
    </row>
    <row r="23" spans="1:24" s="28" customFormat="1" ht="14.25" thickTop="1" thickBot="1">
      <c r="A23" s="23">
        <v>17</v>
      </c>
      <c r="B23" s="24"/>
      <c r="C23" s="25"/>
      <c r="D23" s="26"/>
      <c r="E23" s="11"/>
      <c r="F23" s="11"/>
      <c r="G23" s="14"/>
      <c r="H23" s="14"/>
      <c r="I23" s="11"/>
      <c r="J23" s="11"/>
      <c r="L23" s="42" t="e">
        <f t="shared" si="5"/>
        <v>#DIV/0!</v>
      </c>
      <c r="M23" s="40"/>
      <c r="N23" s="42" t="e">
        <f t="shared" si="1"/>
        <v>#NUM!</v>
      </c>
      <c r="O23" s="40"/>
      <c r="P23" s="42" t="e">
        <f t="shared" si="2"/>
        <v>#NUM!</v>
      </c>
      <c r="Q23" s="40"/>
      <c r="R23" s="40" t="e">
        <f t="shared" si="3"/>
        <v>#DIV/0!</v>
      </c>
      <c r="S23" s="27"/>
      <c r="T23" s="40" t="e">
        <f t="shared" si="4"/>
        <v>#DIV/0!</v>
      </c>
      <c r="U23" s="40"/>
      <c r="V23" s="47" t="e">
        <f t="shared" si="0"/>
        <v>#DIV/0!</v>
      </c>
      <c r="X23" s="408"/>
    </row>
    <row r="24" spans="1:24" s="28" customFormat="1" ht="14.25" thickTop="1" thickBot="1">
      <c r="A24" s="23">
        <v>18</v>
      </c>
      <c r="B24" s="24"/>
      <c r="C24" s="25"/>
      <c r="D24" s="26"/>
      <c r="E24" s="11"/>
      <c r="F24" s="11"/>
      <c r="G24" s="14"/>
      <c r="H24" s="14"/>
      <c r="I24" s="11"/>
      <c r="J24" s="11"/>
      <c r="L24" s="42" t="e">
        <f t="shared" si="5"/>
        <v>#DIV/0!</v>
      </c>
      <c r="M24" s="40"/>
      <c r="N24" s="42" t="e">
        <f t="shared" si="1"/>
        <v>#NUM!</v>
      </c>
      <c r="O24" s="40"/>
      <c r="P24" s="42" t="e">
        <f t="shared" si="2"/>
        <v>#NUM!</v>
      </c>
      <c r="Q24" s="40"/>
      <c r="R24" s="40" t="e">
        <f t="shared" si="3"/>
        <v>#DIV/0!</v>
      </c>
      <c r="S24" s="27"/>
      <c r="T24" s="40" t="e">
        <f t="shared" si="4"/>
        <v>#DIV/0!</v>
      </c>
      <c r="U24" s="40"/>
      <c r="V24" s="47" t="e">
        <f t="shared" si="0"/>
        <v>#DIV/0!</v>
      </c>
      <c r="X24" s="408"/>
    </row>
    <row r="25" spans="1:24" s="28" customFormat="1" ht="14.25" thickTop="1" thickBot="1">
      <c r="A25" s="23">
        <v>19</v>
      </c>
      <c r="B25" s="24"/>
      <c r="C25" s="25"/>
      <c r="D25" s="26"/>
      <c r="E25" s="11"/>
      <c r="F25" s="11"/>
      <c r="G25" s="14"/>
      <c r="H25" s="14"/>
      <c r="I25" s="11"/>
      <c r="J25" s="11"/>
      <c r="L25" s="42" t="e">
        <f t="shared" si="5"/>
        <v>#DIV/0!</v>
      </c>
      <c r="M25" s="40"/>
      <c r="N25" s="42" t="e">
        <f t="shared" si="1"/>
        <v>#NUM!</v>
      </c>
      <c r="O25" s="40"/>
      <c r="P25" s="42" t="e">
        <f t="shared" si="2"/>
        <v>#NUM!</v>
      </c>
      <c r="Q25" s="40"/>
      <c r="R25" s="40" t="e">
        <f t="shared" si="3"/>
        <v>#DIV/0!</v>
      </c>
      <c r="S25" s="27"/>
      <c r="T25" s="40" t="e">
        <f t="shared" si="4"/>
        <v>#DIV/0!</v>
      </c>
      <c r="U25" s="40"/>
      <c r="V25" s="47" t="e">
        <f t="shared" si="0"/>
        <v>#DIV/0!</v>
      </c>
      <c r="X25" s="408"/>
    </row>
    <row r="26" spans="1:24" s="7" customFormat="1" ht="14.25" thickTop="1" thickBot="1">
      <c r="A26" s="23">
        <v>20</v>
      </c>
      <c r="B26" s="24"/>
      <c r="C26" s="25"/>
      <c r="D26" s="26"/>
      <c r="E26" s="11"/>
      <c r="F26" s="11"/>
      <c r="G26" s="14"/>
      <c r="H26" s="14"/>
      <c r="I26" s="11"/>
      <c r="J26" s="11"/>
      <c r="L26" s="42" t="e">
        <f t="shared" si="5"/>
        <v>#DIV/0!</v>
      </c>
      <c r="M26" s="40"/>
      <c r="N26" s="42" t="e">
        <f t="shared" si="1"/>
        <v>#NUM!</v>
      </c>
      <c r="O26" s="40"/>
      <c r="P26" s="42" t="e">
        <f t="shared" si="2"/>
        <v>#NUM!</v>
      </c>
      <c r="Q26" s="40"/>
      <c r="R26" s="40" t="e">
        <f t="shared" si="3"/>
        <v>#DIV/0!</v>
      </c>
      <c r="S26" s="27"/>
      <c r="T26" s="40" t="e">
        <f t="shared" si="4"/>
        <v>#DIV/0!</v>
      </c>
      <c r="U26" s="40"/>
      <c r="V26" s="47" t="e">
        <f t="shared" si="0"/>
        <v>#DIV/0!</v>
      </c>
      <c r="X26" s="408"/>
    </row>
    <row r="27" spans="1:24" s="7" customFormat="1" ht="14.25" thickTop="1" thickBot="1">
      <c r="A27" s="23">
        <v>21</v>
      </c>
      <c r="B27" s="24"/>
      <c r="C27" s="25"/>
      <c r="D27" s="26"/>
      <c r="E27" s="11"/>
      <c r="F27" s="11"/>
      <c r="G27" s="14"/>
      <c r="H27" s="14"/>
      <c r="I27" s="11"/>
      <c r="J27" s="11"/>
      <c r="L27" s="42" t="e">
        <f t="shared" si="5"/>
        <v>#DIV/0!</v>
      </c>
      <c r="M27" s="40"/>
      <c r="N27" s="42" t="e">
        <f t="shared" si="1"/>
        <v>#NUM!</v>
      </c>
      <c r="O27" s="40"/>
      <c r="P27" s="42" t="e">
        <f t="shared" si="2"/>
        <v>#NUM!</v>
      </c>
      <c r="Q27" s="40"/>
      <c r="R27" s="40" t="e">
        <f t="shared" si="3"/>
        <v>#DIV/0!</v>
      </c>
      <c r="S27" s="27"/>
      <c r="T27" s="40" t="e">
        <f t="shared" si="4"/>
        <v>#DIV/0!</v>
      </c>
      <c r="U27" s="40"/>
      <c r="V27" s="47" t="e">
        <f t="shared" si="0"/>
        <v>#DIV/0!</v>
      </c>
      <c r="X27" s="408"/>
    </row>
    <row r="28" spans="1:24" s="7" customFormat="1" ht="14.25" thickTop="1" thickBot="1">
      <c r="A28" s="23">
        <v>22</v>
      </c>
      <c r="B28" s="24"/>
      <c r="C28" s="25"/>
      <c r="D28" s="26"/>
      <c r="E28" s="11"/>
      <c r="F28" s="11"/>
      <c r="G28" s="14"/>
      <c r="H28" s="14"/>
      <c r="I28" s="11"/>
      <c r="J28" s="11"/>
      <c r="L28" s="42" t="e">
        <f t="shared" si="5"/>
        <v>#DIV/0!</v>
      </c>
      <c r="M28" s="40"/>
      <c r="N28" s="42" t="e">
        <f t="shared" si="1"/>
        <v>#NUM!</v>
      </c>
      <c r="O28" s="40"/>
      <c r="P28" s="42" t="e">
        <f t="shared" si="2"/>
        <v>#NUM!</v>
      </c>
      <c r="Q28" s="40"/>
      <c r="R28" s="40" t="e">
        <f t="shared" si="3"/>
        <v>#DIV/0!</v>
      </c>
      <c r="S28" s="27"/>
      <c r="T28" s="40" t="e">
        <f t="shared" si="4"/>
        <v>#DIV/0!</v>
      </c>
      <c r="U28" s="40"/>
      <c r="V28" s="47" t="e">
        <f t="shared" si="0"/>
        <v>#DIV/0!</v>
      </c>
      <c r="X28" s="408"/>
    </row>
    <row r="29" spans="1:24" s="7" customFormat="1" ht="14.25" thickTop="1" thickBot="1">
      <c r="A29" s="23">
        <v>23</v>
      </c>
      <c r="B29" s="24"/>
      <c r="C29" s="25"/>
      <c r="D29" s="26"/>
      <c r="E29" s="11"/>
      <c r="F29" s="11"/>
      <c r="G29" s="14"/>
      <c r="H29" s="14"/>
      <c r="I29" s="11"/>
      <c r="J29" s="11"/>
      <c r="L29" s="42" t="e">
        <f t="shared" si="5"/>
        <v>#DIV/0!</v>
      </c>
      <c r="M29" s="40"/>
      <c r="N29" s="42" t="e">
        <f t="shared" si="1"/>
        <v>#NUM!</v>
      </c>
      <c r="O29" s="40"/>
      <c r="P29" s="42" t="e">
        <f t="shared" si="2"/>
        <v>#NUM!</v>
      </c>
      <c r="Q29" s="40"/>
      <c r="R29" s="40" t="e">
        <f t="shared" si="3"/>
        <v>#DIV/0!</v>
      </c>
      <c r="S29" s="27"/>
      <c r="T29" s="40" t="e">
        <f t="shared" si="4"/>
        <v>#DIV/0!</v>
      </c>
      <c r="U29" s="40"/>
      <c r="V29" s="47" t="e">
        <f t="shared" si="0"/>
        <v>#DIV/0!</v>
      </c>
      <c r="X29" s="408"/>
    </row>
    <row r="30" spans="1:24" s="7" customFormat="1" ht="14.25" thickTop="1" thickBot="1">
      <c r="A30" s="29">
        <v>24</v>
      </c>
      <c r="B30" s="30"/>
      <c r="C30" s="31"/>
      <c r="D30" s="32"/>
      <c r="E30" s="15"/>
      <c r="F30" s="15"/>
      <c r="G30" s="16"/>
      <c r="H30" s="16"/>
      <c r="I30" s="15"/>
      <c r="J30" s="15"/>
      <c r="L30" s="42" t="e">
        <f t="shared" si="5"/>
        <v>#DIV/0!</v>
      </c>
      <c r="M30" s="40"/>
      <c r="N30" s="42" t="e">
        <f t="shared" si="1"/>
        <v>#NUM!</v>
      </c>
      <c r="O30" s="40"/>
      <c r="P30" s="42" t="e">
        <f t="shared" si="2"/>
        <v>#NUM!</v>
      </c>
      <c r="Q30" s="40"/>
      <c r="R30" s="40" t="e">
        <f t="shared" si="3"/>
        <v>#DIV/0!</v>
      </c>
      <c r="S30" s="27"/>
      <c r="T30" s="40" t="e">
        <f t="shared" si="4"/>
        <v>#DIV/0!</v>
      </c>
      <c r="U30" s="40"/>
      <c r="V30" s="48" t="e">
        <f t="shared" si="0"/>
        <v>#DIV/0!</v>
      </c>
      <c r="X30" s="408"/>
    </row>
    <row r="31" spans="1:24" s="7" customFormat="1" ht="14.25" thickTop="1" thickBot="1">
      <c r="A31" s="391" t="s">
        <v>53</v>
      </c>
      <c r="B31" s="392"/>
      <c r="C31" s="35">
        <f>SUM(C7:C30)</f>
        <v>0</v>
      </c>
      <c r="D31" s="34"/>
      <c r="E31" s="17">
        <f>SUM(E7:E30)</f>
        <v>0</v>
      </c>
      <c r="F31" s="17">
        <f>SUM(F7:F30)</f>
        <v>0</v>
      </c>
      <c r="G31" s="17">
        <f t="shared" ref="G31:J31" si="6">SUM(G7:G30)</f>
        <v>0</v>
      </c>
      <c r="H31" s="17">
        <f t="shared" si="6"/>
        <v>0</v>
      </c>
      <c r="I31" s="17">
        <f t="shared" si="6"/>
        <v>0</v>
      </c>
      <c r="J31" s="17">
        <f t="shared" si="6"/>
        <v>0</v>
      </c>
      <c r="L31" s="41"/>
      <c r="M31" s="41"/>
      <c r="N31" s="41"/>
      <c r="O31" s="41"/>
      <c r="P31" s="41"/>
      <c r="Q31" s="41"/>
      <c r="R31" s="41"/>
    </row>
    <row r="43" spans="3:5">
      <c r="C43" s="401"/>
      <c r="D43" s="401"/>
      <c r="E43" s="401"/>
    </row>
    <row r="44" spans="3:5">
      <c r="C44" s="3"/>
      <c r="D44" s="3"/>
      <c r="E44" s="3"/>
    </row>
    <row r="45" spans="3:5">
      <c r="C45" s="53"/>
      <c r="D45" s="401"/>
      <c r="E45" s="401"/>
    </row>
  </sheetData>
  <mergeCells count="10">
    <mergeCell ref="X4:X30"/>
    <mergeCell ref="A5:D5"/>
    <mergeCell ref="E5:F5"/>
    <mergeCell ref="G5:H5"/>
    <mergeCell ref="I5:J5"/>
    <mergeCell ref="A31:B31"/>
    <mergeCell ref="C43:E43"/>
    <mergeCell ref="D45:E45"/>
    <mergeCell ref="L5:V5"/>
    <mergeCell ref="A3:D3"/>
  </mergeCells>
  <printOptions horizontalCentered="1" verticalCentered="1"/>
  <pageMargins left="0" right="0" top="0.59055118110236227" bottom="0.59055118110236227" header="0" footer="0"/>
  <pageSetup scale="6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5A5D8-48CD-FF4E-8354-656E22CA89B1}">
  <sheetPr>
    <pageSetUpPr fitToPage="1"/>
  </sheetPr>
  <dimension ref="A3:O43"/>
  <sheetViews>
    <sheetView showGridLines="0" zoomScaleNormal="100" zoomScaleSheetLayoutView="100" workbookViewId="0">
      <selection activeCell="E12" sqref="E12"/>
    </sheetView>
  </sheetViews>
  <sheetFormatPr baseColWidth="10" defaultColWidth="7.42578125" defaultRowHeight="12.75"/>
  <cols>
    <col min="1" max="1" width="11.42578125" style="33" customWidth="1"/>
    <col min="2" max="2" width="44.140625" style="4" customWidth="1"/>
    <col min="3" max="3" width="10.85546875" style="4" bestFit="1" customWidth="1"/>
    <col min="4" max="4" width="14.5703125" style="4" customWidth="1"/>
    <col min="5" max="5" width="33.42578125" style="2" customWidth="1"/>
    <col min="6" max="6" width="13" style="2" customWidth="1"/>
    <col min="7" max="7" width="12.140625" style="2" customWidth="1"/>
    <col min="8" max="10" width="11.42578125" style="3" customWidth="1"/>
    <col min="11" max="11" width="12.42578125" style="3" customWidth="1"/>
    <col min="12" max="13" width="11.42578125" style="3" customWidth="1"/>
    <col min="14" max="14" width="17.42578125" style="3" customWidth="1"/>
    <col min="15" max="192" width="11.42578125" style="3" customWidth="1"/>
    <col min="193" max="16384" width="7.42578125" style="3"/>
  </cols>
  <sheetData>
    <row r="3" spans="1:15" ht="32.25" customHeight="1" thickBot="1">
      <c r="A3" s="405" t="s">
        <v>73</v>
      </c>
      <c r="B3" s="406"/>
      <c r="C3" s="406"/>
      <c r="D3" s="407"/>
      <c r="E3" s="19"/>
      <c r="F3" s="63" t="s">
        <v>322</v>
      </c>
      <c r="G3" s="64"/>
      <c r="I3" s="51"/>
    </row>
    <row r="4" spans="1:15" ht="14.1" customHeight="1">
      <c r="A4" s="8"/>
      <c r="B4" s="1"/>
      <c r="C4" s="20"/>
      <c r="D4" s="20"/>
      <c r="E4" s="21"/>
      <c r="F4" s="21"/>
      <c r="G4" s="21"/>
    </row>
    <row r="5" spans="1:15" s="5" customFormat="1" ht="42.75" customHeight="1" thickBot="1">
      <c r="A5" s="409" t="s">
        <v>5</v>
      </c>
      <c r="B5" s="410"/>
      <c r="C5" s="410"/>
      <c r="D5" s="410"/>
      <c r="E5" s="54" t="s">
        <v>323</v>
      </c>
      <c r="F5" s="55" t="s">
        <v>324</v>
      </c>
      <c r="G5" s="56" t="s">
        <v>325</v>
      </c>
      <c r="H5" s="55" t="s">
        <v>326</v>
      </c>
      <c r="I5" s="56" t="s">
        <v>327</v>
      </c>
      <c r="J5" s="55" t="s">
        <v>328</v>
      </c>
      <c r="K5" s="56" t="s">
        <v>329</v>
      </c>
    </row>
    <row r="6" spans="1:15" s="22" customFormat="1" ht="55.5" customHeight="1" thickBot="1">
      <c r="A6" s="9" t="s">
        <v>22</v>
      </c>
      <c r="B6" s="6" t="s">
        <v>23</v>
      </c>
      <c r="C6" s="6" t="s">
        <v>82</v>
      </c>
      <c r="D6" s="6" t="s">
        <v>56</v>
      </c>
      <c r="E6" s="10" t="s">
        <v>256</v>
      </c>
      <c r="F6" s="57">
        <v>7.0000000000000001E-3</v>
      </c>
      <c r="G6" s="60">
        <v>5.8999999999999999E-3</v>
      </c>
      <c r="H6" s="59">
        <v>4.3E-3</v>
      </c>
      <c r="I6" s="60">
        <v>3.2000000000000002E-3</v>
      </c>
      <c r="J6" s="59">
        <v>2E-3</v>
      </c>
      <c r="K6" s="58">
        <v>0</v>
      </c>
      <c r="L6" s="61" t="s">
        <v>330</v>
      </c>
      <c r="N6" s="65" t="s">
        <v>331</v>
      </c>
      <c r="O6" s="71" t="s">
        <v>330</v>
      </c>
    </row>
    <row r="7" spans="1:15" s="27" customFormat="1" ht="24" customHeight="1">
      <c r="A7" s="23">
        <v>1</v>
      </c>
      <c r="B7" s="24"/>
      <c r="C7" s="25"/>
      <c r="D7" s="26"/>
      <c r="E7" s="11"/>
      <c r="F7" s="14">
        <f>E7+(E7*$F$6)</f>
        <v>0</v>
      </c>
      <c r="G7" s="11">
        <f>F7+(F7*$G$6)</f>
        <v>0</v>
      </c>
      <c r="H7" s="14">
        <f>G7+(G7*$H$6)</f>
        <v>0</v>
      </c>
      <c r="I7" s="11">
        <f>H7+(H7*$I$6)</f>
        <v>0</v>
      </c>
      <c r="J7" s="14">
        <f>I7+(I7*$J$6)</f>
        <v>0</v>
      </c>
      <c r="K7" s="11">
        <f>J7+(J7*$K$6)</f>
        <v>0</v>
      </c>
      <c r="L7" s="62">
        <f>K7*C7</f>
        <v>0</v>
      </c>
      <c r="N7" s="69">
        <f>E7+(E7*$G$3)</f>
        <v>0</v>
      </c>
      <c r="O7" s="70">
        <f>N7*C7</f>
        <v>0</v>
      </c>
    </row>
    <row r="8" spans="1:15" s="28" customFormat="1" ht="20.100000000000001" customHeight="1">
      <c r="A8" s="23">
        <v>2</v>
      </c>
      <c r="B8" s="24"/>
      <c r="C8" s="25"/>
      <c r="D8" s="26"/>
      <c r="E8" s="11"/>
      <c r="F8" s="14">
        <f t="shared" ref="F8:F30" si="0">E8+(E8*$F$6)</f>
        <v>0</v>
      </c>
      <c r="G8" s="11">
        <f t="shared" ref="G8:G30" si="1">F8+(F8*$G$6)</f>
        <v>0</v>
      </c>
      <c r="H8" s="14">
        <f t="shared" ref="H8:H30" si="2">G8+(G8*$H$6)</f>
        <v>0</v>
      </c>
      <c r="I8" s="11">
        <f t="shared" ref="I8:I30" si="3">H8+(H8*$I$6)</f>
        <v>0</v>
      </c>
      <c r="J8" s="14">
        <f t="shared" ref="J8:J30" si="4">I8+(I8*$J$6)</f>
        <v>0</v>
      </c>
      <c r="K8" s="11">
        <f t="shared" ref="K8:K30" si="5">J8+(J8*$K$6)</f>
        <v>0</v>
      </c>
      <c r="L8" s="62">
        <f t="shared" ref="L8:L30" si="6">K8*C8</f>
        <v>0</v>
      </c>
      <c r="N8" s="12">
        <f t="shared" ref="N8:N30" si="7">E8+(E8*$G$3)</f>
        <v>0</v>
      </c>
      <c r="O8" s="62">
        <f t="shared" ref="O8:O30" si="8">N8*C8</f>
        <v>0</v>
      </c>
    </row>
    <row r="9" spans="1:15" s="28" customFormat="1" ht="20.100000000000001" customHeight="1">
      <c r="A9" s="23">
        <v>3</v>
      </c>
      <c r="B9" s="24"/>
      <c r="C9" s="25"/>
      <c r="D9" s="26"/>
      <c r="E9" s="11"/>
      <c r="F9" s="14">
        <f t="shared" si="0"/>
        <v>0</v>
      </c>
      <c r="G9" s="11">
        <f t="shared" si="1"/>
        <v>0</v>
      </c>
      <c r="H9" s="14">
        <f t="shared" si="2"/>
        <v>0</v>
      </c>
      <c r="I9" s="11">
        <f t="shared" si="3"/>
        <v>0</v>
      </c>
      <c r="J9" s="14">
        <f t="shared" si="4"/>
        <v>0</v>
      </c>
      <c r="K9" s="11">
        <f t="shared" si="5"/>
        <v>0</v>
      </c>
      <c r="L9" s="62">
        <f t="shared" si="6"/>
        <v>0</v>
      </c>
      <c r="N9" s="12">
        <f t="shared" si="7"/>
        <v>0</v>
      </c>
      <c r="O9" s="62">
        <f t="shared" si="8"/>
        <v>0</v>
      </c>
    </row>
    <row r="10" spans="1:15" s="28" customFormat="1" ht="20.100000000000001" customHeight="1">
      <c r="A10" s="23">
        <v>4</v>
      </c>
      <c r="B10" s="24"/>
      <c r="C10" s="25"/>
      <c r="D10" s="26"/>
      <c r="E10" s="11"/>
      <c r="F10" s="14">
        <f t="shared" si="0"/>
        <v>0</v>
      </c>
      <c r="G10" s="11">
        <f t="shared" si="1"/>
        <v>0</v>
      </c>
      <c r="H10" s="14">
        <f t="shared" si="2"/>
        <v>0</v>
      </c>
      <c r="I10" s="11">
        <f t="shared" si="3"/>
        <v>0</v>
      </c>
      <c r="J10" s="14">
        <f t="shared" si="4"/>
        <v>0</v>
      </c>
      <c r="K10" s="11">
        <f t="shared" si="5"/>
        <v>0</v>
      </c>
      <c r="L10" s="62">
        <f t="shared" si="6"/>
        <v>0</v>
      </c>
      <c r="N10" s="12">
        <f>E10+(E10*$G$3)</f>
        <v>0</v>
      </c>
      <c r="O10" s="62">
        <f t="shared" si="8"/>
        <v>0</v>
      </c>
    </row>
    <row r="11" spans="1:15" s="28" customFormat="1" ht="20.100000000000001" customHeight="1">
      <c r="A11" s="23">
        <v>5</v>
      </c>
      <c r="B11" s="24"/>
      <c r="C11" s="25"/>
      <c r="D11" s="26"/>
      <c r="E11" s="11"/>
      <c r="F11" s="14">
        <f t="shared" si="0"/>
        <v>0</v>
      </c>
      <c r="G11" s="11">
        <f t="shared" si="1"/>
        <v>0</v>
      </c>
      <c r="H11" s="14">
        <f t="shared" si="2"/>
        <v>0</v>
      </c>
      <c r="I11" s="11">
        <f t="shared" si="3"/>
        <v>0</v>
      </c>
      <c r="J11" s="14">
        <f t="shared" si="4"/>
        <v>0</v>
      </c>
      <c r="K11" s="11">
        <f t="shared" si="5"/>
        <v>0</v>
      </c>
      <c r="L11" s="62">
        <f t="shared" si="6"/>
        <v>0</v>
      </c>
      <c r="N11" s="12">
        <f t="shared" si="7"/>
        <v>0</v>
      </c>
      <c r="O11" s="62">
        <f t="shared" si="8"/>
        <v>0</v>
      </c>
    </row>
    <row r="12" spans="1:15" s="28" customFormat="1" ht="20.100000000000001" customHeight="1">
      <c r="A12" s="23">
        <v>6</v>
      </c>
      <c r="B12" s="24"/>
      <c r="C12" s="25"/>
      <c r="D12" s="26"/>
      <c r="E12" s="11"/>
      <c r="F12" s="14">
        <f t="shared" si="0"/>
        <v>0</v>
      </c>
      <c r="G12" s="11">
        <f t="shared" si="1"/>
        <v>0</v>
      </c>
      <c r="H12" s="14">
        <f t="shared" si="2"/>
        <v>0</v>
      </c>
      <c r="I12" s="11">
        <f t="shared" si="3"/>
        <v>0</v>
      </c>
      <c r="J12" s="14">
        <f t="shared" si="4"/>
        <v>0</v>
      </c>
      <c r="K12" s="11">
        <f t="shared" si="5"/>
        <v>0</v>
      </c>
      <c r="L12" s="62">
        <f t="shared" si="6"/>
        <v>0</v>
      </c>
      <c r="N12" s="12">
        <f t="shared" si="7"/>
        <v>0</v>
      </c>
      <c r="O12" s="62">
        <f t="shared" si="8"/>
        <v>0</v>
      </c>
    </row>
    <row r="13" spans="1:15" s="28" customFormat="1" ht="20.100000000000001" customHeight="1">
      <c r="A13" s="23">
        <v>7</v>
      </c>
      <c r="B13" s="24"/>
      <c r="C13" s="25"/>
      <c r="D13" s="26"/>
      <c r="E13" s="11"/>
      <c r="F13" s="14">
        <f t="shared" si="0"/>
        <v>0</v>
      </c>
      <c r="G13" s="11">
        <f t="shared" si="1"/>
        <v>0</v>
      </c>
      <c r="H13" s="14">
        <f t="shared" si="2"/>
        <v>0</v>
      </c>
      <c r="I13" s="11">
        <f t="shared" si="3"/>
        <v>0</v>
      </c>
      <c r="J13" s="14">
        <f t="shared" si="4"/>
        <v>0</v>
      </c>
      <c r="K13" s="11">
        <f t="shared" si="5"/>
        <v>0</v>
      </c>
      <c r="L13" s="62">
        <f t="shared" si="6"/>
        <v>0</v>
      </c>
      <c r="N13" s="12">
        <f t="shared" si="7"/>
        <v>0</v>
      </c>
      <c r="O13" s="62">
        <f t="shared" si="8"/>
        <v>0</v>
      </c>
    </row>
    <row r="14" spans="1:15" s="28" customFormat="1">
      <c r="A14" s="23">
        <v>8</v>
      </c>
      <c r="B14" s="24"/>
      <c r="C14" s="25"/>
      <c r="D14" s="26"/>
      <c r="E14" s="11"/>
      <c r="F14" s="14">
        <f t="shared" si="0"/>
        <v>0</v>
      </c>
      <c r="G14" s="11">
        <f t="shared" si="1"/>
        <v>0</v>
      </c>
      <c r="H14" s="14">
        <f t="shared" si="2"/>
        <v>0</v>
      </c>
      <c r="I14" s="11">
        <f t="shared" si="3"/>
        <v>0</v>
      </c>
      <c r="J14" s="14">
        <f t="shared" si="4"/>
        <v>0</v>
      </c>
      <c r="K14" s="11">
        <f t="shared" si="5"/>
        <v>0</v>
      </c>
      <c r="L14" s="62">
        <f t="shared" si="6"/>
        <v>0</v>
      </c>
      <c r="N14" s="12">
        <f t="shared" si="7"/>
        <v>0</v>
      </c>
      <c r="O14" s="62">
        <f t="shared" si="8"/>
        <v>0</v>
      </c>
    </row>
    <row r="15" spans="1:15" s="28" customFormat="1">
      <c r="A15" s="23">
        <v>9</v>
      </c>
      <c r="B15" s="24"/>
      <c r="C15" s="25"/>
      <c r="D15" s="26"/>
      <c r="E15" s="11"/>
      <c r="F15" s="14">
        <f t="shared" si="0"/>
        <v>0</v>
      </c>
      <c r="G15" s="11">
        <f t="shared" si="1"/>
        <v>0</v>
      </c>
      <c r="H15" s="14">
        <f t="shared" si="2"/>
        <v>0</v>
      </c>
      <c r="I15" s="11">
        <f t="shared" si="3"/>
        <v>0</v>
      </c>
      <c r="J15" s="14">
        <f t="shared" si="4"/>
        <v>0</v>
      </c>
      <c r="K15" s="11">
        <f t="shared" si="5"/>
        <v>0</v>
      </c>
      <c r="L15" s="62">
        <f t="shared" si="6"/>
        <v>0</v>
      </c>
      <c r="N15" s="12">
        <f t="shared" si="7"/>
        <v>0</v>
      </c>
      <c r="O15" s="62">
        <f t="shared" si="8"/>
        <v>0</v>
      </c>
    </row>
    <row r="16" spans="1:15" s="28" customFormat="1">
      <c r="A16" s="23">
        <v>10</v>
      </c>
      <c r="B16" s="24"/>
      <c r="C16" s="25"/>
      <c r="D16" s="26"/>
      <c r="E16" s="11"/>
      <c r="F16" s="14">
        <f t="shared" si="0"/>
        <v>0</v>
      </c>
      <c r="G16" s="11">
        <f t="shared" si="1"/>
        <v>0</v>
      </c>
      <c r="H16" s="14">
        <f t="shared" si="2"/>
        <v>0</v>
      </c>
      <c r="I16" s="11">
        <f t="shared" si="3"/>
        <v>0</v>
      </c>
      <c r="J16" s="14">
        <f t="shared" si="4"/>
        <v>0</v>
      </c>
      <c r="K16" s="11">
        <f t="shared" si="5"/>
        <v>0</v>
      </c>
      <c r="L16" s="62">
        <f t="shared" si="6"/>
        <v>0</v>
      </c>
      <c r="N16" s="12">
        <f>E16+(E16*$G$3)</f>
        <v>0</v>
      </c>
      <c r="O16" s="62">
        <f t="shared" si="8"/>
        <v>0</v>
      </c>
    </row>
    <row r="17" spans="1:15" s="28" customFormat="1">
      <c r="A17" s="23">
        <v>11</v>
      </c>
      <c r="B17" s="24"/>
      <c r="C17" s="25"/>
      <c r="D17" s="26"/>
      <c r="E17" s="11"/>
      <c r="F17" s="14">
        <f t="shared" si="0"/>
        <v>0</v>
      </c>
      <c r="G17" s="11">
        <f t="shared" si="1"/>
        <v>0</v>
      </c>
      <c r="H17" s="14">
        <f t="shared" si="2"/>
        <v>0</v>
      </c>
      <c r="I17" s="11">
        <f t="shared" si="3"/>
        <v>0</v>
      </c>
      <c r="J17" s="14">
        <f t="shared" si="4"/>
        <v>0</v>
      </c>
      <c r="K17" s="11">
        <f t="shared" si="5"/>
        <v>0</v>
      </c>
      <c r="L17" s="62">
        <f t="shared" si="6"/>
        <v>0</v>
      </c>
      <c r="N17" s="12">
        <f t="shared" si="7"/>
        <v>0</v>
      </c>
      <c r="O17" s="62">
        <f t="shared" si="8"/>
        <v>0</v>
      </c>
    </row>
    <row r="18" spans="1:15" s="28" customFormat="1">
      <c r="A18" s="23">
        <v>12</v>
      </c>
      <c r="B18" s="24"/>
      <c r="C18" s="25"/>
      <c r="D18" s="26"/>
      <c r="E18" s="11"/>
      <c r="F18" s="14">
        <f t="shared" si="0"/>
        <v>0</v>
      </c>
      <c r="G18" s="11">
        <f t="shared" si="1"/>
        <v>0</v>
      </c>
      <c r="H18" s="14">
        <f t="shared" si="2"/>
        <v>0</v>
      </c>
      <c r="I18" s="11">
        <f t="shared" si="3"/>
        <v>0</v>
      </c>
      <c r="J18" s="14">
        <f t="shared" si="4"/>
        <v>0</v>
      </c>
      <c r="K18" s="11">
        <f t="shared" si="5"/>
        <v>0</v>
      </c>
      <c r="L18" s="62">
        <f t="shared" si="6"/>
        <v>0</v>
      </c>
      <c r="N18" s="12">
        <f t="shared" si="7"/>
        <v>0</v>
      </c>
      <c r="O18" s="62">
        <f t="shared" si="8"/>
        <v>0</v>
      </c>
    </row>
    <row r="19" spans="1:15" s="28" customFormat="1">
      <c r="A19" s="23">
        <v>13</v>
      </c>
      <c r="B19" s="24"/>
      <c r="C19" s="25"/>
      <c r="D19" s="26"/>
      <c r="E19" s="11"/>
      <c r="F19" s="14">
        <f t="shared" si="0"/>
        <v>0</v>
      </c>
      <c r="G19" s="11">
        <f t="shared" si="1"/>
        <v>0</v>
      </c>
      <c r="H19" s="14">
        <f t="shared" si="2"/>
        <v>0</v>
      </c>
      <c r="I19" s="11">
        <f t="shared" si="3"/>
        <v>0</v>
      </c>
      <c r="J19" s="14">
        <f t="shared" si="4"/>
        <v>0</v>
      </c>
      <c r="K19" s="11">
        <f t="shared" si="5"/>
        <v>0</v>
      </c>
      <c r="L19" s="62">
        <f t="shared" si="6"/>
        <v>0</v>
      </c>
      <c r="N19" s="12">
        <f t="shared" si="7"/>
        <v>0</v>
      </c>
      <c r="O19" s="62">
        <f t="shared" si="8"/>
        <v>0</v>
      </c>
    </row>
    <row r="20" spans="1:15" s="28" customFormat="1">
      <c r="A20" s="23">
        <v>14</v>
      </c>
      <c r="B20" s="24"/>
      <c r="C20" s="25"/>
      <c r="D20" s="26"/>
      <c r="E20" s="11"/>
      <c r="F20" s="14">
        <f t="shared" si="0"/>
        <v>0</v>
      </c>
      <c r="G20" s="11">
        <f t="shared" si="1"/>
        <v>0</v>
      </c>
      <c r="H20" s="14">
        <f t="shared" si="2"/>
        <v>0</v>
      </c>
      <c r="I20" s="11">
        <f t="shared" si="3"/>
        <v>0</v>
      </c>
      <c r="J20" s="14">
        <f t="shared" si="4"/>
        <v>0</v>
      </c>
      <c r="K20" s="11">
        <f t="shared" si="5"/>
        <v>0</v>
      </c>
      <c r="L20" s="62">
        <f t="shared" si="6"/>
        <v>0</v>
      </c>
      <c r="N20" s="12">
        <f t="shared" si="7"/>
        <v>0</v>
      </c>
      <c r="O20" s="62">
        <f t="shared" si="8"/>
        <v>0</v>
      </c>
    </row>
    <row r="21" spans="1:15" s="28" customFormat="1">
      <c r="A21" s="23">
        <v>15</v>
      </c>
      <c r="B21" s="24"/>
      <c r="C21" s="25"/>
      <c r="D21" s="26"/>
      <c r="E21" s="11"/>
      <c r="F21" s="14">
        <f t="shared" si="0"/>
        <v>0</v>
      </c>
      <c r="G21" s="11">
        <f t="shared" si="1"/>
        <v>0</v>
      </c>
      <c r="H21" s="14">
        <f t="shared" si="2"/>
        <v>0</v>
      </c>
      <c r="I21" s="11">
        <f t="shared" si="3"/>
        <v>0</v>
      </c>
      <c r="J21" s="14">
        <f t="shared" si="4"/>
        <v>0</v>
      </c>
      <c r="K21" s="11">
        <f t="shared" si="5"/>
        <v>0</v>
      </c>
      <c r="L21" s="62">
        <f t="shared" si="6"/>
        <v>0</v>
      </c>
      <c r="N21" s="12">
        <f t="shared" si="7"/>
        <v>0</v>
      </c>
      <c r="O21" s="62">
        <f t="shared" si="8"/>
        <v>0</v>
      </c>
    </row>
    <row r="22" spans="1:15" s="28" customFormat="1">
      <c r="A22" s="23">
        <v>16</v>
      </c>
      <c r="B22" s="24"/>
      <c r="C22" s="25"/>
      <c r="D22" s="26"/>
      <c r="E22" s="11"/>
      <c r="F22" s="14">
        <f t="shared" si="0"/>
        <v>0</v>
      </c>
      <c r="G22" s="11">
        <f t="shared" si="1"/>
        <v>0</v>
      </c>
      <c r="H22" s="14">
        <f t="shared" si="2"/>
        <v>0</v>
      </c>
      <c r="I22" s="11">
        <f t="shared" si="3"/>
        <v>0</v>
      </c>
      <c r="J22" s="14">
        <f t="shared" si="4"/>
        <v>0</v>
      </c>
      <c r="K22" s="11">
        <f t="shared" si="5"/>
        <v>0</v>
      </c>
      <c r="L22" s="62">
        <f t="shared" si="6"/>
        <v>0</v>
      </c>
      <c r="N22" s="12">
        <f t="shared" si="7"/>
        <v>0</v>
      </c>
      <c r="O22" s="62">
        <f t="shared" si="8"/>
        <v>0</v>
      </c>
    </row>
    <row r="23" spans="1:15" s="28" customFormat="1">
      <c r="A23" s="23">
        <v>17</v>
      </c>
      <c r="B23" s="24"/>
      <c r="C23" s="25"/>
      <c r="D23" s="26"/>
      <c r="E23" s="11"/>
      <c r="F23" s="14">
        <f t="shared" si="0"/>
        <v>0</v>
      </c>
      <c r="G23" s="11">
        <f t="shared" si="1"/>
        <v>0</v>
      </c>
      <c r="H23" s="14">
        <f t="shared" si="2"/>
        <v>0</v>
      </c>
      <c r="I23" s="11">
        <f t="shared" si="3"/>
        <v>0</v>
      </c>
      <c r="J23" s="14">
        <f t="shared" si="4"/>
        <v>0</v>
      </c>
      <c r="K23" s="11">
        <f t="shared" si="5"/>
        <v>0</v>
      </c>
      <c r="L23" s="62">
        <f t="shared" si="6"/>
        <v>0</v>
      </c>
      <c r="N23" s="12">
        <f t="shared" si="7"/>
        <v>0</v>
      </c>
      <c r="O23" s="62">
        <f t="shared" si="8"/>
        <v>0</v>
      </c>
    </row>
    <row r="24" spans="1:15" s="28" customFormat="1">
      <c r="A24" s="23">
        <v>18</v>
      </c>
      <c r="B24" s="24"/>
      <c r="C24" s="25"/>
      <c r="D24" s="26"/>
      <c r="E24" s="11"/>
      <c r="F24" s="14">
        <f t="shared" si="0"/>
        <v>0</v>
      </c>
      <c r="G24" s="11">
        <f t="shared" si="1"/>
        <v>0</v>
      </c>
      <c r="H24" s="14">
        <f t="shared" si="2"/>
        <v>0</v>
      </c>
      <c r="I24" s="11">
        <f t="shared" si="3"/>
        <v>0</v>
      </c>
      <c r="J24" s="14">
        <f t="shared" si="4"/>
        <v>0</v>
      </c>
      <c r="K24" s="11">
        <f t="shared" si="5"/>
        <v>0</v>
      </c>
      <c r="L24" s="62">
        <f t="shared" si="6"/>
        <v>0</v>
      </c>
      <c r="N24" s="12">
        <f t="shared" si="7"/>
        <v>0</v>
      </c>
      <c r="O24" s="62">
        <f t="shared" si="8"/>
        <v>0</v>
      </c>
    </row>
    <row r="25" spans="1:15" s="28" customFormat="1">
      <c r="A25" s="23">
        <v>19</v>
      </c>
      <c r="B25" s="24"/>
      <c r="C25" s="25"/>
      <c r="D25" s="26"/>
      <c r="E25" s="11"/>
      <c r="F25" s="14">
        <f t="shared" si="0"/>
        <v>0</v>
      </c>
      <c r="G25" s="11">
        <f t="shared" si="1"/>
        <v>0</v>
      </c>
      <c r="H25" s="14">
        <f t="shared" si="2"/>
        <v>0</v>
      </c>
      <c r="I25" s="11">
        <f t="shared" si="3"/>
        <v>0</v>
      </c>
      <c r="J25" s="14">
        <f t="shared" si="4"/>
        <v>0</v>
      </c>
      <c r="K25" s="11">
        <f t="shared" si="5"/>
        <v>0</v>
      </c>
      <c r="L25" s="62">
        <f t="shared" si="6"/>
        <v>0</v>
      </c>
      <c r="N25" s="12">
        <f t="shared" si="7"/>
        <v>0</v>
      </c>
      <c r="O25" s="62">
        <f t="shared" si="8"/>
        <v>0</v>
      </c>
    </row>
    <row r="26" spans="1:15" s="7" customFormat="1">
      <c r="A26" s="23">
        <v>20</v>
      </c>
      <c r="B26" s="24"/>
      <c r="C26" s="25"/>
      <c r="D26" s="26"/>
      <c r="E26" s="11"/>
      <c r="F26" s="14">
        <f t="shared" si="0"/>
        <v>0</v>
      </c>
      <c r="G26" s="11">
        <f t="shared" si="1"/>
        <v>0</v>
      </c>
      <c r="H26" s="14">
        <f t="shared" si="2"/>
        <v>0</v>
      </c>
      <c r="I26" s="11">
        <f t="shared" si="3"/>
        <v>0</v>
      </c>
      <c r="J26" s="14">
        <f t="shared" si="4"/>
        <v>0</v>
      </c>
      <c r="K26" s="11">
        <f t="shared" si="5"/>
        <v>0</v>
      </c>
      <c r="L26" s="62">
        <f t="shared" si="6"/>
        <v>0</v>
      </c>
      <c r="N26" s="12">
        <f t="shared" si="7"/>
        <v>0</v>
      </c>
      <c r="O26" s="62">
        <f t="shared" si="8"/>
        <v>0</v>
      </c>
    </row>
    <row r="27" spans="1:15" s="7" customFormat="1">
      <c r="A27" s="23">
        <v>21</v>
      </c>
      <c r="B27" s="24"/>
      <c r="C27" s="25"/>
      <c r="D27" s="26"/>
      <c r="E27" s="11"/>
      <c r="F27" s="14">
        <f t="shared" si="0"/>
        <v>0</v>
      </c>
      <c r="G27" s="11">
        <f t="shared" si="1"/>
        <v>0</v>
      </c>
      <c r="H27" s="14">
        <f t="shared" si="2"/>
        <v>0</v>
      </c>
      <c r="I27" s="11">
        <f t="shared" si="3"/>
        <v>0</v>
      </c>
      <c r="J27" s="14">
        <f t="shared" si="4"/>
        <v>0</v>
      </c>
      <c r="K27" s="11">
        <f t="shared" si="5"/>
        <v>0</v>
      </c>
      <c r="L27" s="62">
        <f t="shared" si="6"/>
        <v>0</v>
      </c>
      <c r="N27" s="12">
        <f t="shared" si="7"/>
        <v>0</v>
      </c>
      <c r="O27" s="62">
        <f t="shared" si="8"/>
        <v>0</v>
      </c>
    </row>
    <row r="28" spans="1:15" s="7" customFormat="1">
      <c r="A28" s="23">
        <v>22</v>
      </c>
      <c r="B28" s="24"/>
      <c r="C28" s="25"/>
      <c r="D28" s="26"/>
      <c r="E28" s="11"/>
      <c r="F28" s="14">
        <f t="shared" si="0"/>
        <v>0</v>
      </c>
      <c r="G28" s="11">
        <f t="shared" si="1"/>
        <v>0</v>
      </c>
      <c r="H28" s="14">
        <f t="shared" si="2"/>
        <v>0</v>
      </c>
      <c r="I28" s="11">
        <f t="shared" si="3"/>
        <v>0</v>
      </c>
      <c r="J28" s="14">
        <f t="shared" si="4"/>
        <v>0</v>
      </c>
      <c r="K28" s="11">
        <f t="shared" si="5"/>
        <v>0</v>
      </c>
      <c r="L28" s="62">
        <f t="shared" si="6"/>
        <v>0</v>
      </c>
      <c r="N28" s="12">
        <f t="shared" si="7"/>
        <v>0</v>
      </c>
      <c r="O28" s="62">
        <f t="shared" si="8"/>
        <v>0</v>
      </c>
    </row>
    <row r="29" spans="1:15" s="7" customFormat="1">
      <c r="A29" s="23">
        <v>23</v>
      </c>
      <c r="B29" s="24"/>
      <c r="C29" s="25"/>
      <c r="D29" s="26"/>
      <c r="E29" s="11"/>
      <c r="F29" s="14">
        <f t="shared" si="0"/>
        <v>0</v>
      </c>
      <c r="G29" s="11">
        <f t="shared" si="1"/>
        <v>0</v>
      </c>
      <c r="H29" s="14">
        <f t="shared" si="2"/>
        <v>0</v>
      </c>
      <c r="I29" s="11">
        <f t="shared" si="3"/>
        <v>0</v>
      </c>
      <c r="J29" s="14">
        <f t="shared" si="4"/>
        <v>0</v>
      </c>
      <c r="K29" s="11">
        <f t="shared" si="5"/>
        <v>0</v>
      </c>
      <c r="L29" s="62">
        <f t="shared" si="6"/>
        <v>0</v>
      </c>
      <c r="N29" s="12">
        <f t="shared" si="7"/>
        <v>0</v>
      </c>
      <c r="O29" s="62">
        <f t="shared" si="8"/>
        <v>0</v>
      </c>
    </row>
    <row r="30" spans="1:15" s="7" customFormat="1" ht="13.5" thickBot="1">
      <c r="A30" s="29">
        <v>24</v>
      </c>
      <c r="B30" s="30"/>
      <c r="C30" s="31"/>
      <c r="D30" s="32"/>
      <c r="E30" s="15"/>
      <c r="F30" s="14">
        <f t="shared" si="0"/>
        <v>0</v>
      </c>
      <c r="G30" s="11">
        <f t="shared" si="1"/>
        <v>0</v>
      </c>
      <c r="H30" s="14">
        <f t="shared" si="2"/>
        <v>0</v>
      </c>
      <c r="I30" s="11">
        <f t="shared" si="3"/>
        <v>0</v>
      </c>
      <c r="J30" s="14">
        <f t="shared" si="4"/>
        <v>0</v>
      </c>
      <c r="K30" s="11">
        <f t="shared" si="5"/>
        <v>0</v>
      </c>
      <c r="L30" s="62">
        <f t="shared" si="6"/>
        <v>0</v>
      </c>
      <c r="N30" s="68">
        <f t="shared" si="7"/>
        <v>0</v>
      </c>
      <c r="O30" s="67">
        <f t="shared" si="8"/>
        <v>0</v>
      </c>
    </row>
    <row r="31" spans="1:15" s="7" customFormat="1" ht="13.5" thickBot="1">
      <c r="A31" s="391" t="s">
        <v>53</v>
      </c>
      <c r="B31" s="392"/>
      <c r="C31" s="35">
        <f>SUM(C7:C30)</f>
        <v>0</v>
      </c>
      <c r="D31" s="34"/>
      <c r="E31" s="17">
        <f>SUM(E7:E30)</f>
        <v>0</v>
      </c>
      <c r="F31" s="17">
        <f t="shared" ref="F31:G31" si="9">SUM(F7:F30)</f>
        <v>0</v>
      </c>
      <c r="G31" s="17">
        <f t="shared" si="9"/>
        <v>0</v>
      </c>
      <c r="H31" s="17">
        <f t="shared" ref="H31:K31" si="10">SUM(H7:H30)</f>
        <v>0</v>
      </c>
      <c r="I31" s="17">
        <f t="shared" si="10"/>
        <v>0</v>
      </c>
      <c r="J31" s="17">
        <f t="shared" si="10"/>
        <v>0</v>
      </c>
      <c r="K31" s="17">
        <f t="shared" si="10"/>
        <v>0</v>
      </c>
      <c r="L31" s="66">
        <f>SUM(L7:L30)</f>
        <v>0</v>
      </c>
      <c r="M31" s="36"/>
      <c r="N31" s="18">
        <f>SUM(N7:N30)</f>
        <v>0</v>
      </c>
      <c r="O31" s="18">
        <f>SUM(O7:O30)</f>
        <v>0</v>
      </c>
    </row>
    <row r="43" spans="3:4">
      <c r="C43" s="401"/>
      <c r="D43" s="401"/>
    </row>
  </sheetData>
  <mergeCells count="4">
    <mergeCell ref="A31:B31"/>
    <mergeCell ref="C43:D43"/>
    <mergeCell ref="A3:D3"/>
    <mergeCell ref="A5:D5"/>
  </mergeCells>
  <phoneticPr fontId="13" type="noConversion"/>
  <printOptions horizontalCentered="1" verticalCentered="1"/>
  <pageMargins left="0" right="0" top="0.59055118110236227" bottom="0.59055118110236227" header="0" footer="0"/>
  <pageSetup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6</vt:i4>
      </vt:variant>
    </vt:vector>
  </HeadingPairs>
  <TitlesOfParts>
    <vt:vector size="20" baseType="lpstr">
      <vt:lpstr>Estudio_de_Mercado</vt:lpstr>
      <vt:lpstr>Hoja6</vt:lpstr>
      <vt:lpstr>Hoja7</vt:lpstr>
      <vt:lpstr>Estimación presupuesto_PERT</vt:lpstr>
      <vt:lpstr>Valores Atipicos</vt:lpstr>
      <vt:lpstr>Hoja3</vt:lpstr>
      <vt:lpstr>Hoja2</vt:lpstr>
      <vt:lpstr>Hoja5</vt:lpstr>
      <vt:lpstr>CONSOLIDADO O.C</vt:lpstr>
      <vt:lpstr>Hoja4</vt:lpstr>
      <vt:lpstr>Hoja1</vt:lpstr>
      <vt:lpstr>CONSOLIDADO_COT_INICIAL</vt:lpstr>
      <vt:lpstr>02.ANÁLISIS SIN TUNEL</vt:lpstr>
      <vt:lpstr>03.INDEXACIÓN DE PRECIOS</vt:lpstr>
      <vt:lpstr>'02.ANÁLISIS SIN TUNEL'!Área_de_impresión</vt:lpstr>
      <vt:lpstr>'03.INDEXACIÓN DE PRECIOS'!Área_de_impresión</vt:lpstr>
      <vt:lpstr>CONSOLIDADO_COT_INICIAL!Área_de_impresión</vt:lpstr>
      <vt:lpstr>'02.ANÁLISIS SIN TUNEL'!Títulos_a_imprimir</vt:lpstr>
      <vt:lpstr>'03.INDEXACIÓN DE PRECIOS'!Títulos_a_imprimir</vt:lpstr>
      <vt:lpstr>CONSOLIDADO_COT_INICIAL!Títulos_a_imprimir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Ospina Sierra</dc:creator>
  <cp:keywords/>
  <dc:description/>
  <cp:lastModifiedBy>LINDA YAZMIN GAMBOA BAQUERO</cp:lastModifiedBy>
  <cp:revision/>
  <dcterms:created xsi:type="dcterms:W3CDTF">2019-12-18T20:27:15Z</dcterms:created>
  <dcterms:modified xsi:type="dcterms:W3CDTF">2026-09-09T19:44:37Z</dcterms:modified>
  <cp:category/>
  <cp:contentStatus/>
</cp:coreProperties>
</file>