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mintic-my.sharepoint.com/personal/jrendon_mintic_gov_co/Documents/MINTIC/2026/CONTRATACIÓN/LICITACION VIGILANCIA/"/>
    </mc:Choice>
  </mc:AlternateContent>
  <xr:revisionPtr revIDLastSave="72" documentId="8_{AADEF346-68EC-418F-B1B3-2B0859454B46}" xr6:coauthVersionLast="47" xr6:coauthVersionMax="47" xr10:uidLastSave="{4FCB680B-E680-4693-8D70-02B741371A36}"/>
  <bookViews>
    <workbookView xWindow="20370" yWindow="-120" windowWidth="20730" windowHeight="11040" xr2:uid="{FF9DE02E-7184-46BE-A56D-4626CB58CD3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N44" i="1" l="1"/>
  <c r="N43" i="1"/>
  <c r="G39" i="1" l="1"/>
  <c r="G38" i="1"/>
  <c r="G37" i="1"/>
  <c r="H37" i="1" s="1"/>
  <c r="I37" i="1" s="1"/>
  <c r="G36" i="1"/>
  <c r="G35" i="1"/>
  <c r="H35" i="1" s="1"/>
  <c r="I35" i="1" s="1"/>
  <c r="G34" i="1"/>
  <c r="G33" i="1"/>
  <c r="H33" i="1" s="1"/>
  <c r="I33" i="1" s="1"/>
  <c r="G32" i="1"/>
  <c r="H32" i="1" s="1"/>
  <c r="G31" i="1"/>
  <c r="H31" i="1" s="1"/>
  <c r="I31" i="1" s="1"/>
  <c r="G30" i="1"/>
  <c r="H30" i="1" s="1"/>
  <c r="G29" i="1"/>
  <c r="H29" i="1" s="1"/>
  <c r="I29" i="1" s="1"/>
  <c r="G28" i="1"/>
  <c r="H28" i="1" s="1"/>
  <c r="G27" i="1"/>
  <c r="H27" i="1" s="1"/>
  <c r="I27" i="1" s="1"/>
  <c r="G26" i="1"/>
  <c r="H26" i="1" s="1"/>
  <c r="G25" i="1"/>
  <c r="H25" i="1" s="1"/>
  <c r="G24" i="1"/>
  <c r="H24" i="1" s="1"/>
  <c r="G23" i="1"/>
  <c r="H23" i="1" s="1"/>
  <c r="G22" i="1"/>
  <c r="H22" i="1" s="1"/>
  <c r="G21" i="1"/>
  <c r="G20" i="1"/>
  <c r="H20" i="1" s="1"/>
  <c r="G19" i="1"/>
  <c r="G18" i="1"/>
  <c r="H18" i="1" s="1"/>
  <c r="G17" i="1"/>
  <c r="H17" i="1" s="1"/>
  <c r="G16" i="1"/>
  <c r="H16" i="1" s="1"/>
  <c r="G15" i="1"/>
  <c r="G14" i="1"/>
  <c r="H14" i="1" s="1"/>
  <c r="G13" i="1"/>
  <c r="G12" i="1"/>
  <c r="H12" i="1" s="1"/>
  <c r="G11" i="1"/>
  <c r="H11" i="1" s="1"/>
  <c r="G10" i="1"/>
  <c r="H10" i="1" s="1"/>
  <c r="G9" i="1"/>
  <c r="G8" i="1"/>
  <c r="H8" i="1" s="1"/>
  <c r="H34" i="1" l="1"/>
  <c r="I34" i="1" s="1"/>
  <c r="J34" i="1" s="1"/>
  <c r="K34" i="1" s="1"/>
  <c r="L34" i="1" s="1"/>
  <c r="H36" i="1"/>
  <c r="I36" i="1" s="1"/>
  <c r="J36" i="1" s="1"/>
  <c r="K36" i="1" s="1"/>
  <c r="L36" i="1" s="1"/>
  <c r="J33" i="1"/>
  <c r="K33" i="1" s="1"/>
  <c r="L33" i="1" s="1"/>
  <c r="J29" i="1"/>
  <c r="K29" i="1" s="1"/>
  <c r="L29" i="1" s="1"/>
  <c r="J37" i="1"/>
  <c r="K37" i="1" s="1"/>
  <c r="L37" i="1" s="1"/>
  <c r="J35" i="1"/>
  <c r="K35" i="1" s="1"/>
  <c r="L35" i="1" s="1"/>
  <c r="J27" i="1"/>
  <c r="K27" i="1" s="1"/>
  <c r="L27" i="1" s="1"/>
  <c r="J31" i="1"/>
  <c r="K31" i="1" s="1"/>
  <c r="L31" i="1" s="1"/>
  <c r="I17" i="1"/>
  <c r="I8" i="1"/>
  <c r="I10" i="1"/>
  <c r="I12" i="1"/>
  <c r="I14" i="1"/>
  <c r="I16" i="1"/>
  <c r="I18" i="1"/>
  <c r="I20" i="1"/>
  <c r="I22" i="1"/>
  <c r="I24" i="1"/>
  <c r="I26" i="1"/>
  <c r="I28" i="1"/>
  <c r="I30" i="1"/>
  <c r="I32" i="1"/>
  <c r="H38" i="1"/>
  <c r="I38" i="1" s="1"/>
  <c r="I25" i="1"/>
  <c r="I11" i="1"/>
  <c r="I23" i="1"/>
  <c r="H9" i="1"/>
  <c r="I9" i="1" s="1"/>
  <c r="H13" i="1"/>
  <c r="I13" i="1" s="1"/>
  <c r="H15" i="1"/>
  <c r="I15" i="1" s="1"/>
  <c r="H19" i="1"/>
  <c r="I19" i="1" s="1"/>
  <c r="H21" i="1"/>
  <c r="I21" i="1" s="1"/>
  <c r="H39" i="1"/>
  <c r="I39" i="1" s="1"/>
  <c r="J21" i="1" l="1"/>
  <c r="K21" i="1" s="1"/>
  <c r="L21" i="1" s="1"/>
  <c r="J9" i="1"/>
  <c r="K9" i="1" s="1"/>
  <c r="L9" i="1" s="1"/>
  <c r="J39" i="1"/>
  <c r="K39" i="1" s="1"/>
  <c r="L39" i="1" s="1"/>
  <c r="J19" i="1"/>
  <c r="K19" i="1" s="1"/>
  <c r="L19" i="1" s="1"/>
  <c r="J13" i="1"/>
  <c r="K13" i="1" s="1"/>
  <c r="L13" i="1" s="1"/>
  <c r="J38" i="1"/>
  <c r="K38" i="1" s="1"/>
  <c r="L38" i="1" s="1"/>
  <c r="J23" i="1"/>
  <c r="K23" i="1" s="1"/>
  <c r="L23" i="1" s="1"/>
  <c r="J30" i="1"/>
  <c r="K30" i="1" s="1"/>
  <c r="L30" i="1" s="1"/>
  <c r="J26" i="1"/>
  <c r="K26" i="1" s="1"/>
  <c r="L26" i="1" s="1"/>
  <c r="J24" i="1"/>
  <c r="K24" i="1" s="1"/>
  <c r="L24" i="1" s="1"/>
  <c r="J20" i="1"/>
  <c r="K20" i="1" s="1"/>
  <c r="L20" i="1" s="1"/>
  <c r="J18" i="1"/>
  <c r="K18" i="1" s="1"/>
  <c r="L18" i="1" s="1"/>
  <c r="J16" i="1"/>
  <c r="K16" i="1" s="1"/>
  <c r="L16" i="1" s="1"/>
  <c r="J14" i="1"/>
  <c r="K14" i="1" s="1"/>
  <c r="L14" i="1" s="1"/>
  <c r="J25" i="1"/>
  <c r="K25" i="1" s="1"/>
  <c r="L25" i="1" s="1"/>
  <c r="J12" i="1"/>
  <c r="K12" i="1" s="1"/>
  <c r="L12" i="1" s="1"/>
  <c r="J17" i="1"/>
  <c r="K17" i="1" s="1"/>
  <c r="L17" i="1" s="1"/>
  <c r="J28" i="1"/>
  <c r="K28" i="1" s="1"/>
  <c r="L28" i="1" s="1"/>
  <c r="J15" i="1"/>
  <c r="K15" i="1" s="1"/>
  <c r="L15" i="1" s="1"/>
  <c r="J22" i="1"/>
  <c r="K22" i="1" s="1"/>
  <c r="L22" i="1" s="1"/>
  <c r="J11" i="1"/>
  <c r="K11" i="1" s="1"/>
  <c r="L11" i="1" s="1"/>
  <c r="J10" i="1"/>
  <c r="K10" i="1" s="1"/>
  <c r="L10" i="1" s="1"/>
  <c r="J32" i="1"/>
  <c r="K32" i="1" s="1"/>
  <c r="L32" i="1" s="1"/>
  <c r="J8" i="1"/>
  <c r="K8" i="1" s="1"/>
  <c r="L8" i="1" s="1"/>
  <c r="L40" i="1" l="1"/>
</calcChain>
</file>

<file path=xl/sharedStrings.xml><?xml version="1.0" encoding="utf-8"?>
<sst xmlns="http://schemas.openxmlformats.org/spreadsheetml/2006/main" count="191" uniqueCount="112">
  <si>
    <t>No.</t>
  </si>
  <si>
    <t>DIRECCIÓN DONDE SE PRESTA EL SERVICIO</t>
  </si>
  <si>
    <t>SERVICIO</t>
  </si>
  <si>
    <t>DESCRIPCIÓN</t>
  </si>
  <si>
    <t>CANTIDAD</t>
  </si>
  <si>
    <t xml:space="preserve">COSTO DIRECTO + SEGURO DE VIDA </t>
  </si>
  <si>
    <t xml:space="preserve">AYS
(8%=SIN ARMA
10%=CON ARMA
11%=CANINO)
</t>
  </si>
  <si>
    <t xml:space="preserve">VALOR ANTES DE IVA </t>
  </si>
  <si>
    <t>BASE DE IVA 10%</t>
  </si>
  <si>
    <t xml:space="preserve">IVA 19%
 (SOBRE BASE IVA 10%) </t>
  </si>
  <si>
    <t xml:space="preserve">TOTAL MENSUAL IVA INCLUIDO </t>
  </si>
  <si>
    <t xml:space="preserve"> Edificio Manuel Murillo Toro Bogotá
Cra. 8,  entre calles 12a y 12b</t>
  </si>
  <si>
    <t>Vigilante Puerta 1 Carrera 7ª</t>
  </si>
  <si>
    <t>24 horas permanentes con arma</t>
  </si>
  <si>
    <t>Vigilante Recepción Carrera 7ª</t>
  </si>
  <si>
    <t xml:space="preserve">12 horas diurnas de lunes a viernes sin arma </t>
  </si>
  <si>
    <t>Vigilante Recepción 1 Primer Piso Carrera 8</t>
  </si>
  <si>
    <t>8 horas diurnas de lunes a viernes</t>
  </si>
  <si>
    <t>Vigilante Recepción 3 Primer Piso Carrera 8</t>
  </si>
  <si>
    <t>Vigilante Punto Servicio al Ciudadano</t>
  </si>
  <si>
    <t>Vigilante Puerta 2 Carrera 8</t>
  </si>
  <si>
    <t>Vigilante local 1</t>
  </si>
  <si>
    <t xml:space="preserve">8 horas diurnas de lunes a viernes sin arma </t>
  </si>
  <si>
    <t>Vigilante local 4</t>
  </si>
  <si>
    <t>Vigilante Punto Digital Murillo Toro</t>
  </si>
  <si>
    <t xml:space="preserve">8 Horas diurnas de lunes a viernes sin arma </t>
  </si>
  <si>
    <t>Vigilante 1 - Sótano</t>
  </si>
  <si>
    <t>Vigilante 2 - Sótano</t>
  </si>
  <si>
    <t>Vigilante 3 - Sótano</t>
  </si>
  <si>
    <t xml:space="preserve">16 horas diurnas lunes a viernes sin arma </t>
  </si>
  <si>
    <t>Vigilante Recepción piso 2</t>
  </si>
  <si>
    <t>Vigilante Recepción piso 3</t>
  </si>
  <si>
    <t xml:space="preserve">12 horas diurnas de  lunes a viernes sin arma </t>
  </si>
  <si>
    <t>Vigilante Recepción piso 4</t>
  </si>
  <si>
    <t>Vigilante Recepción piso 5</t>
  </si>
  <si>
    <t>Vigilante Recepción piso 6</t>
  </si>
  <si>
    <t>Vigilante Recepción piso 7</t>
  </si>
  <si>
    <t>Vigilante Recorredor Sótano, Mezanine, Primer y segundo  Piso</t>
  </si>
  <si>
    <t>Recorredor Terce, cuarto Quinto y Sexto Piso</t>
  </si>
  <si>
    <t xml:space="preserve">12 horas diurnas  de lunes a viernes sin arma </t>
  </si>
  <si>
    <t>Vigilante Recorredor 7 Piso</t>
  </si>
  <si>
    <t xml:space="preserve">Vigilante Recorredor canino </t>
  </si>
  <si>
    <t>12  horas diurnas</t>
  </si>
  <si>
    <t>Calle 3 vereda Cruz Verde, municipio El Rosal, Cundinamarca.</t>
  </si>
  <si>
    <t>Vigilante 1 - Bodega Rosal</t>
  </si>
  <si>
    <t>Vigilante 2 - Bodega Rosal</t>
  </si>
  <si>
    <t>Vigilante 3 - Bodega Rosal</t>
  </si>
  <si>
    <t>Carrera 18 No. 23-239 sector San Sebastián municipio Zambrano, Bolívar</t>
  </si>
  <si>
    <t>Vigilante - Lote Zambrano Bolívar</t>
  </si>
  <si>
    <t>Av. de Las Palmas o Calle 8 No. 18-01 Predio San Rafael del Campo Urbanización la Merced - Fusagasugá</t>
  </si>
  <si>
    <t xml:space="preserve">Vigilante Puerta </t>
  </si>
  <si>
    <t>24 horas permanentes sin arma</t>
  </si>
  <si>
    <t xml:space="preserve">CR. 1 A 4 58
Casanare – Sabanalarga </t>
  </si>
  <si>
    <t xml:space="preserve">4 Horas diurnas de lunes a viernes sin arma </t>
  </si>
  <si>
    <t>KR 7 N 5-30
Ipiales - Nariño</t>
  </si>
  <si>
    <t xml:space="preserve">Corregimiento la Bodega – Bolívar </t>
  </si>
  <si>
    <t>Recorredor</t>
  </si>
  <si>
    <t>1 recorrido por semana</t>
  </si>
  <si>
    <t xml:space="preserve">Corregimiento Pueblo nuevo – Bolívar 
</t>
  </si>
  <si>
    <t xml:space="preserve">Corregimiento Santa Lucia – Bolívar </t>
  </si>
  <si>
    <t>Valor mes servicios vigilancia humana con tarifa 10,21%</t>
  </si>
  <si>
    <t>SEGURO DE VIDA</t>
  </si>
  <si>
    <t>FORMATO OFERTA ECONOMICA</t>
  </si>
  <si>
    <t xml:space="preserve">DESCRIPCION </t>
  </si>
  <si>
    <t>VALOR MENSUAL</t>
  </si>
  <si>
    <t>Valor mes servicios vigilancia humana con tarifa 10,21 / 2026</t>
  </si>
  <si>
    <t>Valor mes servicios vigilancia humana con tarifa 10,21 / 2027-2028</t>
  </si>
  <si>
    <t>SERVICIOS REGULADOS</t>
  </si>
  <si>
    <t>SERVICIOS NO REGULADOS</t>
  </si>
  <si>
    <t>Servicio requerido</t>
  </si>
  <si>
    <t>Descripción del servicio prestado</t>
  </si>
  <si>
    <t>Arma</t>
  </si>
  <si>
    <t>Unidad</t>
  </si>
  <si>
    <t>Cantidad de servicios</t>
  </si>
  <si>
    <t>Supervisor</t>
  </si>
  <si>
    <t>24 horas permanente</t>
  </si>
  <si>
    <t>Sí</t>
  </si>
  <si>
    <t>Mes</t>
  </si>
  <si>
    <t>Operador de medios tecnológicos</t>
  </si>
  <si>
    <t>12 horas diurna de lunes a viernes</t>
  </si>
  <si>
    <t>No</t>
  </si>
  <si>
    <t>ARRENDAMIENTO DE MEDIOS TECNOLOGICOS</t>
  </si>
  <si>
    <t>PRESUPUESTO DE LA ENTIDAD</t>
  </si>
  <si>
    <t>VALOR DE LA OFERTA</t>
  </si>
  <si>
    <t xml:space="preserve">Valor Total Incluido IVA </t>
  </si>
  <si>
    <t>Valor Unitario incluido IVA</t>
  </si>
  <si>
    <t xml:space="preserve"> </t>
  </si>
  <si>
    <t>Máquina de rayos X</t>
  </si>
  <si>
    <t>UNIDAD</t>
  </si>
  <si>
    <t>CANTIDAD DE SERVICIOS</t>
  </si>
  <si>
    <t>Cámara digital tipo IP, resolución 2 MPx, lente y protección IP a escoger según localización, con trabajo día/noche automático, filtro de IR y fuente IR incorporada con cobertura de al menos 10m.</t>
  </si>
  <si>
    <t>Cámara digital tipo IP, resolución de al menos 6 MPx, con lente de 360o, con trabajo día/noche automático. Debe ser compatible con el sistema de grabación. Deben quedar instaladas, cableadas y operativas.</t>
  </si>
  <si>
    <t>Cámara digital tipo IP para exteriores, resolución mínima de 4 MP (2688x1520), sensor CMOS de alta sensibilidad, lente varifocal motorizado de aproximadamente 2.7 mm a 12 mm, con capacidad de ajuste remoto, debe contar con visión nocturna mediante iluminación infrarroja con alcance mínimo de 60 metros, modo día/noche automático con filtro IR mecánico, debe soportar analítica de video basada en inteligencia artificial como detección de intrusión, cruce de línea. Debe ser compatible con el sistema de grabación. Deben quedar instaladas, cableadas y operativas.</t>
  </si>
  <si>
    <t>Cámaras digitales de exterior, tipo IP, PTZ, resolución 2 MPx, lente zoom 30x, protección IP65, con trabajo día/noche automático, filtro de IR y fuente IR incorporada con cobertura de al menos 20m. Debe ser compatible con el sistema de grabación. Deben quedar instaladas, cableadas y operativas.</t>
  </si>
  <si>
    <t>Cámara digital tipo IP, resolución 1,3 MPx, lente varifocal de al menos 10-50 mm, con filtro físico de IR y fuente IR incorporada con cobertura de al menos 15m. protección IP según localización por determinar. Debe ser compatible con el sistema de reconocimiento de placas. Deben quedar instaladas, cableadas y operativas.</t>
  </si>
  <si>
    <t xml:space="preserve">Video Wall de 2x2, formados por monitores de 50” con resolución 3840x2160 real, de esta forma cada video Wall tendrá una resolución real de 7.680x4.320 pixeles, con control total, sobre la posición de imágenes de cámaras en cada uno de los videowall. No es necesario que los monitores serán de “marco ultraestrecho especial para videowall”, pero sí será preferible monitores convencionales con el marco lo más estrecho posible. </t>
  </si>
  <si>
    <t xml:space="preserve">El hardware (servidores, discos, red, etc) del sistema debe estar preparado para ampliar la cantidad de cámaras (convencionales, no 360o) hasta 10 unidades más como margen futuro.
El sistema debe trabajar sobre red TCP/IP de interconexión propia que también debe ser instalada y dimensionada por el licitador, según las capacidades y características de los equipos propuestos. El sistema debe tener dos almacenamientos independientes para mantener redundancia de grabación. No se permite  almacenamiento en ningún tipo de RAID, sino directamente sobre los discos repartiendo la carga de ancho de banda. El sistema debe permitir el visionado en tiempo real de al menos 120 cámaras en simultáneo, sin retardo visible.   Sistema de gestión VMS, mediante servidores de grabación con fuentes redundantes que permitan el flujo de grabación total, sin cortes, con doble puerto de red LAN 1G, con lmacenamiento suficiente para 60 días de grabación continua (no por detección de movimiento ni ninguna otro “ahorro” de  ancho de banda/almacenamiento).   </t>
  </si>
  <si>
    <t>El sistema contará con 2 licencias de detección automática de placas de carro, con posibilidad de realizar listas de permitidos, denegados, etc; cada detección debe contar con una foto del vehículo y debe permitir la selección de las cámaras que obtengan fotos; debe generar reportes por fecha, placa, hora, etc. y estar integrado con el VMS.</t>
  </si>
  <si>
    <t>El sistema contará con 4 licencias de detección automática de cruce; cada detección debe almacenar una foto del evento, debe permitir la selección de las cámaras que obtengan fotos, así como un acceso al instante en video; debe generar reportes por fecha, hora, etc. y estar integrado con el VMS.</t>
  </si>
  <si>
    <t>Cámara digital tipo IP panorámica (fisheye) para exteriores, resolución mínima de 6 MP, con cobertura de 360°, con trabajo día/noche automático, con lente ojo de pez con visualización panorámica completa sin puntos ciegos y capacidad de corrección de imagen (dewarping), Debe contar con protección antivandálica tipo IK10 y ser adecuada para instalación en espacios confinados como cabinas de ascensor. Debe ser compatible con el sistema de grabación. Deben quedar instaladas, cableadas y operativas.</t>
  </si>
  <si>
    <t xml:space="preserve">Suministro de manta balística nivel IIIA o superior, certificada conforme a estándares internacionales vigentes, para apoyo a los esquemas de protección del Ministro(a). </t>
  </si>
  <si>
    <t>Arrendamiento de radio portátil de dos vías con accesorios: Radio portátil de dos vías, resistente, ligero y ergonómico, con clasificación IP55, cumplimiento de requisitos MIL-STD-810 en 11 condiciones ambientales y peso menor a 300 g con batería de alta capacidad. Deberá contar con batería de alta densidad para operación durante un turno completo; indicador LED de batería baja; antena de alta eficiencia y alta inmunidad a interferencias; perfiles de audio seleccionables; parlante de alta potencia y baja distorsión; sistema de supresión de ruido; botón PTT; mínimo dos (2) botones programables y funciones de escaneo prioritario. El arrendamiento deberá incluir todos los elementos necesarios para su correcta y permanente operación, como mínimo: batería, cargador compatible, antena, micrófono con altavoz remoto (RSM) y estuche o elemento de transporte y protección. Todos los componentes y accesorios deberán ser compatibles entre sí y mantenerse en adecuadas condiciones de funcionamiento durante el plazo de ejecución del contrato.</t>
  </si>
  <si>
    <t>Servicio Requerido</t>
  </si>
  <si>
    <r>
      <rPr>
        <b/>
        <sz val="6"/>
        <rFont val="Arial Narrow"/>
        <family val="2"/>
      </rPr>
      <t>Servicio de monitoreo satelital (GPS) para los vehículos de la Entidad:</t>
    </r>
    <r>
      <rPr>
        <sz val="6"/>
        <rFont val="Arial Narrow"/>
        <family val="2"/>
      </rPr>
      <t xml:space="preserve">
Servicios y módulo en alquiler para un total de 18 unidades (vehículos), el cual debe prestar un servicio permanente de funcionamiento, es decir, 7*24. En tal sentido, debe incluir instalación, mantenimiento y desinstalación del sistema a la finalización del plazo de ejecución para los vehículos propiedad de la Entidad.</t>
    </r>
  </si>
  <si>
    <t>VALOR TOTAL MENSUAL</t>
  </si>
  <si>
    <t>VALOR TOTAL 2026</t>
  </si>
  <si>
    <t>VALOR TOTAL 2027</t>
  </si>
  <si>
    <t>VALOR TOTAL 2028</t>
  </si>
  <si>
    <t xml:space="preserve">Valor Total Mensual Incluido IVA </t>
  </si>
  <si>
    <t>Valor Total 2026</t>
  </si>
  <si>
    <t>Valor Total 2027</t>
  </si>
  <si>
    <t>Valor Total 2028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</si>
</sst>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 #,##0_-;\-&quot;$&quot;\ * #,##0_-;_-&quot;$&quot;\ * &quot;-&quot;??_-;_-@_-"/>
    <numFmt numFmtId="165" formatCode="_(&quot;$&quot;\ * #,##0_);_(&quot;$&quot;\ * \(#,##0\);_(&quot;$&quot;\ * &quot;-&quot;??_);_(@_)"/>
    <numFmt numFmtId="166" formatCode="_(&quot;$&quot;\ * #,##0.00_);_(&quot;$&quot;\ * \(#,##0.00\);_(&quot;$&quot;\ * &quot;-&quot;??_);_(@_)"/>
  </numFmts>
  <fonts count="13" x14ac:knownFonts="1">
    <font>
      <sz val="11"/>
      <color theme="1"/>
      <name val="Aptos Narrow"/>
      <family val="2"/>
      <scheme val="minor"/>
    </font>
    <font>
      <sz val="11"/>
      <color theme="1"/>
      <name val="Aptos Narrow"/>
      <family val="2"/>
      <scheme val="minor"/>
    </font>
    <font>
      <b/>
      <sz val="6"/>
      <name val="Arial Narrow"/>
      <family val="2"/>
    </font>
    <font>
      <sz val="6"/>
      <color theme="1"/>
      <name val="Arial Narrow"/>
      <family val="2"/>
    </font>
    <font>
      <b/>
      <sz val="6"/>
      <color rgb="FF000000"/>
      <name val="Arial Narrow"/>
      <family val="2"/>
    </font>
    <font>
      <b/>
      <sz val="6"/>
      <color theme="1"/>
      <name val="Arial Narrow"/>
      <family val="2"/>
    </font>
    <font>
      <sz val="6"/>
      <color rgb="FF000000"/>
      <name val="Arial Narrow"/>
      <family val="2"/>
    </font>
    <font>
      <b/>
      <sz val="5"/>
      <color theme="1"/>
      <name val="Arial Narrow"/>
      <family val="2"/>
    </font>
    <font>
      <sz val="6"/>
      <color rgb="FF444444"/>
      <name val="Arial Narrow"/>
      <family val="2"/>
    </font>
    <font>
      <sz val="11"/>
      <color theme="1"/>
      <name val="Arial Narrow"/>
      <family val="2"/>
    </font>
    <font>
      <b/>
      <sz val="9"/>
      <color theme="1"/>
      <name val="Arial Narrow"/>
      <family val="2"/>
    </font>
    <font>
      <sz val="6"/>
      <name val="Arial Narrow"/>
      <family val="2"/>
    </font>
    <font>
      <sz val="6"/>
      <name val="Aptos Narrow"/>
      <family val="2"/>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2" tint="-9.9978637043366805E-2"/>
        <bgColor indexed="64"/>
      </patternFill>
    </fill>
    <fill>
      <patternFill patternType="solid">
        <fgColor theme="2"/>
        <bgColor indexed="64"/>
      </patternFill>
    </fill>
  </fills>
  <borders count="14">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80">
    <xf numFmtId="0" fontId="0" fillId="0" borderId="0" xfId="0"/>
    <xf numFmtId="0" fontId="3" fillId="0" borderId="0" xfId="0" applyFont="1"/>
    <xf numFmtId="0" fontId="6" fillId="0" borderId="2" xfId="0" applyFont="1" applyBorder="1" applyAlignment="1">
      <alignment horizontal="center" vertical="center" wrapText="1"/>
    </xf>
    <xf numFmtId="164" fontId="3" fillId="0" borderId="2" xfId="1" applyNumberFormat="1" applyFont="1" applyFill="1" applyBorder="1" applyAlignment="1">
      <alignment vertical="center"/>
    </xf>
    <xf numFmtId="44" fontId="3" fillId="0" borderId="2" xfId="1" applyFont="1" applyBorder="1" applyAlignment="1">
      <alignment horizontal="right" vertical="center"/>
    </xf>
    <xf numFmtId="44" fontId="3" fillId="0" borderId="2" xfId="0" applyNumberFormat="1" applyFont="1" applyBorder="1" applyAlignment="1">
      <alignment horizontal="right" vertical="center"/>
    </xf>
    <xf numFmtId="0" fontId="6" fillId="3" borderId="2" xfId="0" applyFont="1" applyFill="1" applyBorder="1" applyAlignment="1">
      <alignment horizontal="center" vertical="center" wrapText="1"/>
    </xf>
    <xf numFmtId="165" fontId="3" fillId="0" borderId="2" xfId="1" applyNumberFormat="1" applyFont="1" applyFill="1" applyBorder="1" applyAlignment="1">
      <alignment vertical="center"/>
    </xf>
    <xf numFmtId="165" fontId="3" fillId="0" borderId="0" xfId="1" applyNumberFormat="1" applyFont="1" applyFill="1" applyBorder="1" applyAlignment="1">
      <alignment horizontal="center" vertical="center"/>
    </xf>
    <xf numFmtId="164" fontId="3" fillId="3" borderId="2" xfId="1" applyNumberFormat="1" applyFont="1" applyFill="1" applyBorder="1" applyAlignment="1">
      <alignment vertical="center"/>
    </xf>
    <xf numFmtId="165" fontId="3" fillId="3" borderId="2" xfId="1" applyNumberFormat="1" applyFont="1" applyFill="1" applyBorder="1" applyAlignment="1">
      <alignment vertical="center"/>
    </xf>
    <xf numFmtId="44" fontId="3" fillId="0" borderId="0" xfId="1" applyFont="1" applyBorder="1"/>
    <xf numFmtId="44" fontId="3" fillId="0" borderId="0" xfId="0" applyNumberFormat="1" applyFont="1"/>
    <xf numFmtId="44" fontId="3" fillId="3" borderId="2" xfId="1" applyFont="1" applyFill="1" applyBorder="1" applyAlignment="1">
      <alignment horizontal="right" vertical="center"/>
    </xf>
    <xf numFmtId="44" fontId="3" fillId="3" borderId="2" xfId="0" applyNumberFormat="1" applyFont="1" applyFill="1" applyBorder="1" applyAlignment="1">
      <alignment horizontal="right" vertical="center"/>
    </xf>
    <xf numFmtId="0" fontId="3" fillId="3" borderId="0" xfId="0" applyFont="1" applyFill="1"/>
    <xf numFmtId="44" fontId="8" fillId="0" borderId="0" xfId="1" applyFont="1" applyBorder="1"/>
    <xf numFmtId="164" fontId="3" fillId="0" borderId="0" xfId="1" applyNumberFormat="1" applyFont="1"/>
    <xf numFmtId="0" fontId="4" fillId="0" borderId="2" xfId="0" applyFont="1" applyBorder="1" applyAlignment="1">
      <alignment horizontal="center" vertical="center" wrapText="1"/>
    </xf>
    <xf numFmtId="0" fontId="5" fillId="0" borderId="2" xfId="0" applyFont="1" applyBorder="1" applyAlignment="1">
      <alignment horizontal="center" vertical="center" wrapText="1"/>
    </xf>
    <xf numFmtId="164" fontId="5" fillId="0" borderId="2" xfId="1" applyNumberFormat="1" applyFont="1" applyFill="1" applyBorder="1" applyAlignment="1">
      <alignment horizontal="center" vertical="center" wrapText="1"/>
    </xf>
    <xf numFmtId="165" fontId="3" fillId="0" borderId="2" xfId="1" applyNumberFormat="1" applyFont="1" applyFill="1" applyBorder="1" applyAlignment="1">
      <alignment horizontal="right" vertical="center"/>
    </xf>
    <xf numFmtId="0" fontId="3" fillId="0" borderId="2" xfId="0" applyFont="1" applyBorder="1"/>
    <xf numFmtId="165" fontId="3" fillId="3" borderId="2" xfId="1" applyNumberFormat="1" applyFont="1" applyFill="1" applyBorder="1" applyAlignment="1">
      <alignment horizontal="right" vertical="center"/>
    </xf>
    <xf numFmtId="0" fontId="3" fillId="3" borderId="2" xfId="0" applyFont="1" applyFill="1" applyBorder="1"/>
    <xf numFmtId="165" fontId="3" fillId="0" borderId="2" xfId="0" applyNumberFormat="1" applyFont="1" applyBorder="1"/>
    <xf numFmtId="166" fontId="7" fillId="0" borderId="2" xfId="0" applyNumberFormat="1" applyFont="1" applyBorder="1" applyAlignment="1">
      <alignment vertical="center"/>
    </xf>
    <xf numFmtId="44" fontId="9" fillId="0" borderId="2" xfId="1" applyFont="1" applyBorder="1" applyAlignment="1" applyProtection="1">
      <alignment horizontal="center"/>
      <protection locked="0"/>
    </xf>
    <xf numFmtId="0" fontId="2" fillId="3" borderId="2" xfId="0" applyFont="1" applyFill="1" applyBorder="1" applyAlignment="1">
      <alignment horizontal="center" vertical="center" wrapText="1"/>
    </xf>
    <xf numFmtId="0" fontId="5" fillId="4" borderId="2" xfId="0" applyFont="1" applyFill="1" applyBorder="1" applyAlignment="1" applyProtection="1">
      <alignment horizontal="center"/>
      <protection locked="0"/>
    </xf>
    <xf numFmtId="0" fontId="2" fillId="0" borderId="2" xfId="0" applyFont="1" applyBorder="1" applyAlignment="1">
      <alignment vertical="center" wrapText="1"/>
    </xf>
    <xf numFmtId="0" fontId="11" fillId="0" borderId="2" xfId="0" applyFont="1" applyBorder="1" applyAlignment="1">
      <alignment horizontal="center" vertical="center"/>
    </xf>
    <xf numFmtId="0" fontId="11" fillId="0" borderId="2" xfId="0" applyFont="1" applyBorder="1"/>
    <xf numFmtId="44" fontId="11" fillId="0" borderId="2" xfId="1" applyFont="1" applyBorder="1"/>
    <xf numFmtId="0" fontId="11" fillId="0" borderId="2" xfId="0" applyFont="1" applyBorder="1" applyAlignment="1">
      <alignment horizontal="center"/>
    </xf>
    <xf numFmtId="44" fontId="11" fillId="0" borderId="2" xfId="1" applyFont="1" applyBorder="1" applyAlignment="1">
      <alignment vertical="center" wrapText="1"/>
    </xf>
    <xf numFmtId="0" fontId="11" fillId="0" borderId="2" xfId="0" applyFont="1" applyBorder="1" applyAlignment="1">
      <alignment horizont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11" fillId="0" borderId="2" xfId="0" applyFont="1" applyBorder="1" applyAlignment="1">
      <alignment horizontal="center" vertical="center" wrapText="1"/>
    </xf>
    <xf numFmtId="0" fontId="2" fillId="0" borderId="2" xfId="0" applyFont="1" applyBorder="1" applyAlignment="1">
      <alignment horizontal="center" vertical="center" wrapText="1"/>
    </xf>
    <xf numFmtId="44" fontId="12" fillId="0" borderId="2" xfId="1" applyFont="1" applyBorder="1" applyAlignment="1">
      <alignment horizontal="center" vertical="center"/>
    </xf>
    <xf numFmtId="0" fontId="3" fillId="0" borderId="2" xfId="0" applyFont="1" applyBorder="1" applyAlignment="1">
      <alignment horizontal="center"/>
    </xf>
    <xf numFmtId="0" fontId="2" fillId="5" borderId="2" xfId="0" applyFont="1" applyFill="1"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 xfId="0" applyFont="1" applyBorder="1" applyAlignment="1">
      <alignment horizontal="center" vertical="center" wrapText="1"/>
    </xf>
    <xf numFmtId="0" fontId="6" fillId="3" borderId="4"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5" fillId="0" borderId="2" xfId="0" applyFont="1" applyBorder="1" applyAlignment="1">
      <alignment horizontal="right" vertical="center"/>
    </xf>
    <xf numFmtId="0" fontId="5" fillId="4" borderId="4" xfId="0" applyFont="1" applyFill="1" applyBorder="1" applyAlignment="1" applyProtection="1">
      <alignment horizontal="center"/>
      <protection locked="0"/>
    </xf>
    <xf numFmtId="0" fontId="5" fillId="4" borderId="5" xfId="0" applyFont="1" applyFill="1" applyBorder="1" applyAlignment="1" applyProtection="1">
      <alignment horizontal="center"/>
      <protection locked="0"/>
    </xf>
    <xf numFmtId="0" fontId="5" fillId="4" borderId="6" xfId="0" applyFont="1" applyFill="1" applyBorder="1" applyAlignment="1" applyProtection="1">
      <alignment horizontal="center"/>
      <protection locked="0"/>
    </xf>
    <xf numFmtId="0" fontId="2" fillId="3" borderId="4" xfId="0" applyFont="1" applyFill="1" applyBorder="1" applyAlignment="1">
      <alignment vertical="center" wrapText="1"/>
    </xf>
    <xf numFmtId="0" fontId="2" fillId="3" borderId="5" xfId="0" applyFont="1" applyFill="1" applyBorder="1" applyAlignment="1">
      <alignment vertical="center" wrapText="1"/>
    </xf>
    <xf numFmtId="0" fontId="2" fillId="3" borderId="6" xfId="0" applyFont="1" applyFill="1" applyBorder="1" applyAlignment="1">
      <alignment vertical="center" wrapText="1"/>
    </xf>
    <xf numFmtId="0" fontId="2" fillId="2" borderId="8"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164" fontId="3" fillId="0" borderId="2" xfId="1" applyNumberFormat="1" applyFont="1" applyFill="1" applyBorder="1" applyAlignment="1">
      <alignment horizontal="center" vertical="center"/>
    </xf>
    <xf numFmtId="165" fontId="3" fillId="0" borderId="2" xfId="1" applyNumberFormat="1" applyFont="1" applyFill="1" applyBorder="1" applyAlignment="1">
      <alignment horizontal="center" vertical="center"/>
    </xf>
    <xf numFmtId="44" fontId="3" fillId="0" borderId="2" xfId="0" applyNumberFormat="1" applyFont="1" applyBorder="1"/>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10" fillId="0" borderId="2" xfId="0" applyFont="1" applyBorder="1" applyAlignment="1">
      <alignment vertical="center" wrapText="1"/>
    </xf>
    <xf numFmtId="0" fontId="10" fillId="0" borderId="4" xfId="0" applyFont="1" applyBorder="1" applyAlignment="1">
      <alignment horizontal="center" vertical="center" wrapText="1"/>
    </xf>
    <xf numFmtId="0" fontId="10" fillId="0" borderId="6" xfId="0" applyFont="1" applyBorder="1" applyAlignment="1">
      <alignment horizontal="center" vertical="center" wrapText="1"/>
    </xf>
    <xf numFmtId="0" fontId="2" fillId="3" borderId="8"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3"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7547D7-8353-44AD-BA79-D77BDB253083}">
  <dimension ref="B1:R75"/>
  <sheetViews>
    <sheetView tabSelected="1" workbookViewId="0">
      <selection activeCell="B1" sqref="B1:Q3"/>
    </sheetView>
  </sheetViews>
  <sheetFormatPr baseColWidth="10" defaultColWidth="20.85546875" defaultRowHeight="8.25" x14ac:dyDescent="0.15"/>
  <cols>
    <col min="1" max="1" width="6.28515625" style="1" customWidth="1"/>
    <col min="2" max="2" width="3.5703125" style="1" bestFit="1" customWidth="1"/>
    <col min="3" max="3" width="32.42578125" style="1" customWidth="1"/>
    <col min="4" max="4" width="14.7109375" style="1" customWidth="1"/>
    <col min="5" max="5" width="17.140625" style="1" customWidth="1"/>
    <col min="6" max="6" width="10.140625" style="1" customWidth="1"/>
    <col min="7" max="7" width="13.7109375" style="1" customWidth="1"/>
    <col min="8" max="8" width="14.85546875" style="1" customWidth="1"/>
    <col min="9" max="9" width="15.140625" style="1" customWidth="1"/>
    <col min="10" max="10" width="18.5703125" style="1" customWidth="1"/>
    <col min="11" max="11" width="12.42578125" style="1" customWidth="1"/>
    <col min="12" max="12" width="16.85546875" style="1" customWidth="1"/>
    <col min="13" max="13" width="24.140625" style="1" customWidth="1"/>
    <col min="14" max="14" width="18.5703125" style="1" customWidth="1"/>
    <col min="15" max="16384" width="20.85546875" style="1"/>
  </cols>
  <sheetData>
    <row r="1" spans="2:17" ht="15.75" customHeight="1" x14ac:dyDescent="0.15">
      <c r="B1" s="60" t="s">
        <v>62</v>
      </c>
      <c r="C1" s="61"/>
      <c r="D1" s="61"/>
      <c r="E1" s="61"/>
      <c r="F1" s="61"/>
      <c r="G1" s="61"/>
      <c r="H1" s="61"/>
      <c r="I1" s="61"/>
      <c r="J1" s="61"/>
      <c r="K1" s="61"/>
      <c r="L1" s="61"/>
      <c r="M1" s="61"/>
      <c r="N1" s="61"/>
      <c r="O1" s="61"/>
      <c r="P1" s="61"/>
      <c r="Q1" s="61"/>
    </row>
    <row r="2" spans="2:17" ht="15" customHeight="1" x14ac:dyDescent="0.15">
      <c r="B2" s="60"/>
      <c r="C2" s="61"/>
      <c r="D2" s="61"/>
      <c r="E2" s="61"/>
      <c r="F2" s="61"/>
      <c r="G2" s="61"/>
      <c r="H2" s="61"/>
      <c r="I2" s="61"/>
      <c r="J2" s="61"/>
      <c r="K2" s="61"/>
      <c r="L2" s="61"/>
      <c r="M2" s="61"/>
      <c r="N2" s="61"/>
      <c r="O2" s="61"/>
      <c r="P2" s="61"/>
      <c r="Q2" s="61"/>
    </row>
    <row r="3" spans="2:17" ht="15.75" customHeight="1" x14ac:dyDescent="0.15">
      <c r="B3" s="60"/>
      <c r="C3" s="61"/>
      <c r="D3" s="61"/>
      <c r="E3" s="61"/>
      <c r="F3" s="61"/>
      <c r="G3" s="61"/>
      <c r="H3" s="61"/>
      <c r="I3" s="61"/>
      <c r="J3" s="61"/>
      <c r="K3" s="61"/>
      <c r="L3" s="61"/>
      <c r="M3" s="61"/>
      <c r="N3" s="61"/>
      <c r="O3" s="61"/>
      <c r="P3" s="61"/>
      <c r="Q3" s="61"/>
    </row>
    <row r="4" spans="2:17" ht="15.75" customHeight="1" x14ac:dyDescent="0.15">
      <c r="B4" s="57"/>
      <c r="C4" s="58"/>
      <c r="D4" s="58"/>
      <c r="E4" s="58"/>
      <c r="F4" s="58"/>
      <c r="G4" s="58"/>
      <c r="H4" s="58"/>
      <c r="I4" s="58"/>
      <c r="J4" s="58"/>
      <c r="K4" s="58"/>
      <c r="L4" s="58"/>
      <c r="M4" s="58"/>
      <c r="N4" s="59"/>
    </row>
    <row r="5" spans="2:17" ht="15.75" customHeight="1" x14ac:dyDescent="0.15">
      <c r="B5" s="60" t="s">
        <v>67</v>
      </c>
      <c r="C5" s="61"/>
      <c r="D5" s="61"/>
      <c r="E5" s="61"/>
      <c r="F5" s="61"/>
      <c r="G5" s="61"/>
      <c r="H5" s="61"/>
      <c r="I5" s="61"/>
      <c r="J5" s="61"/>
      <c r="K5" s="61"/>
      <c r="L5" s="61"/>
      <c r="M5" s="61"/>
      <c r="N5" s="61"/>
      <c r="O5" s="61"/>
      <c r="P5" s="61"/>
      <c r="Q5" s="61"/>
    </row>
    <row r="6" spans="2:17" ht="15.75" customHeight="1" x14ac:dyDescent="0.15">
      <c r="B6" s="62"/>
      <c r="C6" s="63"/>
      <c r="D6" s="63"/>
      <c r="E6" s="63"/>
      <c r="F6" s="63"/>
      <c r="G6" s="63"/>
      <c r="H6" s="63"/>
      <c r="I6" s="63"/>
      <c r="J6" s="63"/>
      <c r="K6" s="63"/>
      <c r="L6" s="63"/>
      <c r="M6" s="63"/>
      <c r="N6" s="63"/>
      <c r="O6" s="63"/>
      <c r="P6" s="63"/>
      <c r="Q6" s="63"/>
    </row>
    <row r="7" spans="2:17" ht="41.25" x14ac:dyDescent="0.15">
      <c r="B7" s="18" t="s">
        <v>0</v>
      </c>
      <c r="C7" s="19" t="s">
        <v>1</v>
      </c>
      <c r="D7" s="18" t="s">
        <v>2</v>
      </c>
      <c r="E7" s="18" t="s">
        <v>3</v>
      </c>
      <c r="F7" s="18" t="s">
        <v>4</v>
      </c>
      <c r="G7" s="18" t="s">
        <v>5</v>
      </c>
      <c r="H7" s="20" t="s">
        <v>6</v>
      </c>
      <c r="I7" s="20" t="s">
        <v>7</v>
      </c>
      <c r="J7" s="20" t="s">
        <v>8</v>
      </c>
      <c r="K7" s="20" t="s">
        <v>9</v>
      </c>
      <c r="L7" s="20" t="s">
        <v>10</v>
      </c>
      <c r="M7" s="20" t="s">
        <v>61</v>
      </c>
      <c r="N7" s="20" t="s">
        <v>104</v>
      </c>
      <c r="O7" s="20" t="s">
        <v>105</v>
      </c>
      <c r="P7" s="20" t="s">
        <v>106</v>
      </c>
      <c r="Q7" s="20" t="s">
        <v>107</v>
      </c>
    </row>
    <row r="8" spans="2:17" ht="16.5" x14ac:dyDescent="0.15">
      <c r="B8" s="2">
        <v>1</v>
      </c>
      <c r="C8" s="2" t="s">
        <v>11</v>
      </c>
      <c r="D8" s="2" t="s">
        <v>12</v>
      </c>
      <c r="E8" s="2" t="s">
        <v>13</v>
      </c>
      <c r="F8" s="2">
        <v>1</v>
      </c>
      <c r="G8" s="7">
        <f>10.21*1750905+5475</f>
        <v>17882215.050000001</v>
      </c>
      <c r="H8" s="4">
        <f>+G8*10%</f>
        <v>1788221.5050000001</v>
      </c>
      <c r="I8" s="5">
        <f>+G8+H8</f>
        <v>19670436.555</v>
      </c>
      <c r="J8" s="4">
        <f>+I8*10%</f>
        <v>1967043.6555000001</v>
      </c>
      <c r="K8" s="4">
        <f>+J8*19%</f>
        <v>373738.29454500001</v>
      </c>
      <c r="L8" s="21">
        <f>ROUND(I8+K8,0)</f>
        <v>20044175</v>
      </c>
      <c r="M8" s="22"/>
      <c r="N8" s="22"/>
      <c r="O8" s="22"/>
      <c r="P8" s="22"/>
      <c r="Q8" s="22"/>
    </row>
    <row r="9" spans="2:17" ht="16.5" x14ac:dyDescent="0.15">
      <c r="B9" s="2">
        <v>2</v>
      </c>
      <c r="C9" s="2" t="s">
        <v>11</v>
      </c>
      <c r="D9" s="2" t="s">
        <v>14</v>
      </c>
      <c r="E9" s="2" t="s">
        <v>15</v>
      </c>
      <c r="F9" s="2">
        <v>1</v>
      </c>
      <c r="G9" s="3">
        <f>+(((((1750905*10.21+5475)*47.59%)/30)*20)/13)*12</f>
        <v>5237013.0106430771</v>
      </c>
      <c r="H9" s="4">
        <f>+G9*8%</f>
        <v>418961.04085144616</v>
      </c>
      <c r="I9" s="5">
        <f t="shared" ref="I9:I32" si="0">+G9+H9</f>
        <v>5655974.051494523</v>
      </c>
      <c r="J9" s="4">
        <f t="shared" ref="J9:J32" si="1">+I9*10%</f>
        <v>565597.40514945227</v>
      </c>
      <c r="K9" s="4">
        <f t="shared" ref="K9:K32" si="2">+J9*19%</f>
        <v>107463.50697839593</v>
      </c>
      <c r="L9" s="21">
        <f t="shared" ref="L9:L32" si="3">ROUND(I9+K9,0)</f>
        <v>5763438</v>
      </c>
      <c r="M9" s="22"/>
      <c r="N9" s="22"/>
      <c r="O9" s="22"/>
      <c r="P9" s="64"/>
      <c r="Q9" s="22"/>
    </row>
    <row r="10" spans="2:17" ht="16.5" x14ac:dyDescent="0.15">
      <c r="B10" s="2">
        <v>3</v>
      </c>
      <c r="C10" s="2" t="s">
        <v>11</v>
      </c>
      <c r="D10" s="2" t="s">
        <v>16</v>
      </c>
      <c r="E10" s="6" t="s">
        <v>17</v>
      </c>
      <c r="F10" s="2">
        <v>1</v>
      </c>
      <c r="G10" s="7">
        <f>+(((((1750905*10.21+5475)*47.59%)/30)*20)/13)*8</f>
        <v>3491342.0070953849</v>
      </c>
      <c r="H10" s="4">
        <f>+G10*8%</f>
        <v>279307.36056763079</v>
      </c>
      <c r="I10" s="5">
        <f t="shared" si="0"/>
        <v>3770649.3676630156</v>
      </c>
      <c r="J10" s="4">
        <f t="shared" si="1"/>
        <v>377064.93676630157</v>
      </c>
      <c r="K10" s="4">
        <f t="shared" si="2"/>
        <v>71642.337985597303</v>
      </c>
      <c r="L10" s="21">
        <f t="shared" si="3"/>
        <v>3842292</v>
      </c>
      <c r="M10" s="22"/>
      <c r="N10" s="22"/>
      <c r="O10" s="22"/>
      <c r="P10" s="65"/>
      <c r="Q10" s="22"/>
    </row>
    <row r="11" spans="2:17" ht="16.5" x14ac:dyDescent="0.15">
      <c r="B11" s="2">
        <v>4</v>
      </c>
      <c r="C11" s="2" t="s">
        <v>11</v>
      </c>
      <c r="D11" s="2" t="s">
        <v>18</v>
      </c>
      <c r="E11" s="2" t="s">
        <v>15</v>
      </c>
      <c r="F11" s="2">
        <v>1</v>
      </c>
      <c r="G11" s="3">
        <f>+(((((1750905*10.21+5475)*47.59%)/30)*20)/13)*12</f>
        <v>5237013.0106430771</v>
      </c>
      <c r="H11" s="4">
        <f>+G11*8%</f>
        <v>418961.04085144616</v>
      </c>
      <c r="I11" s="5">
        <f t="shared" si="0"/>
        <v>5655974.051494523</v>
      </c>
      <c r="J11" s="4">
        <f t="shared" si="1"/>
        <v>565597.40514945227</v>
      </c>
      <c r="K11" s="4">
        <f t="shared" si="2"/>
        <v>107463.50697839593</v>
      </c>
      <c r="L11" s="21">
        <f t="shared" si="3"/>
        <v>5763438</v>
      </c>
      <c r="M11" s="22"/>
      <c r="N11" s="22"/>
      <c r="O11" s="22"/>
      <c r="P11" s="22"/>
      <c r="Q11" s="22"/>
    </row>
    <row r="12" spans="2:17" ht="16.5" x14ac:dyDescent="0.15">
      <c r="B12" s="2">
        <v>5</v>
      </c>
      <c r="C12" s="2" t="s">
        <v>11</v>
      </c>
      <c r="D12" s="2" t="s">
        <v>19</v>
      </c>
      <c r="E12" s="2" t="s">
        <v>15</v>
      </c>
      <c r="F12" s="2">
        <v>1</v>
      </c>
      <c r="G12" s="3">
        <f>+(((((1750905*10.21+5475)*47.59%)/30)*20)/13)*12</f>
        <v>5237013.0106430771</v>
      </c>
      <c r="H12" s="4">
        <f>+G12*8%</f>
        <v>418961.04085144616</v>
      </c>
      <c r="I12" s="5">
        <f t="shared" si="0"/>
        <v>5655974.051494523</v>
      </c>
      <c r="J12" s="4">
        <f t="shared" si="1"/>
        <v>565597.40514945227</v>
      </c>
      <c r="K12" s="4">
        <f t="shared" si="2"/>
        <v>107463.50697839593</v>
      </c>
      <c r="L12" s="21">
        <f t="shared" si="3"/>
        <v>5763438</v>
      </c>
      <c r="M12" s="22"/>
      <c r="N12" s="22"/>
      <c r="O12" s="22"/>
      <c r="P12" s="22"/>
      <c r="Q12" s="22"/>
    </row>
    <row r="13" spans="2:17" ht="16.5" x14ac:dyDescent="0.15">
      <c r="B13" s="2">
        <v>6</v>
      </c>
      <c r="C13" s="2" t="s">
        <v>11</v>
      </c>
      <c r="D13" s="2" t="s">
        <v>20</v>
      </c>
      <c r="E13" s="6" t="s">
        <v>13</v>
      </c>
      <c r="F13" s="2">
        <v>1</v>
      </c>
      <c r="G13" s="7">
        <f>10.21*1750905+(5475*3)</f>
        <v>17893165.050000001</v>
      </c>
      <c r="H13" s="4">
        <f>+G13*10%</f>
        <v>1789316.5050000001</v>
      </c>
      <c r="I13" s="5">
        <f t="shared" si="0"/>
        <v>19682481.555</v>
      </c>
      <c r="J13" s="4">
        <f t="shared" si="1"/>
        <v>1968248.1555000001</v>
      </c>
      <c r="K13" s="4">
        <f t="shared" si="2"/>
        <v>373967.14954500005</v>
      </c>
      <c r="L13" s="21">
        <f t="shared" si="3"/>
        <v>20056449</v>
      </c>
      <c r="M13" s="22"/>
      <c r="N13" s="22"/>
      <c r="O13" s="22"/>
      <c r="P13" s="22"/>
      <c r="Q13" s="22"/>
    </row>
    <row r="14" spans="2:17" ht="16.5" x14ac:dyDescent="0.15">
      <c r="B14" s="2">
        <v>7</v>
      </c>
      <c r="C14" s="2" t="s">
        <v>11</v>
      </c>
      <c r="D14" s="2" t="s">
        <v>21</v>
      </c>
      <c r="E14" s="6" t="s">
        <v>22</v>
      </c>
      <c r="F14" s="2">
        <v>1</v>
      </c>
      <c r="G14" s="7">
        <f>+(((((1750905*10.21+5475)*47.59%)/30)*20)/13)*8</f>
        <v>3491342.0070953849</v>
      </c>
      <c r="H14" s="4">
        <f>+G14*8%</f>
        <v>279307.36056763079</v>
      </c>
      <c r="I14" s="5">
        <f t="shared" si="0"/>
        <v>3770649.3676630156</v>
      </c>
      <c r="J14" s="4">
        <f t="shared" si="1"/>
        <v>377064.93676630157</v>
      </c>
      <c r="K14" s="4">
        <f t="shared" si="2"/>
        <v>71642.337985597303</v>
      </c>
      <c r="L14" s="21">
        <f t="shared" si="3"/>
        <v>3842292</v>
      </c>
      <c r="M14" s="22"/>
      <c r="N14" s="22"/>
      <c r="O14" s="22"/>
      <c r="P14" s="22"/>
      <c r="Q14" s="22"/>
    </row>
    <row r="15" spans="2:17" ht="16.5" x14ac:dyDescent="0.15">
      <c r="B15" s="2">
        <v>8</v>
      </c>
      <c r="C15" s="2" t="s">
        <v>11</v>
      </c>
      <c r="D15" s="2" t="s">
        <v>23</v>
      </c>
      <c r="E15" s="6" t="s">
        <v>22</v>
      </c>
      <c r="F15" s="2">
        <v>1</v>
      </c>
      <c r="G15" s="7">
        <f>+(((((1750905*10.21+5475)*47.59%)/30)*20)/13)*8</f>
        <v>3491342.0070953849</v>
      </c>
      <c r="H15" s="4">
        <f>+G15*8%</f>
        <v>279307.36056763079</v>
      </c>
      <c r="I15" s="5">
        <f t="shared" si="0"/>
        <v>3770649.3676630156</v>
      </c>
      <c r="J15" s="4">
        <f t="shared" si="1"/>
        <v>377064.93676630157</v>
      </c>
      <c r="K15" s="4">
        <f t="shared" si="2"/>
        <v>71642.337985597303</v>
      </c>
      <c r="L15" s="21">
        <f t="shared" si="3"/>
        <v>3842292</v>
      </c>
      <c r="M15" s="22"/>
      <c r="N15" s="22"/>
      <c r="O15" s="22"/>
      <c r="P15" s="22"/>
      <c r="Q15" s="22"/>
    </row>
    <row r="16" spans="2:17" ht="16.5" x14ac:dyDescent="0.15">
      <c r="B16" s="2">
        <v>9</v>
      </c>
      <c r="C16" s="2" t="s">
        <v>11</v>
      </c>
      <c r="D16" s="2" t="s">
        <v>24</v>
      </c>
      <c r="E16" s="6" t="s">
        <v>25</v>
      </c>
      <c r="F16" s="2">
        <v>1</v>
      </c>
      <c r="G16" s="7">
        <f>+(((((1750905*10.21+5475)*47.59%)/30)*20)/13)*8</f>
        <v>3491342.0070953849</v>
      </c>
      <c r="H16" s="4">
        <f>+G16*8%</f>
        <v>279307.36056763079</v>
      </c>
      <c r="I16" s="5">
        <f t="shared" si="0"/>
        <v>3770649.3676630156</v>
      </c>
      <c r="J16" s="4">
        <f t="shared" si="1"/>
        <v>377064.93676630157</v>
      </c>
      <c r="K16" s="4">
        <f t="shared" si="2"/>
        <v>71642.337985597303</v>
      </c>
      <c r="L16" s="21">
        <f t="shared" si="3"/>
        <v>3842292</v>
      </c>
      <c r="M16" s="22"/>
      <c r="N16" s="22"/>
      <c r="O16" s="22"/>
      <c r="P16" s="22"/>
      <c r="Q16" s="22"/>
    </row>
    <row r="17" spans="2:18" ht="16.5" x14ac:dyDescent="0.15">
      <c r="B17" s="2">
        <v>10</v>
      </c>
      <c r="C17" s="2" t="s">
        <v>11</v>
      </c>
      <c r="D17" s="2" t="s">
        <v>26</v>
      </c>
      <c r="E17" s="6" t="s">
        <v>13</v>
      </c>
      <c r="F17" s="2">
        <v>1</v>
      </c>
      <c r="G17" s="7">
        <f>10.21*1750905+(5475*3)</f>
        <v>17893165.050000001</v>
      </c>
      <c r="H17" s="4">
        <f>+G17*10%</f>
        <v>1789316.5050000001</v>
      </c>
      <c r="I17" s="5">
        <f t="shared" si="0"/>
        <v>19682481.555</v>
      </c>
      <c r="J17" s="4">
        <f t="shared" si="1"/>
        <v>1968248.1555000001</v>
      </c>
      <c r="K17" s="4">
        <f t="shared" si="2"/>
        <v>373967.14954500005</v>
      </c>
      <c r="L17" s="21">
        <f t="shared" si="3"/>
        <v>20056449</v>
      </c>
      <c r="M17" s="22"/>
      <c r="N17" s="22"/>
      <c r="O17" s="22"/>
      <c r="P17" s="22"/>
      <c r="Q17" s="22"/>
    </row>
    <row r="18" spans="2:18" ht="16.5" x14ac:dyDescent="0.15">
      <c r="B18" s="2">
        <v>11</v>
      </c>
      <c r="C18" s="2" t="s">
        <v>11</v>
      </c>
      <c r="D18" s="2" t="s">
        <v>27</v>
      </c>
      <c r="E18" s="2" t="s">
        <v>15</v>
      </c>
      <c r="F18" s="2">
        <v>1</v>
      </c>
      <c r="G18" s="9">
        <f>+(((((1750905*10.21+5475)*47.59%)/30)*20)/13)*12</f>
        <v>5237013.0106430771</v>
      </c>
      <c r="H18" s="4">
        <f t="shared" ref="H18:H27" si="4">+G18*8%</f>
        <v>418961.04085144616</v>
      </c>
      <c r="I18" s="5">
        <f t="shared" si="0"/>
        <v>5655974.051494523</v>
      </c>
      <c r="J18" s="4">
        <f t="shared" si="1"/>
        <v>565597.40514945227</v>
      </c>
      <c r="K18" s="4">
        <f t="shared" si="2"/>
        <v>107463.50697839593</v>
      </c>
      <c r="L18" s="21">
        <f t="shared" si="3"/>
        <v>5763438</v>
      </c>
      <c r="M18" s="22"/>
      <c r="N18" s="22"/>
      <c r="O18" s="22"/>
      <c r="P18" s="22"/>
      <c r="Q18" s="65"/>
    </row>
    <row r="19" spans="2:18" ht="16.5" x14ac:dyDescent="0.15">
      <c r="B19" s="2">
        <v>12</v>
      </c>
      <c r="C19" s="2" t="s">
        <v>11</v>
      </c>
      <c r="D19" s="2" t="s">
        <v>28</v>
      </c>
      <c r="E19" s="2" t="s">
        <v>29</v>
      </c>
      <c r="F19" s="2">
        <v>1</v>
      </c>
      <c r="G19" s="10">
        <f>+((((((1750905*10.21+5475)*47.59%)/30)*20)/13)*13)+((((((1750905*10.21+5475)*52.41%)/30)*20)/11)*3)</f>
        <v>7377443.2902036365</v>
      </c>
      <c r="H19" s="4">
        <f t="shared" si="4"/>
        <v>590195.46321629093</v>
      </c>
      <c r="I19" s="5">
        <f t="shared" si="0"/>
        <v>7967638.7534199273</v>
      </c>
      <c r="J19" s="4">
        <f t="shared" si="1"/>
        <v>796763.87534199283</v>
      </c>
      <c r="K19" s="4">
        <f t="shared" si="2"/>
        <v>151385.13631497865</v>
      </c>
      <c r="L19" s="21">
        <f t="shared" si="3"/>
        <v>8119024</v>
      </c>
      <c r="M19" s="22"/>
      <c r="N19" s="22"/>
      <c r="O19" s="22"/>
      <c r="P19" s="65"/>
      <c r="Q19" s="65"/>
      <c r="R19" s="11"/>
    </row>
    <row r="20" spans="2:18" ht="16.5" x14ac:dyDescent="0.15">
      <c r="B20" s="2">
        <v>13</v>
      </c>
      <c r="C20" s="2" t="s">
        <v>11</v>
      </c>
      <c r="D20" s="2" t="s">
        <v>30</v>
      </c>
      <c r="E20" s="2" t="s">
        <v>15</v>
      </c>
      <c r="F20" s="2">
        <v>1</v>
      </c>
      <c r="G20" s="9">
        <f t="shared" ref="G20:G27" si="5">+(((((1750905*10.21+5475)*47.59%)/30)*20)/13)*12</f>
        <v>5237013.0106430771</v>
      </c>
      <c r="H20" s="4">
        <f t="shared" si="4"/>
        <v>418961.04085144616</v>
      </c>
      <c r="I20" s="5">
        <f t="shared" si="0"/>
        <v>5655974.051494523</v>
      </c>
      <c r="J20" s="4">
        <f t="shared" si="1"/>
        <v>565597.40514945227</v>
      </c>
      <c r="K20" s="4">
        <f t="shared" si="2"/>
        <v>107463.50697839593</v>
      </c>
      <c r="L20" s="21">
        <f t="shared" si="3"/>
        <v>5763438</v>
      </c>
      <c r="M20" s="22"/>
      <c r="N20" s="22"/>
      <c r="O20" s="22"/>
      <c r="P20" s="22"/>
      <c r="Q20" s="66"/>
    </row>
    <row r="21" spans="2:18" ht="16.5" x14ac:dyDescent="0.15">
      <c r="B21" s="2">
        <v>14</v>
      </c>
      <c r="C21" s="2" t="s">
        <v>11</v>
      </c>
      <c r="D21" s="2" t="s">
        <v>31</v>
      </c>
      <c r="E21" s="2" t="s">
        <v>32</v>
      </c>
      <c r="F21" s="2">
        <v>1</v>
      </c>
      <c r="G21" s="9">
        <f t="shared" si="5"/>
        <v>5237013.0106430771</v>
      </c>
      <c r="H21" s="4">
        <f t="shared" si="4"/>
        <v>418961.04085144616</v>
      </c>
      <c r="I21" s="5">
        <f t="shared" si="0"/>
        <v>5655974.051494523</v>
      </c>
      <c r="J21" s="4">
        <f t="shared" si="1"/>
        <v>565597.40514945227</v>
      </c>
      <c r="K21" s="4">
        <f t="shared" si="2"/>
        <v>107463.50697839593</v>
      </c>
      <c r="L21" s="21">
        <f t="shared" si="3"/>
        <v>5763438</v>
      </c>
      <c r="M21" s="22"/>
      <c r="N21" s="22"/>
      <c r="O21" s="22"/>
      <c r="P21" s="22"/>
      <c r="Q21" s="22"/>
    </row>
    <row r="22" spans="2:18" ht="16.5" x14ac:dyDescent="0.15">
      <c r="B22" s="2">
        <v>15</v>
      </c>
      <c r="C22" s="2" t="s">
        <v>11</v>
      </c>
      <c r="D22" s="2" t="s">
        <v>33</v>
      </c>
      <c r="E22" s="2" t="s">
        <v>32</v>
      </c>
      <c r="F22" s="2">
        <v>1</v>
      </c>
      <c r="G22" s="9">
        <f t="shared" si="5"/>
        <v>5237013.0106430771</v>
      </c>
      <c r="H22" s="4">
        <f t="shared" si="4"/>
        <v>418961.04085144616</v>
      </c>
      <c r="I22" s="5">
        <f t="shared" si="0"/>
        <v>5655974.051494523</v>
      </c>
      <c r="J22" s="4">
        <f t="shared" si="1"/>
        <v>565597.40514945227</v>
      </c>
      <c r="K22" s="4">
        <f t="shared" si="2"/>
        <v>107463.50697839593</v>
      </c>
      <c r="L22" s="21">
        <f t="shared" si="3"/>
        <v>5763438</v>
      </c>
      <c r="M22" s="22"/>
      <c r="N22" s="22"/>
      <c r="O22" s="22"/>
      <c r="P22" s="22"/>
      <c r="Q22" s="22"/>
    </row>
    <row r="23" spans="2:18" ht="16.5" x14ac:dyDescent="0.15">
      <c r="B23" s="2">
        <v>16</v>
      </c>
      <c r="C23" s="2" t="s">
        <v>11</v>
      </c>
      <c r="D23" s="2" t="s">
        <v>34</v>
      </c>
      <c r="E23" s="2" t="s">
        <v>15</v>
      </c>
      <c r="F23" s="2">
        <v>1</v>
      </c>
      <c r="G23" s="9">
        <f t="shared" si="5"/>
        <v>5237013.0106430771</v>
      </c>
      <c r="H23" s="4">
        <f t="shared" si="4"/>
        <v>418961.04085144616</v>
      </c>
      <c r="I23" s="5">
        <f t="shared" si="0"/>
        <v>5655974.051494523</v>
      </c>
      <c r="J23" s="4">
        <f t="shared" si="1"/>
        <v>565597.40514945227</v>
      </c>
      <c r="K23" s="4">
        <f t="shared" si="2"/>
        <v>107463.50697839593</v>
      </c>
      <c r="L23" s="21">
        <f t="shared" si="3"/>
        <v>5763438</v>
      </c>
      <c r="M23" s="22"/>
      <c r="N23" s="22"/>
      <c r="O23" s="22"/>
      <c r="P23" s="22"/>
      <c r="Q23" s="22"/>
    </row>
    <row r="24" spans="2:18" ht="16.5" x14ac:dyDescent="0.15">
      <c r="B24" s="2">
        <v>17</v>
      </c>
      <c r="C24" s="2" t="s">
        <v>11</v>
      </c>
      <c r="D24" s="2" t="s">
        <v>35</v>
      </c>
      <c r="E24" s="2" t="s">
        <v>15</v>
      </c>
      <c r="F24" s="2">
        <v>1</v>
      </c>
      <c r="G24" s="9">
        <f t="shared" si="5"/>
        <v>5237013.0106430771</v>
      </c>
      <c r="H24" s="4">
        <f t="shared" si="4"/>
        <v>418961.04085144616</v>
      </c>
      <c r="I24" s="5">
        <f t="shared" si="0"/>
        <v>5655974.051494523</v>
      </c>
      <c r="J24" s="4">
        <f t="shared" si="1"/>
        <v>565597.40514945227</v>
      </c>
      <c r="K24" s="4">
        <f t="shared" si="2"/>
        <v>107463.50697839593</v>
      </c>
      <c r="L24" s="21">
        <f t="shared" si="3"/>
        <v>5763438</v>
      </c>
      <c r="M24" s="22"/>
      <c r="N24" s="22"/>
      <c r="O24" s="22"/>
      <c r="P24" s="22"/>
      <c r="Q24" s="22"/>
    </row>
    <row r="25" spans="2:18" ht="16.5" x14ac:dyDescent="0.15">
      <c r="B25" s="2">
        <v>18</v>
      </c>
      <c r="C25" s="2" t="s">
        <v>11</v>
      </c>
      <c r="D25" s="2" t="s">
        <v>36</v>
      </c>
      <c r="E25" s="2" t="s">
        <v>32</v>
      </c>
      <c r="F25" s="2">
        <v>1</v>
      </c>
      <c r="G25" s="9">
        <f t="shared" si="5"/>
        <v>5237013.0106430771</v>
      </c>
      <c r="H25" s="4">
        <f t="shared" si="4"/>
        <v>418961.04085144616</v>
      </c>
      <c r="I25" s="5">
        <f t="shared" si="0"/>
        <v>5655974.051494523</v>
      </c>
      <c r="J25" s="4">
        <f t="shared" si="1"/>
        <v>565597.40514945227</v>
      </c>
      <c r="K25" s="4">
        <f t="shared" si="2"/>
        <v>107463.50697839593</v>
      </c>
      <c r="L25" s="21">
        <f t="shared" si="3"/>
        <v>5763438</v>
      </c>
      <c r="M25" s="22"/>
      <c r="N25" s="22"/>
      <c r="O25" s="22"/>
      <c r="P25" s="22"/>
      <c r="Q25" s="22"/>
    </row>
    <row r="26" spans="2:18" ht="24.75" x14ac:dyDescent="0.15">
      <c r="B26" s="2">
        <v>19</v>
      </c>
      <c r="C26" s="2" t="s">
        <v>11</v>
      </c>
      <c r="D26" s="2" t="s">
        <v>37</v>
      </c>
      <c r="E26" s="2" t="s">
        <v>15</v>
      </c>
      <c r="F26" s="2">
        <v>1</v>
      </c>
      <c r="G26" s="9">
        <f t="shared" si="5"/>
        <v>5237013.0106430771</v>
      </c>
      <c r="H26" s="4">
        <f t="shared" si="4"/>
        <v>418961.04085144616</v>
      </c>
      <c r="I26" s="5">
        <f t="shared" si="0"/>
        <v>5655974.051494523</v>
      </c>
      <c r="J26" s="4">
        <f t="shared" si="1"/>
        <v>565597.40514945227</v>
      </c>
      <c r="K26" s="4">
        <f t="shared" si="2"/>
        <v>107463.50697839593</v>
      </c>
      <c r="L26" s="21">
        <f t="shared" si="3"/>
        <v>5763438</v>
      </c>
      <c r="M26" s="22"/>
      <c r="N26" s="22"/>
      <c r="O26" s="22"/>
      <c r="P26" s="22"/>
      <c r="Q26" s="22"/>
    </row>
    <row r="27" spans="2:18" ht="16.5" x14ac:dyDescent="0.15">
      <c r="B27" s="2">
        <v>20</v>
      </c>
      <c r="C27" s="2" t="s">
        <v>11</v>
      </c>
      <c r="D27" s="2" t="s">
        <v>38</v>
      </c>
      <c r="E27" s="2" t="s">
        <v>39</v>
      </c>
      <c r="F27" s="2">
        <v>1</v>
      </c>
      <c r="G27" s="3">
        <f t="shared" si="5"/>
        <v>5237013.0106430771</v>
      </c>
      <c r="H27" s="4">
        <f t="shared" si="4"/>
        <v>418961.04085144616</v>
      </c>
      <c r="I27" s="5">
        <f t="shared" si="0"/>
        <v>5655974.051494523</v>
      </c>
      <c r="J27" s="4">
        <f t="shared" si="1"/>
        <v>565597.40514945227</v>
      </c>
      <c r="K27" s="4">
        <f t="shared" si="2"/>
        <v>107463.50697839593</v>
      </c>
      <c r="L27" s="21">
        <f t="shared" si="3"/>
        <v>5763438</v>
      </c>
      <c r="M27" s="22"/>
      <c r="N27" s="22"/>
      <c r="O27" s="22"/>
      <c r="P27" s="22"/>
      <c r="Q27" s="22"/>
    </row>
    <row r="28" spans="2:18" s="15" customFormat="1" ht="16.5" x14ac:dyDescent="0.15">
      <c r="B28" s="2">
        <v>21</v>
      </c>
      <c r="C28" s="6" t="s">
        <v>11</v>
      </c>
      <c r="D28" s="6" t="s">
        <v>40</v>
      </c>
      <c r="E28" s="6" t="s">
        <v>13</v>
      </c>
      <c r="F28" s="6">
        <v>1</v>
      </c>
      <c r="G28" s="10">
        <f>10.21*1750905+(5475*3)</f>
        <v>17893165.050000001</v>
      </c>
      <c r="H28" s="13">
        <f>+G28*10%</f>
        <v>1789316.5050000001</v>
      </c>
      <c r="I28" s="14">
        <f t="shared" si="0"/>
        <v>19682481.555</v>
      </c>
      <c r="J28" s="13">
        <f t="shared" si="1"/>
        <v>1968248.1555000001</v>
      </c>
      <c r="K28" s="13">
        <f t="shared" si="2"/>
        <v>373967.14954500005</v>
      </c>
      <c r="L28" s="23">
        <f t="shared" si="3"/>
        <v>20056449</v>
      </c>
      <c r="M28" s="24"/>
      <c r="N28" s="24"/>
      <c r="O28" s="24"/>
      <c r="P28" s="24"/>
      <c r="Q28" s="24"/>
    </row>
    <row r="29" spans="2:18" ht="16.5" x14ac:dyDescent="0.15">
      <c r="B29" s="2">
        <v>22</v>
      </c>
      <c r="C29" s="2" t="s">
        <v>11</v>
      </c>
      <c r="D29" s="2" t="s">
        <v>41</v>
      </c>
      <c r="E29" s="2" t="s">
        <v>42</v>
      </c>
      <c r="F29" s="2">
        <v>1</v>
      </c>
      <c r="G29" s="3">
        <f>+(((((1750905*10.21+5475)*47.59%)/30)*20)/13)*12</f>
        <v>5237013.0106430771</v>
      </c>
      <c r="H29" s="4">
        <f>+G29*11%</f>
        <v>576071.43117073854</v>
      </c>
      <c r="I29" s="5">
        <f t="shared" si="0"/>
        <v>5813084.4418138154</v>
      </c>
      <c r="J29" s="4">
        <f t="shared" si="1"/>
        <v>581308.44418138161</v>
      </c>
      <c r="K29" s="4">
        <f t="shared" si="2"/>
        <v>110448.60439446251</v>
      </c>
      <c r="L29" s="21">
        <f t="shared" si="3"/>
        <v>5923533</v>
      </c>
      <c r="M29" s="22"/>
      <c r="N29" s="22"/>
      <c r="O29" s="22"/>
      <c r="P29" s="22"/>
      <c r="Q29" s="22"/>
    </row>
    <row r="30" spans="2:18" ht="16.5" x14ac:dyDescent="0.15">
      <c r="B30" s="2">
        <v>23</v>
      </c>
      <c r="C30" s="2" t="s">
        <v>43</v>
      </c>
      <c r="D30" s="2" t="s">
        <v>44</v>
      </c>
      <c r="E30" s="2" t="s">
        <v>13</v>
      </c>
      <c r="F30" s="2">
        <v>1</v>
      </c>
      <c r="G30" s="7">
        <f>10.21*1750905+(5475*3)</f>
        <v>17893165.050000001</v>
      </c>
      <c r="H30" s="4">
        <f>+G30*10%</f>
        <v>1789316.5050000001</v>
      </c>
      <c r="I30" s="5">
        <f t="shared" si="0"/>
        <v>19682481.555</v>
      </c>
      <c r="J30" s="4">
        <f t="shared" si="1"/>
        <v>1968248.1555000001</v>
      </c>
      <c r="K30" s="4">
        <f t="shared" si="2"/>
        <v>373967.14954500005</v>
      </c>
      <c r="L30" s="21">
        <f t="shared" si="3"/>
        <v>20056449</v>
      </c>
      <c r="M30" s="22"/>
      <c r="N30" s="22"/>
      <c r="O30" s="22"/>
      <c r="P30" s="22"/>
      <c r="Q30" s="22"/>
    </row>
    <row r="31" spans="2:18" ht="16.5" x14ac:dyDescent="0.15">
      <c r="B31" s="2">
        <v>24</v>
      </c>
      <c r="C31" s="2" t="s">
        <v>43</v>
      </c>
      <c r="D31" s="2" t="s">
        <v>45</v>
      </c>
      <c r="E31" s="2" t="s">
        <v>13</v>
      </c>
      <c r="F31" s="2">
        <v>1</v>
      </c>
      <c r="G31" s="7">
        <f>10.21*1750905+(5475*3)</f>
        <v>17893165.050000001</v>
      </c>
      <c r="H31" s="4">
        <f>+G31*10%</f>
        <v>1789316.5050000001</v>
      </c>
      <c r="I31" s="5">
        <f t="shared" si="0"/>
        <v>19682481.555</v>
      </c>
      <c r="J31" s="4">
        <f t="shared" si="1"/>
        <v>1968248.1555000001</v>
      </c>
      <c r="K31" s="4">
        <f t="shared" si="2"/>
        <v>373967.14954500005</v>
      </c>
      <c r="L31" s="21">
        <f t="shared" si="3"/>
        <v>20056449</v>
      </c>
      <c r="M31" s="22"/>
      <c r="N31" s="22"/>
      <c r="O31" s="22"/>
      <c r="P31" s="22"/>
      <c r="Q31" s="22"/>
    </row>
    <row r="32" spans="2:18" ht="16.5" x14ac:dyDescent="0.15">
      <c r="B32" s="2">
        <v>25</v>
      </c>
      <c r="C32" s="2" t="s">
        <v>43</v>
      </c>
      <c r="D32" s="2" t="s">
        <v>46</v>
      </c>
      <c r="E32" s="2" t="s">
        <v>13</v>
      </c>
      <c r="F32" s="2">
        <v>1</v>
      </c>
      <c r="G32" s="7">
        <f>10.21*1750905+(5475*3)</f>
        <v>17893165.050000001</v>
      </c>
      <c r="H32" s="4">
        <f>+G32*10%</f>
        <v>1789316.5050000001</v>
      </c>
      <c r="I32" s="5">
        <f t="shared" si="0"/>
        <v>19682481.555</v>
      </c>
      <c r="J32" s="4">
        <f t="shared" si="1"/>
        <v>1968248.1555000001</v>
      </c>
      <c r="K32" s="4">
        <f t="shared" si="2"/>
        <v>373967.14954500005</v>
      </c>
      <c r="L32" s="21">
        <f t="shared" si="3"/>
        <v>20056449</v>
      </c>
      <c r="M32" s="22"/>
      <c r="N32" s="22"/>
      <c r="O32" s="22"/>
      <c r="P32" s="22"/>
      <c r="Q32" s="22"/>
    </row>
    <row r="33" spans="2:18" ht="16.5" x14ac:dyDescent="0.15">
      <c r="B33" s="2">
        <v>26</v>
      </c>
      <c r="C33" s="2" t="s">
        <v>47</v>
      </c>
      <c r="D33" s="2" t="s">
        <v>48</v>
      </c>
      <c r="E33" s="2" t="s">
        <v>13</v>
      </c>
      <c r="F33" s="2">
        <v>1</v>
      </c>
      <c r="G33" s="7">
        <f>10.21*1750905+(5475*3)</f>
        <v>17893165.050000001</v>
      </c>
      <c r="H33" s="4">
        <f>+G33*10%</f>
        <v>1789316.5050000001</v>
      </c>
      <c r="I33" s="5">
        <f>+G33+H33</f>
        <v>19682481.555</v>
      </c>
      <c r="J33" s="4">
        <f>+I33*10%</f>
        <v>1968248.1555000001</v>
      </c>
      <c r="K33" s="4">
        <f>+J33*19%</f>
        <v>373967.14954500005</v>
      </c>
      <c r="L33" s="21">
        <f>ROUND(I33+K33,0)</f>
        <v>20056449</v>
      </c>
      <c r="M33" s="25"/>
      <c r="N33" s="22"/>
      <c r="O33" s="22"/>
      <c r="P33" s="22"/>
      <c r="Q33" s="22"/>
    </row>
    <row r="34" spans="2:18" ht="16.5" x14ac:dyDescent="0.15">
      <c r="B34" s="2">
        <v>27</v>
      </c>
      <c r="C34" s="2" t="s">
        <v>49</v>
      </c>
      <c r="D34" s="2" t="s">
        <v>50</v>
      </c>
      <c r="E34" s="2" t="s">
        <v>51</v>
      </c>
      <c r="F34" s="2">
        <v>1</v>
      </c>
      <c r="G34" s="7">
        <f>10.21*1750905+5475</f>
        <v>17882215.050000001</v>
      </c>
      <c r="H34" s="4">
        <f t="shared" ref="H34:H39" si="6">+G34*8%</f>
        <v>1430577.2040000001</v>
      </c>
      <c r="I34" s="5">
        <f>+G34+H34</f>
        <v>19312792.254000001</v>
      </c>
      <c r="J34" s="4">
        <f>+I34*10%</f>
        <v>1931279.2254000001</v>
      </c>
      <c r="K34" s="4">
        <f>+J34*19%</f>
        <v>366943.05282600003</v>
      </c>
      <c r="L34" s="21">
        <f>ROUND(I34+K34,0)</f>
        <v>19679735</v>
      </c>
      <c r="M34" s="22"/>
      <c r="N34" s="22"/>
      <c r="O34" s="22"/>
      <c r="P34" s="22"/>
      <c r="Q34" s="22"/>
    </row>
    <row r="35" spans="2:18" ht="16.5" x14ac:dyDescent="0.15">
      <c r="B35" s="2">
        <v>28</v>
      </c>
      <c r="C35" s="2" t="s">
        <v>52</v>
      </c>
      <c r="D35" s="2" t="s">
        <v>50</v>
      </c>
      <c r="E35" s="2" t="s">
        <v>53</v>
      </c>
      <c r="F35" s="2">
        <v>1</v>
      </c>
      <c r="G35" s="7">
        <f>+(((((1750905*10.21+5475)*47.59%)/30)*20)/13)*4</f>
        <v>1745671.0035476924</v>
      </c>
      <c r="H35" s="4">
        <f t="shared" si="6"/>
        <v>139653.6802838154</v>
      </c>
      <c r="I35" s="5">
        <f t="shared" ref="I35:I36" si="7">+G35+H35</f>
        <v>1885324.6838315078</v>
      </c>
      <c r="J35" s="4">
        <f t="shared" ref="J35:J36" si="8">+I35*10%</f>
        <v>188532.46838315079</v>
      </c>
      <c r="K35" s="4">
        <f t="shared" ref="K35:K36" si="9">+J35*19%</f>
        <v>35821.168992798652</v>
      </c>
      <c r="L35" s="21">
        <f t="shared" ref="L35:L36" si="10">ROUND(I35+K35,0)</f>
        <v>1921146</v>
      </c>
      <c r="M35" s="22"/>
      <c r="N35" s="22"/>
      <c r="O35" s="22"/>
      <c r="P35" s="22"/>
      <c r="Q35" s="22"/>
    </row>
    <row r="36" spans="2:18" ht="16.5" x14ac:dyDescent="0.15">
      <c r="B36" s="2">
        <v>29</v>
      </c>
      <c r="C36" s="2" t="s">
        <v>54</v>
      </c>
      <c r="D36" s="2" t="s">
        <v>50</v>
      </c>
      <c r="E36" s="2" t="s">
        <v>53</v>
      </c>
      <c r="F36" s="2">
        <v>1</v>
      </c>
      <c r="G36" s="7">
        <f>+(((((1750905*10.21+5475)*47.59%)/30)*20)/13)*4</f>
        <v>1745671.0035476924</v>
      </c>
      <c r="H36" s="4">
        <f t="shared" si="6"/>
        <v>139653.6802838154</v>
      </c>
      <c r="I36" s="5">
        <f t="shared" si="7"/>
        <v>1885324.6838315078</v>
      </c>
      <c r="J36" s="4">
        <f t="shared" si="8"/>
        <v>188532.46838315079</v>
      </c>
      <c r="K36" s="4">
        <f t="shared" si="9"/>
        <v>35821.168992798652</v>
      </c>
      <c r="L36" s="21">
        <f t="shared" si="10"/>
        <v>1921146</v>
      </c>
      <c r="M36" s="22"/>
      <c r="N36" s="22"/>
      <c r="O36" s="22"/>
      <c r="P36" s="22"/>
      <c r="Q36" s="22"/>
    </row>
    <row r="37" spans="2:18" s="15" customFormat="1" x14ac:dyDescent="0.15">
      <c r="B37" s="2">
        <v>30</v>
      </c>
      <c r="C37" s="6" t="s">
        <v>55</v>
      </c>
      <c r="D37" s="6" t="s">
        <v>56</v>
      </c>
      <c r="E37" s="6" t="s">
        <v>57</v>
      </c>
      <c r="F37" s="6">
        <v>1</v>
      </c>
      <c r="G37" s="9">
        <f>+(((((1750905*10.21+5475)*47.59%)/30)*4)/13)*2</f>
        <v>174567.10035476927</v>
      </c>
      <c r="H37" s="13">
        <f t="shared" si="6"/>
        <v>13965.368028381541</v>
      </c>
      <c r="I37" s="14">
        <f>+G37+H37</f>
        <v>188532.46838315082</v>
      </c>
      <c r="J37" s="13">
        <f>+I37*10%</f>
        <v>18853.246838315081</v>
      </c>
      <c r="K37" s="13">
        <f>+J37*19%</f>
        <v>3582.1168992798653</v>
      </c>
      <c r="L37" s="23">
        <f>ROUND(I37+K37,0)</f>
        <v>192115</v>
      </c>
      <c r="M37" s="24"/>
      <c r="N37" s="24"/>
      <c r="O37" s="24"/>
      <c r="P37" s="24"/>
      <c r="Q37" s="24"/>
    </row>
    <row r="38" spans="2:18" s="15" customFormat="1" ht="16.5" x14ac:dyDescent="0.15">
      <c r="B38" s="2">
        <v>31</v>
      </c>
      <c r="C38" s="6" t="s">
        <v>58</v>
      </c>
      <c r="D38" s="6" t="s">
        <v>56</v>
      </c>
      <c r="E38" s="6" t="s">
        <v>57</v>
      </c>
      <c r="F38" s="6">
        <v>1</v>
      </c>
      <c r="G38" s="9">
        <f>+(((((1750905*10.21+5475)*47.59%)/30)*4)/13)*2</f>
        <v>174567.10035476927</v>
      </c>
      <c r="H38" s="13">
        <f t="shared" si="6"/>
        <v>13965.368028381541</v>
      </c>
      <c r="I38" s="14">
        <f>+G38+H38</f>
        <v>188532.46838315082</v>
      </c>
      <c r="J38" s="13">
        <f>+I38*10%</f>
        <v>18853.246838315081</v>
      </c>
      <c r="K38" s="13">
        <f>+J38*19%</f>
        <v>3582.1168992798653</v>
      </c>
      <c r="L38" s="23">
        <f>ROUND(I38+K38,0)</f>
        <v>192115</v>
      </c>
      <c r="M38" s="24"/>
      <c r="N38" s="24"/>
      <c r="O38" s="24"/>
      <c r="P38" s="24"/>
      <c r="Q38" s="24"/>
    </row>
    <row r="39" spans="2:18" s="15" customFormat="1" x14ac:dyDescent="0.15">
      <c r="B39" s="2">
        <v>32</v>
      </c>
      <c r="C39" s="6" t="s">
        <v>59</v>
      </c>
      <c r="D39" s="6" t="s">
        <v>56</v>
      </c>
      <c r="E39" s="6" t="s">
        <v>57</v>
      </c>
      <c r="F39" s="6">
        <v>1</v>
      </c>
      <c r="G39" s="9">
        <f>+(((((1750905*10.21+5475)*47.59%)/30)*4)/13)*2</f>
        <v>174567.10035476927</v>
      </c>
      <c r="H39" s="13">
        <f t="shared" si="6"/>
        <v>13965.368028381541</v>
      </c>
      <c r="I39" s="14">
        <f t="shared" ref="I39" si="11">+G39+H39</f>
        <v>188532.46838315082</v>
      </c>
      <c r="J39" s="13">
        <f t="shared" ref="J39" si="12">+I39*10%</f>
        <v>18853.246838315081</v>
      </c>
      <c r="K39" s="13">
        <f t="shared" ref="K39" si="13">+J39*19%</f>
        <v>3582.1168992798653</v>
      </c>
      <c r="L39" s="23">
        <f t="shared" ref="L39" si="14">ROUND(I39+K39,0)</f>
        <v>192115</v>
      </c>
      <c r="M39" s="24"/>
      <c r="N39" s="24"/>
      <c r="O39" s="24"/>
      <c r="P39" s="24"/>
      <c r="Q39" s="24"/>
    </row>
    <row r="40" spans="2:18" x14ac:dyDescent="0.15">
      <c r="B40" s="53" t="s">
        <v>60</v>
      </c>
      <c r="C40" s="53"/>
      <c r="D40" s="53"/>
      <c r="E40" s="53"/>
      <c r="F40" s="53"/>
      <c r="G40" s="53"/>
      <c r="H40" s="53"/>
      <c r="I40" s="53"/>
      <c r="J40" s="53"/>
      <c r="K40" s="53"/>
      <c r="L40" s="26">
        <f>ROUND(SUM(L8:L39),0)</f>
        <v>283110671</v>
      </c>
      <c r="M40" s="22"/>
      <c r="N40" s="22"/>
      <c r="O40" s="22"/>
      <c r="P40" s="22"/>
      <c r="Q40" s="22"/>
    </row>
    <row r="41" spans="2:18" ht="8.25" customHeight="1" x14ac:dyDescent="0.15">
      <c r="E41" s="16"/>
      <c r="F41" s="8"/>
      <c r="L41" s="17"/>
    </row>
    <row r="42" spans="2:18" x14ac:dyDescent="0.15">
      <c r="K42" s="54" t="s">
        <v>63</v>
      </c>
      <c r="L42" s="55"/>
      <c r="M42" s="56"/>
      <c r="N42" s="29" t="s">
        <v>64</v>
      </c>
    </row>
    <row r="43" spans="2:18" ht="16.5" customHeight="1" x14ac:dyDescent="0.3">
      <c r="K43" s="50" t="s">
        <v>65</v>
      </c>
      <c r="L43" s="51"/>
      <c r="M43" s="52"/>
      <c r="N43" s="27">
        <f>+SUM(N8:N33)</f>
        <v>0</v>
      </c>
    </row>
    <row r="44" spans="2:18" ht="16.5" x14ac:dyDescent="0.3">
      <c r="K44" s="50" t="s">
        <v>66</v>
      </c>
      <c r="L44" s="51"/>
      <c r="M44" s="52"/>
      <c r="N44" s="27">
        <f>+SUM(N8:N39)</f>
        <v>0</v>
      </c>
    </row>
    <row r="47" spans="2:18" ht="15" customHeight="1" x14ac:dyDescent="0.15">
      <c r="B47" s="60" t="s">
        <v>68</v>
      </c>
      <c r="C47" s="61"/>
      <c r="D47" s="61"/>
      <c r="E47" s="61"/>
      <c r="F47" s="61"/>
      <c r="G47" s="61"/>
      <c r="H47" s="61"/>
      <c r="I47" s="61"/>
      <c r="J47" s="61"/>
      <c r="K47" s="61"/>
      <c r="L47" s="61"/>
      <c r="M47" s="61"/>
      <c r="N47" s="61"/>
      <c r="O47" s="61"/>
      <c r="P47" s="61"/>
      <c r="Q47" s="61"/>
      <c r="R47" s="61"/>
    </row>
    <row r="48" spans="2:18" x14ac:dyDescent="0.15">
      <c r="B48" s="37"/>
      <c r="C48" s="38"/>
      <c r="D48" s="38"/>
      <c r="E48" s="38"/>
      <c r="F48" s="38"/>
      <c r="G48" s="38"/>
      <c r="H48" s="38"/>
      <c r="I48" s="38"/>
      <c r="J48" s="38"/>
      <c r="K48" s="38"/>
      <c r="L48" s="39"/>
    </row>
    <row r="49" spans="2:18" ht="8.25" customHeight="1" x14ac:dyDescent="0.15">
      <c r="B49" s="37" t="s">
        <v>3</v>
      </c>
      <c r="C49" s="38"/>
      <c r="D49" s="38"/>
      <c r="E49" s="38"/>
      <c r="F49" s="38"/>
      <c r="G49" s="39"/>
      <c r="H49" s="45" t="s">
        <v>82</v>
      </c>
      <c r="I49" s="45"/>
      <c r="J49" s="67" t="s">
        <v>83</v>
      </c>
      <c r="K49" s="68"/>
      <c r="L49" s="68"/>
      <c r="M49" s="68"/>
      <c r="N49" s="68"/>
      <c r="O49" s="68"/>
      <c r="P49" s="68"/>
      <c r="Q49" s="68"/>
      <c r="R49" s="68"/>
    </row>
    <row r="50" spans="2:18" ht="8.25" customHeight="1" x14ac:dyDescent="0.15">
      <c r="B50" s="46" t="s">
        <v>0</v>
      </c>
      <c r="C50" s="42" t="s">
        <v>69</v>
      </c>
      <c r="D50" s="42" t="s">
        <v>70</v>
      </c>
      <c r="E50" s="42" t="s">
        <v>71</v>
      </c>
      <c r="F50" s="42" t="s">
        <v>72</v>
      </c>
      <c r="G50" s="42" t="s">
        <v>73</v>
      </c>
      <c r="H50" s="42" t="s">
        <v>85</v>
      </c>
      <c r="I50" s="42" t="s">
        <v>84</v>
      </c>
      <c r="J50" s="74" t="s">
        <v>85</v>
      </c>
      <c r="K50" s="76" t="s">
        <v>108</v>
      </c>
      <c r="L50" s="77"/>
      <c r="M50" s="46" t="s">
        <v>109</v>
      </c>
      <c r="N50" s="46"/>
      <c r="O50" s="46" t="s">
        <v>110</v>
      </c>
      <c r="P50" s="46"/>
      <c r="Q50" s="46" t="s">
        <v>111</v>
      </c>
      <c r="R50" s="46"/>
    </row>
    <row r="51" spans="2:18" ht="18" customHeight="1" x14ac:dyDescent="0.15">
      <c r="B51" s="46"/>
      <c r="C51" s="42"/>
      <c r="D51" s="42"/>
      <c r="E51" s="42"/>
      <c r="F51" s="42"/>
      <c r="G51" s="42"/>
      <c r="H51" s="42"/>
      <c r="I51" s="42"/>
      <c r="J51" s="75"/>
      <c r="K51" s="78"/>
      <c r="L51" s="79"/>
      <c r="M51" s="46"/>
      <c r="N51" s="46"/>
      <c r="O51" s="46"/>
      <c r="P51" s="46"/>
      <c r="Q51" s="46"/>
      <c r="R51" s="46"/>
    </row>
    <row r="52" spans="2:18" x14ac:dyDescent="0.15">
      <c r="B52" s="46">
        <v>1</v>
      </c>
      <c r="C52" s="47" t="s">
        <v>74</v>
      </c>
      <c r="D52" s="47" t="s">
        <v>75</v>
      </c>
      <c r="E52" s="47" t="s">
        <v>76</v>
      </c>
      <c r="F52" s="47" t="s">
        <v>77</v>
      </c>
      <c r="G52" s="47">
        <v>1</v>
      </c>
      <c r="H52" s="43">
        <v>21634467</v>
      </c>
      <c r="I52" s="43">
        <v>21634467</v>
      </c>
      <c r="J52" s="43"/>
      <c r="K52" s="44" t="s">
        <v>86</v>
      </c>
      <c r="L52" s="44"/>
      <c r="M52" s="44" t="s">
        <v>86</v>
      </c>
      <c r="N52" s="44"/>
      <c r="O52" s="44" t="s">
        <v>86</v>
      </c>
      <c r="P52" s="44"/>
      <c r="Q52" s="44" t="s">
        <v>86</v>
      </c>
      <c r="R52" s="44"/>
    </row>
    <row r="53" spans="2:18" x14ac:dyDescent="0.15">
      <c r="B53" s="46"/>
      <c r="C53" s="49"/>
      <c r="D53" s="49"/>
      <c r="E53" s="49"/>
      <c r="F53" s="49"/>
      <c r="G53" s="49"/>
      <c r="H53" s="43"/>
      <c r="I53" s="43"/>
      <c r="J53" s="43"/>
      <c r="K53" s="44"/>
      <c r="L53" s="44"/>
      <c r="M53" s="44"/>
      <c r="N53" s="44"/>
      <c r="O53" s="44"/>
      <c r="P53" s="44"/>
      <c r="Q53" s="44"/>
      <c r="R53" s="44"/>
    </row>
    <row r="54" spans="2:18" x14ac:dyDescent="0.15">
      <c r="B54" s="46"/>
      <c r="C54" s="48"/>
      <c r="D54" s="48"/>
      <c r="E54" s="48"/>
      <c r="F54" s="48"/>
      <c r="G54" s="48"/>
      <c r="H54" s="43"/>
      <c r="I54" s="43"/>
      <c r="J54" s="43"/>
      <c r="K54" s="44"/>
      <c r="L54" s="44"/>
      <c r="M54" s="44"/>
      <c r="N54" s="44"/>
      <c r="O54" s="44"/>
      <c r="P54" s="44"/>
      <c r="Q54" s="44"/>
      <c r="R54" s="44"/>
    </row>
    <row r="55" spans="2:18" ht="8.25" customHeight="1" x14ac:dyDescent="0.15">
      <c r="B55" s="46">
        <v>2</v>
      </c>
      <c r="C55" s="47" t="s">
        <v>78</v>
      </c>
      <c r="D55" s="47" t="s">
        <v>79</v>
      </c>
      <c r="E55" s="47" t="s">
        <v>80</v>
      </c>
      <c r="F55" s="47" t="s">
        <v>77</v>
      </c>
      <c r="G55" s="47">
        <v>1</v>
      </c>
      <c r="H55" s="43">
        <v>6399024</v>
      </c>
      <c r="I55" s="43">
        <v>6399024</v>
      </c>
      <c r="J55" s="43"/>
      <c r="K55" s="44"/>
      <c r="L55" s="44"/>
      <c r="M55" s="44"/>
      <c r="N55" s="44"/>
      <c r="O55" s="44"/>
      <c r="P55" s="44"/>
      <c r="Q55" s="44"/>
      <c r="R55" s="44"/>
    </row>
    <row r="56" spans="2:18" ht="24.75" customHeight="1" x14ac:dyDescent="0.15">
      <c r="B56" s="46"/>
      <c r="C56" s="48"/>
      <c r="D56" s="48"/>
      <c r="E56" s="48"/>
      <c r="F56" s="48"/>
      <c r="G56" s="48"/>
      <c r="H56" s="43"/>
      <c r="I56" s="43"/>
      <c r="J56" s="43"/>
      <c r="K56" s="44"/>
      <c r="L56" s="44"/>
      <c r="M56" s="44"/>
      <c r="N56" s="44"/>
      <c r="O56" s="44"/>
      <c r="P56" s="44"/>
      <c r="Q56" s="44"/>
      <c r="R56" s="44"/>
    </row>
    <row r="57" spans="2:18" ht="14.25" customHeight="1" x14ac:dyDescent="0.15">
      <c r="B57" s="60" t="s">
        <v>81</v>
      </c>
      <c r="C57" s="61"/>
      <c r="D57" s="61"/>
      <c r="E57" s="61"/>
      <c r="F57" s="61"/>
      <c r="G57" s="61"/>
      <c r="H57" s="61"/>
      <c r="I57" s="61"/>
      <c r="J57" s="61"/>
      <c r="K57" s="61"/>
      <c r="L57" s="61"/>
      <c r="M57" s="61"/>
      <c r="N57" s="61"/>
      <c r="O57" s="61"/>
      <c r="P57" s="61"/>
      <c r="Q57" s="61"/>
      <c r="R57" s="61"/>
    </row>
    <row r="58" spans="2:18" ht="9" customHeight="1" x14ac:dyDescent="0.15">
      <c r="B58" s="72"/>
      <c r="C58" s="73"/>
      <c r="D58" s="73"/>
      <c r="E58" s="73"/>
      <c r="F58" s="73"/>
      <c r="G58" s="73"/>
      <c r="H58" s="73"/>
      <c r="I58" s="73"/>
      <c r="J58" s="73"/>
      <c r="K58" s="73"/>
      <c r="L58" s="73"/>
      <c r="M58" s="73"/>
      <c r="N58" s="73"/>
      <c r="O58" s="73"/>
      <c r="P58" s="73"/>
      <c r="Q58" s="73"/>
      <c r="R58" s="73"/>
    </row>
    <row r="59" spans="2:18" ht="8.25" customHeight="1" x14ac:dyDescent="0.15">
      <c r="B59" s="40" t="s">
        <v>3</v>
      </c>
      <c r="C59" s="40"/>
      <c r="D59" s="40"/>
      <c r="E59" s="40"/>
      <c r="F59" s="40"/>
      <c r="G59" s="40"/>
      <c r="H59" s="45" t="s">
        <v>82</v>
      </c>
      <c r="I59" s="45"/>
      <c r="J59" s="67" t="s">
        <v>83</v>
      </c>
      <c r="K59" s="68"/>
      <c r="L59" s="68"/>
      <c r="M59" s="68"/>
      <c r="N59" s="68"/>
      <c r="O59" s="68"/>
      <c r="P59" s="68"/>
      <c r="Q59" s="68"/>
      <c r="R59" s="68"/>
    </row>
    <row r="60" spans="2:18" ht="16.5" x14ac:dyDescent="0.15">
      <c r="B60" s="28" t="s">
        <v>0</v>
      </c>
      <c r="C60" s="40" t="s">
        <v>102</v>
      </c>
      <c r="D60" s="40"/>
      <c r="E60" s="40"/>
      <c r="F60" s="28" t="s">
        <v>88</v>
      </c>
      <c r="G60" s="28" t="s">
        <v>89</v>
      </c>
      <c r="H60" s="28" t="s">
        <v>85</v>
      </c>
      <c r="I60" s="30" t="s">
        <v>84</v>
      </c>
      <c r="J60" s="30" t="s">
        <v>85</v>
      </c>
      <c r="K60" s="42" t="s">
        <v>84</v>
      </c>
      <c r="L60" s="42"/>
      <c r="M60" s="70" t="s">
        <v>109</v>
      </c>
      <c r="N60" s="71"/>
      <c r="O60" s="70" t="s">
        <v>110</v>
      </c>
      <c r="P60" s="71"/>
      <c r="Q60" s="70" t="s">
        <v>111</v>
      </c>
      <c r="R60" s="71"/>
    </row>
    <row r="61" spans="2:18" ht="42.75" customHeight="1" x14ac:dyDescent="0.15">
      <c r="B61" s="31">
        <v>1</v>
      </c>
      <c r="C61" s="41" t="s">
        <v>103</v>
      </c>
      <c r="D61" s="41"/>
      <c r="E61" s="41"/>
      <c r="F61" s="32" t="s">
        <v>77</v>
      </c>
      <c r="G61" s="32">
        <v>18</v>
      </c>
      <c r="H61" s="35">
        <v>2277999</v>
      </c>
      <c r="I61" s="35">
        <v>41003982</v>
      </c>
      <c r="J61" s="30"/>
      <c r="K61" s="30"/>
      <c r="L61" s="30"/>
      <c r="M61" s="69"/>
      <c r="N61" s="69"/>
      <c r="O61" s="69"/>
      <c r="P61" s="69"/>
      <c r="Q61" s="69"/>
      <c r="R61" s="69"/>
    </row>
    <row r="62" spans="2:18" ht="8.25" customHeight="1" x14ac:dyDescent="0.15">
      <c r="B62" s="34">
        <v>2</v>
      </c>
      <c r="C62" s="41" t="s">
        <v>87</v>
      </c>
      <c r="D62" s="41"/>
      <c r="E62" s="41"/>
      <c r="F62" s="32" t="s">
        <v>77</v>
      </c>
      <c r="G62" s="32">
        <v>2</v>
      </c>
      <c r="H62" s="33">
        <v>15994172</v>
      </c>
      <c r="I62" s="33">
        <v>31988344</v>
      </c>
      <c r="J62" s="32"/>
      <c r="K62" s="32"/>
      <c r="L62" s="32"/>
      <c r="M62" s="22"/>
      <c r="N62" s="22"/>
      <c r="O62" s="22"/>
      <c r="P62" s="22"/>
      <c r="Q62" s="22"/>
      <c r="R62" s="22"/>
    </row>
    <row r="63" spans="2:18" ht="26.25" customHeight="1" x14ac:dyDescent="0.15">
      <c r="B63" s="34">
        <v>3</v>
      </c>
      <c r="C63" s="41" t="s">
        <v>90</v>
      </c>
      <c r="D63" s="41"/>
      <c r="E63" s="41"/>
      <c r="F63" s="32" t="s">
        <v>77</v>
      </c>
      <c r="G63" s="32">
        <v>116</v>
      </c>
      <c r="H63" s="33">
        <v>98133</v>
      </c>
      <c r="I63" s="33">
        <v>11383428</v>
      </c>
      <c r="J63" s="32"/>
      <c r="K63" s="32"/>
      <c r="L63" s="32"/>
      <c r="M63" s="22"/>
      <c r="N63" s="22"/>
      <c r="O63" s="22"/>
      <c r="P63" s="22"/>
      <c r="Q63" s="22"/>
      <c r="R63" s="22"/>
    </row>
    <row r="64" spans="2:18" ht="33" customHeight="1" x14ac:dyDescent="0.15">
      <c r="B64" s="31">
        <v>4</v>
      </c>
      <c r="C64" s="36" t="s">
        <v>91</v>
      </c>
      <c r="D64" s="36"/>
      <c r="E64" s="36"/>
      <c r="F64" s="32" t="s">
        <v>77</v>
      </c>
      <c r="G64" s="32">
        <v>19</v>
      </c>
      <c r="H64" s="33">
        <v>565651</v>
      </c>
      <c r="I64" s="33">
        <v>10747369</v>
      </c>
      <c r="J64" s="32"/>
      <c r="K64" s="32"/>
      <c r="L64" s="32"/>
      <c r="M64" s="22"/>
      <c r="N64" s="22"/>
      <c r="O64" s="22"/>
      <c r="P64" s="22"/>
      <c r="Q64" s="22"/>
      <c r="R64" s="22"/>
    </row>
    <row r="65" spans="2:18" ht="54" customHeight="1" x14ac:dyDescent="0.15">
      <c r="B65" s="34">
        <v>5</v>
      </c>
      <c r="C65" s="36" t="s">
        <v>92</v>
      </c>
      <c r="D65" s="36"/>
      <c r="E65" s="36"/>
      <c r="F65" s="32" t="s">
        <v>77</v>
      </c>
      <c r="G65" s="32">
        <v>14</v>
      </c>
      <c r="H65" s="33">
        <v>406286</v>
      </c>
      <c r="I65" s="33">
        <v>5688004</v>
      </c>
      <c r="J65" s="32"/>
      <c r="K65" s="32"/>
      <c r="L65" s="32"/>
      <c r="M65" s="22"/>
      <c r="N65" s="22"/>
      <c r="O65" s="22"/>
      <c r="P65" s="22"/>
      <c r="Q65" s="22"/>
      <c r="R65" s="22"/>
    </row>
    <row r="66" spans="2:18" ht="36" customHeight="1" x14ac:dyDescent="0.15">
      <c r="B66" s="34">
        <v>6</v>
      </c>
      <c r="C66" s="36" t="s">
        <v>93</v>
      </c>
      <c r="D66" s="36"/>
      <c r="E66" s="36"/>
      <c r="F66" s="32" t="s">
        <v>77</v>
      </c>
      <c r="G66" s="32">
        <v>4</v>
      </c>
      <c r="H66" s="33">
        <v>705532</v>
      </c>
      <c r="I66" s="33">
        <v>2822128</v>
      </c>
      <c r="J66" s="32"/>
      <c r="K66" s="32"/>
      <c r="L66" s="32"/>
      <c r="M66" s="22"/>
      <c r="N66" s="22"/>
      <c r="O66" s="22"/>
      <c r="P66" s="22"/>
      <c r="Q66" s="22"/>
      <c r="R66" s="22"/>
    </row>
    <row r="67" spans="2:18" ht="33" customHeight="1" x14ac:dyDescent="0.15">
      <c r="B67" s="31">
        <v>7</v>
      </c>
      <c r="C67" s="36" t="s">
        <v>94</v>
      </c>
      <c r="D67" s="36"/>
      <c r="E67" s="36"/>
      <c r="F67" s="32" t="s">
        <v>77</v>
      </c>
      <c r="G67" s="32">
        <v>2</v>
      </c>
      <c r="H67" s="33">
        <v>575052</v>
      </c>
      <c r="I67" s="33">
        <v>1150104</v>
      </c>
      <c r="J67" s="32"/>
      <c r="K67" s="32"/>
      <c r="L67" s="32"/>
      <c r="M67" s="22"/>
      <c r="N67" s="22"/>
      <c r="O67" s="22"/>
      <c r="P67" s="22"/>
      <c r="Q67" s="22"/>
      <c r="R67" s="22"/>
    </row>
    <row r="68" spans="2:18" ht="33" customHeight="1" x14ac:dyDescent="0.15">
      <c r="B68" s="34">
        <v>8</v>
      </c>
      <c r="C68" s="36" t="s">
        <v>95</v>
      </c>
      <c r="D68" s="36"/>
      <c r="E68" s="36"/>
      <c r="F68" s="32" t="s">
        <v>77</v>
      </c>
      <c r="G68" s="32">
        <v>2</v>
      </c>
      <c r="H68" s="33">
        <v>9034008</v>
      </c>
      <c r="I68" s="33">
        <v>18068016</v>
      </c>
      <c r="J68" s="32"/>
      <c r="K68" s="32"/>
      <c r="L68" s="32"/>
      <c r="M68" s="22"/>
      <c r="N68" s="22"/>
      <c r="O68" s="22"/>
      <c r="P68" s="22"/>
      <c r="Q68" s="22"/>
      <c r="R68" s="22"/>
    </row>
    <row r="69" spans="2:18" ht="89.25" customHeight="1" x14ac:dyDescent="0.15">
      <c r="B69" s="34">
        <v>9</v>
      </c>
      <c r="C69" s="36" t="s">
        <v>96</v>
      </c>
      <c r="D69" s="36"/>
      <c r="E69" s="36"/>
      <c r="F69" s="32" t="s">
        <v>77</v>
      </c>
      <c r="G69" s="32">
        <v>1</v>
      </c>
      <c r="H69" s="33">
        <v>17689097</v>
      </c>
      <c r="I69" s="33">
        <v>17689097</v>
      </c>
      <c r="J69" s="32"/>
      <c r="K69" s="32"/>
      <c r="L69" s="32"/>
      <c r="M69" s="22"/>
      <c r="N69" s="22"/>
      <c r="O69" s="22"/>
      <c r="P69" s="22"/>
      <c r="Q69" s="22"/>
      <c r="R69" s="22"/>
    </row>
    <row r="70" spans="2:18" ht="38.25" customHeight="1" x14ac:dyDescent="0.15">
      <c r="B70" s="31">
        <v>10</v>
      </c>
      <c r="C70" s="36" t="s">
        <v>97</v>
      </c>
      <c r="D70" s="36"/>
      <c r="E70" s="36"/>
      <c r="F70" s="32" t="s">
        <v>77</v>
      </c>
      <c r="G70" s="32">
        <v>2</v>
      </c>
      <c r="H70" s="33">
        <v>322529</v>
      </c>
      <c r="I70" s="33">
        <v>645058</v>
      </c>
      <c r="J70" s="32"/>
      <c r="K70" s="32"/>
      <c r="L70" s="32"/>
      <c r="M70" s="22"/>
      <c r="N70" s="22"/>
      <c r="O70" s="22"/>
      <c r="P70" s="22"/>
      <c r="Q70" s="22"/>
      <c r="R70" s="22"/>
    </row>
    <row r="71" spans="2:18" ht="36.75" customHeight="1" x14ac:dyDescent="0.15">
      <c r="B71" s="34">
        <v>11</v>
      </c>
      <c r="C71" s="36" t="s">
        <v>98</v>
      </c>
      <c r="D71" s="36"/>
      <c r="E71" s="36"/>
      <c r="F71" s="32" t="s">
        <v>77</v>
      </c>
      <c r="G71" s="32">
        <v>4</v>
      </c>
      <c r="H71" s="33">
        <v>215019</v>
      </c>
      <c r="I71" s="33">
        <v>860076</v>
      </c>
      <c r="J71" s="32"/>
      <c r="K71" s="32"/>
      <c r="L71" s="32"/>
      <c r="M71" s="22"/>
      <c r="N71" s="22"/>
      <c r="O71" s="22"/>
      <c r="P71" s="22"/>
      <c r="Q71" s="22"/>
      <c r="R71" s="22"/>
    </row>
    <row r="72" spans="2:18" ht="48" customHeight="1" x14ac:dyDescent="0.15">
      <c r="B72" s="34">
        <v>12</v>
      </c>
      <c r="C72" s="36" t="s">
        <v>99</v>
      </c>
      <c r="D72" s="36"/>
      <c r="E72" s="36"/>
      <c r="F72" s="32" t="s">
        <v>77</v>
      </c>
      <c r="G72" s="32">
        <v>7</v>
      </c>
      <c r="H72" s="33">
        <v>431289</v>
      </c>
      <c r="I72" s="33">
        <v>3019023</v>
      </c>
      <c r="J72" s="32"/>
      <c r="K72" s="32"/>
      <c r="L72" s="32"/>
      <c r="M72" s="22"/>
      <c r="N72" s="22"/>
      <c r="O72" s="22"/>
      <c r="P72" s="22"/>
      <c r="Q72" s="22"/>
      <c r="R72" s="22"/>
    </row>
    <row r="73" spans="2:18" ht="27" customHeight="1" x14ac:dyDescent="0.15">
      <c r="B73" s="31">
        <v>13</v>
      </c>
      <c r="C73" s="36" t="s">
        <v>100</v>
      </c>
      <c r="D73" s="36"/>
      <c r="E73" s="36"/>
      <c r="F73" s="32" t="s">
        <v>77</v>
      </c>
      <c r="G73" s="32">
        <v>1</v>
      </c>
      <c r="H73" s="33">
        <v>11900000</v>
      </c>
      <c r="I73" s="33">
        <v>11900000</v>
      </c>
      <c r="J73" s="32"/>
      <c r="K73" s="32"/>
      <c r="L73" s="32"/>
      <c r="M73" s="22"/>
      <c r="N73" s="22"/>
      <c r="O73" s="22"/>
      <c r="P73" s="22"/>
      <c r="Q73" s="22"/>
      <c r="R73" s="22"/>
    </row>
    <row r="74" spans="2:18" ht="79.5" customHeight="1" x14ac:dyDescent="0.15">
      <c r="B74" s="34">
        <v>14</v>
      </c>
      <c r="C74" s="36" t="s">
        <v>101</v>
      </c>
      <c r="D74" s="36"/>
      <c r="E74" s="36"/>
      <c r="F74" s="32" t="s">
        <v>77</v>
      </c>
      <c r="G74" s="32">
        <v>10</v>
      </c>
      <c r="H74" s="33">
        <v>399305</v>
      </c>
      <c r="I74" s="33">
        <v>3993050</v>
      </c>
      <c r="J74" s="32"/>
      <c r="K74" s="32"/>
      <c r="L74" s="32"/>
      <c r="M74" s="22"/>
      <c r="N74" s="22"/>
      <c r="O74" s="22"/>
      <c r="P74" s="22"/>
      <c r="Q74" s="22"/>
      <c r="R74" s="22"/>
    </row>
    <row r="75" spans="2:18" x14ac:dyDescent="0.15">
      <c r="I75" s="12"/>
    </row>
  </sheetData>
  <sheetProtection sheet="1" objects="1" scenarios="1"/>
  <protectedRanges>
    <protectedRange sqref="B7:L40" name="Rango1"/>
  </protectedRanges>
  <mergeCells count="75">
    <mergeCell ref="O60:P60"/>
    <mergeCell ref="Q60:R60"/>
    <mergeCell ref="B58:R58"/>
    <mergeCell ref="O50:P51"/>
    <mergeCell ref="Q50:R51"/>
    <mergeCell ref="J49:R49"/>
    <mergeCell ref="B47:R47"/>
    <mergeCell ref="J59:R59"/>
    <mergeCell ref="B57:R57"/>
    <mergeCell ref="M52:N54"/>
    <mergeCell ref="M55:N56"/>
    <mergeCell ref="O52:P54"/>
    <mergeCell ref="O55:P56"/>
    <mergeCell ref="Q52:R54"/>
    <mergeCell ref="Q55:R56"/>
    <mergeCell ref="M60:N60"/>
    <mergeCell ref="B40:K40"/>
    <mergeCell ref="K42:M42"/>
    <mergeCell ref="K43:M43"/>
    <mergeCell ref="B5:Q5"/>
    <mergeCell ref="B6:Q6"/>
    <mergeCell ref="B1:Q3"/>
    <mergeCell ref="G50:G51"/>
    <mergeCell ref="K44:M44"/>
    <mergeCell ref="B48:L48"/>
    <mergeCell ref="M50:N51"/>
    <mergeCell ref="B50:B51"/>
    <mergeCell ref="C50:C51"/>
    <mergeCell ref="D50:D51"/>
    <mergeCell ref="E50:E51"/>
    <mergeCell ref="F50:F51"/>
    <mergeCell ref="D55:D56"/>
    <mergeCell ref="E55:E56"/>
    <mergeCell ref="F55:F56"/>
    <mergeCell ref="G55:G56"/>
    <mergeCell ref="B52:B54"/>
    <mergeCell ref="C52:C54"/>
    <mergeCell ref="D52:D54"/>
    <mergeCell ref="E52:E54"/>
    <mergeCell ref="F52:F54"/>
    <mergeCell ref="G52:G54"/>
    <mergeCell ref="H50:H51"/>
    <mergeCell ref="J50:J51"/>
    <mergeCell ref="H49:I49"/>
    <mergeCell ref="I50:I51"/>
    <mergeCell ref="K50:L51"/>
    <mergeCell ref="K60:L60"/>
    <mergeCell ref="C61:E61"/>
    <mergeCell ref="J55:J56"/>
    <mergeCell ref="K52:L54"/>
    <mergeCell ref="K55:L56"/>
    <mergeCell ref="H59:I59"/>
    <mergeCell ref="H52:H54"/>
    <mergeCell ref="H55:H56"/>
    <mergeCell ref="I52:I54"/>
    <mergeCell ref="I55:I56"/>
    <mergeCell ref="J52:J54"/>
    <mergeCell ref="B55:B56"/>
    <mergeCell ref="C55:C56"/>
    <mergeCell ref="C72:E72"/>
    <mergeCell ref="C73:E73"/>
    <mergeCell ref="C74:E74"/>
    <mergeCell ref="B49:G49"/>
    <mergeCell ref="B59:G59"/>
    <mergeCell ref="C60:E60"/>
    <mergeCell ref="C66:E66"/>
    <mergeCell ref="C67:E67"/>
    <mergeCell ref="C68:E68"/>
    <mergeCell ref="C69:E69"/>
    <mergeCell ref="C70:E70"/>
    <mergeCell ref="C71:E71"/>
    <mergeCell ref="C62:E62"/>
    <mergeCell ref="C63:E63"/>
    <mergeCell ref="C64:E64"/>
    <mergeCell ref="C65:E65"/>
  </mergeCells>
  <pageMargins left="0.7" right="0.7" top="0.75" bottom="0.75" header="0.3" footer="0.3"/>
  <pageSetup orientation="portrait" horizontalDpi="30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Carolina Rendon Muneton</dc:creator>
  <cp:lastModifiedBy>Jenny Carolina Rendon Muneton</cp:lastModifiedBy>
  <dcterms:created xsi:type="dcterms:W3CDTF">2026-09-14T16:14:29Z</dcterms:created>
  <dcterms:modified xsi:type="dcterms:W3CDTF">2026-09-14T17:33:49Z</dcterms:modified>
</cp:coreProperties>
</file>