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/>
  <mc:AlternateContent xmlns:mc="http://schemas.openxmlformats.org/markup-compatibility/2006">
    <mc:Choice Requires="x15">
      <x15ac:absPath xmlns:x15ac="http://schemas.microsoft.com/office/spreadsheetml/2010/11/ac" url="C:\Users\71452396\Desktop\Estructuración Procesos 2026\INPEC 2 - Radios\"/>
    </mc:Choice>
  </mc:AlternateContent>
  <xr:revisionPtr revIDLastSave="0" documentId="11_C2B8D81ADE161387179A7931DE652BC2CB343C17" xr6:coauthVersionLast="47" xr6:coauthVersionMax="47" xr10:uidLastSave="{00000000-0000-0000-0000-000000000000}"/>
  <bookViews>
    <workbookView xWindow="-90" yWindow="-90" windowWidth="23235" windowHeight="1243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7" i="1" l="1"/>
  <c r="F26" i="1"/>
  <c r="F25" i="1"/>
  <c r="E27" i="1"/>
  <c r="E26" i="1"/>
  <c r="E25" i="1"/>
  <c r="D27" i="1"/>
  <c r="G27" i="1" s="1"/>
  <c r="H27" i="1" s="1"/>
  <c r="D26" i="1"/>
  <c r="D25" i="1"/>
  <c r="G25" i="1" s="1"/>
  <c r="H25" i="1" s="1"/>
  <c r="H30" i="1" l="1"/>
  <c r="G26" i="1"/>
  <c r="H26" i="1" s="1"/>
  <c r="J25" i="1"/>
  <c r="H31" i="1" l="1"/>
  <c r="H28" i="1"/>
  <c r="J26" i="1"/>
  <c r="J27" i="1"/>
  <c r="Y15" i="1" l="1"/>
  <c r="W6" i="1" l="1"/>
  <c r="U5" i="1"/>
  <c r="V5" i="1" s="1"/>
  <c r="W5" i="1" s="1"/>
  <c r="T6" i="1"/>
  <c r="T7" i="1"/>
  <c r="T8" i="1"/>
  <c r="T9" i="1"/>
  <c r="T4" i="1"/>
  <c r="E16" i="1"/>
  <c r="F16" i="1" l="1"/>
  <c r="G16" i="1" s="1"/>
  <c r="U4" i="1"/>
  <c r="V4" i="1" s="1"/>
  <c r="U9" i="1"/>
  <c r="V9" i="1" s="1"/>
  <c r="W9" i="1" s="1"/>
  <c r="U8" i="1"/>
  <c r="V8" i="1" s="1"/>
  <c r="U7" i="1"/>
  <c r="V7" i="1" s="1"/>
  <c r="E21" i="1"/>
  <c r="E20" i="1"/>
  <c r="E19" i="1"/>
  <c r="E18" i="1"/>
  <c r="E17" i="1"/>
  <c r="R9" i="1"/>
  <c r="S9" i="1" s="1"/>
  <c r="R8" i="1"/>
  <c r="S8" i="1" s="1"/>
  <c r="R7" i="1"/>
  <c r="S7" i="1" s="1"/>
  <c r="R6" i="1"/>
  <c r="S6" i="1" s="1"/>
  <c r="R5" i="1"/>
  <c r="S5" i="1" s="1"/>
  <c r="R4" i="1"/>
  <c r="S4" i="1" s="1"/>
  <c r="F17" i="1" l="1"/>
  <c r="G17" i="1" s="1"/>
  <c r="I17" i="1" s="1"/>
  <c r="J17" i="1" s="1"/>
  <c r="F18" i="1"/>
  <c r="G18" i="1" s="1"/>
  <c r="I18" i="1" s="1"/>
  <c r="J18" i="1" s="1"/>
  <c r="F19" i="1"/>
  <c r="G19" i="1" s="1"/>
  <c r="I19" i="1" s="1"/>
  <c r="J19" i="1" s="1"/>
  <c r="F20" i="1"/>
  <c r="G20" i="1" s="1"/>
  <c r="I20" i="1" s="1"/>
  <c r="J20" i="1" s="1"/>
  <c r="F21" i="1"/>
  <c r="G21" i="1" s="1"/>
  <c r="I21" i="1" s="1"/>
  <c r="X7" i="1"/>
  <c r="Y7" i="1" s="1"/>
  <c r="W7" i="1"/>
  <c r="X8" i="1"/>
  <c r="Y8" i="1" s="1"/>
  <c r="W8" i="1"/>
  <c r="X4" i="1"/>
  <c r="Y4" i="1" s="1"/>
  <c r="Y9" i="1" s="1"/>
  <c r="W4" i="1"/>
  <c r="I16" i="1"/>
  <c r="H16" i="1"/>
  <c r="N9" i="1"/>
  <c r="O9" i="1" s="1"/>
  <c r="P9" i="1" s="1"/>
  <c r="N8" i="1"/>
  <c r="O8" i="1" s="1"/>
  <c r="P8" i="1" s="1"/>
  <c r="N7" i="1"/>
  <c r="O7" i="1" s="1"/>
  <c r="P7" i="1" s="1"/>
  <c r="N6" i="1"/>
  <c r="O6" i="1" s="1"/>
  <c r="P6" i="1" s="1"/>
  <c r="N5" i="1"/>
  <c r="O5" i="1" s="1"/>
  <c r="P5" i="1" s="1"/>
  <c r="N4" i="1"/>
  <c r="O4" i="1" s="1"/>
  <c r="P4" i="1" s="1"/>
  <c r="J9" i="1"/>
  <c r="K9" i="1" s="1"/>
  <c r="L9" i="1" s="1"/>
  <c r="J8" i="1"/>
  <c r="K8" i="1" s="1"/>
  <c r="L8" i="1" s="1"/>
  <c r="J7" i="1"/>
  <c r="K7" i="1" s="1"/>
  <c r="L7" i="1" s="1"/>
  <c r="J6" i="1"/>
  <c r="K6" i="1" s="1"/>
  <c r="L6" i="1" s="1"/>
  <c r="J5" i="1"/>
  <c r="K5" i="1" s="1"/>
  <c r="L5" i="1" s="1"/>
  <c r="J4" i="1"/>
  <c r="K4" i="1" s="1"/>
  <c r="L4" i="1" s="1"/>
  <c r="F8" i="1"/>
  <c r="G8" i="1"/>
  <c r="H8" i="1" s="1"/>
  <c r="F9" i="1"/>
  <c r="G9" i="1" s="1"/>
  <c r="H9" i="1" s="1"/>
  <c r="F7" i="1"/>
  <c r="F5" i="1"/>
  <c r="G5" i="1" s="1"/>
  <c r="H5" i="1" s="1"/>
  <c r="G7" i="1"/>
  <c r="H7" i="1" s="1"/>
  <c r="F4" i="1"/>
  <c r="G4" i="1" s="1"/>
  <c r="H4" i="1" s="1"/>
  <c r="F6" i="1"/>
  <c r="G6" i="1" s="1"/>
  <c r="H6" i="1" s="1"/>
  <c r="J16" i="1" l="1"/>
  <c r="J21" i="1" s="1"/>
  <c r="I22" i="1"/>
  <c r="W17" i="1"/>
  <c r="W10" i="1"/>
  <c r="W16" i="1"/>
  <c r="H17" i="1"/>
  <c r="H18" i="1"/>
  <c r="H19" i="1"/>
  <c r="H20" i="1"/>
  <c r="H21" i="1"/>
  <c r="H22" i="1" l="1"/>
  <c r="H23" i="1" s="1"/>
  <c r="W11" i="1"/>
  <c r="W12" i="1"/>
</calcChain>
</file>

<file path=xl/sharedStrings.xml><?xml version="1.0" encoding="utf-8"?>
<sst xmlns="http://schemas.openxmlformats.org/spreadsheetml/2006/main" count="76" uniqueCount="34">
  <si>
    <t>Validación</t>
  </si>
  <si>
    <t>CRC COMUNICACIONES</t>
  </si>
  <si>
    <t>ISEC</t>
  </si>
  <si>
    <t>MELTEC</t>
  </si>
  <si>
    <t>R &amp; R INGENIERÍA</t>
  </si>
  <si>
    <t>ELEMENTO</t>
  </si>
  <si>
    <t>UNIDAD</t>
  </si>
  <si>
    <t>CANTIDAD</t>
  </si>
  <si>
    <t>VALOR UNITARIO</t>
  </si>
  <si>
    <t>IVA</t>
  </si>
  <si>
    <t>TOTAL UNITARIO</t>
  </si>
  <si>
    <t>TOTAL CANTIDADES</t>
  </si>
  <si>
    <t>VALORES UNITARIOS PROMEDIO</t>
  </si>
  <si>
    <t>Valor Unitario + IVA</t>
  </si>
  <si>
    <t>Valor Total</t>
  </si>
  <si>
    <t>Radio Motorola R7 SIN PANTALLA + Batería de alta Capacidad + LICENCIA DE RADIO SUSCRIPTOR</t>
  </si>
  <si>
    <t>UN</t>
  </si>
  <si>
    <t>Radio Motorola R7 CON PANTALLA  + Batería de alta Capacidad + LICENCIA DE RADIO SUSCRIPTOR</t>
  </si>
  <si>
    <t>Radio motorola R2 - SIN PANTALLA + GPS + BATERÍA + LICENCIA</t>
  </si>
  <si>
    <t xml:space="preserve">Repetidora Motorola SLR 5100 </t>
  </si>
  <si>
    <t xml:space="preserve">Baterías para radio IMPRES de alta capacidad para radios motorola R7  </t>
  </si>
  <si>
    <t xml:space="preserve">Baterías para radio IMPRES de alta capacidad para radios motorola R2  </t>
  </si>
  <si>
    <t>Tasas &amp; Estampillas</t>
  </si>
  <si>
    <t>Costos Indirectos</t>
  </si>
  <si>
    <t>UDEA</t>
  </si>
  <si>
    <t>Total Presupuesto</t>
  </si>
  <si>
    <t>ProDeporte</t>
  </si>
  <si>
    <t>ProInnovacion</t>
  </si>
  <si>
    <t>Justicia_Familiar</t>
  </si>
  <si>
    <t>Concepto</t>
  </si>
  <si>
    <t>Cantidad</t>
  </si>
  <si>
    <t>Valor unitario  promedio</t>
  </si>
  <si>
    <t>Primer pago</t>
  </si>
  <si>
    <t>Segundo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</si>
</sst>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b/>
      <sz val="11"/>
      <color theme="1"/>
      <name val="Aptos Narrow"/>
      <scheme val="minor"/>
    </font>
    <font>
      <b/>
      <sz val="16"/>
      <color theme="1"/>
      <name val="Aptos Narrow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1" xfId="0" applyNumberForma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/>
    </xf>
    <xf numFmtId="164" fontId="0" fillId="7" borderId="1" xfId="1" applyNumberFormat="1" applyFont="1" applyFill="1" applyBorder="1" applyAlignment="1">
      <alignment vertical="center"/>
    </xf>
    <xf numFmtId="164" fontId="0" fillId="7" borderId="1" xfId="0" applyNumberFormat="1" applyFill="1" applyBorder="1" applyAlignment="1">
      <alignment vertical="center"/>
    </xf>
    <xf numFmtId="164" fontId="0" fillId="8" borderId="0" xfId="0" applyNumberFormat="1" applyFill="1" applyAlignment="1">
      <alignment vertical="center"/>
    </xf>
    <xf numFmtId="164" fontId="0" fillId="9" borderId="1" xfId="1" applyNumberFormat="1" applyFont="1" applyFill="1" applyBorder="1" applyAlignment="1">
      <alignment vertical="center"/>
    </xf>
    <xf numFmtId="164" fontId="0" fillId="6" borderId="1" xfId="1" applyNumberFormat="1" applyFont="1" applyFill="1" applyBorder="1" applyAlignment="1">
      <alignment vertical="center"/>
    </xf>
    <xf numFmtId="164" fontId="0" fillId="10" borderId="1" xfId="1" applyNumberFormat="1" applyFont="1" applyFill="1" applyBorder="1" applyAlignment="1">
      <alignment vertical="center"/>
    </xf>
    <xf numFmtId="0" fontId="3" fillId="9" borderId="1" xfId="0" applyFont="1" applyFill="1" applyBorder="1" applyAlignment="1">
      <alignment horizontal="left" vertical="center" wrapText="1"/>
    </xf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vertical="center"/>
    </xf>
    <xf numFmtId="0" fontId="0" fillId="9" borderId="0" xfId="0" applyFill="1" applyAlignment="1">
      <alignment vertical="center"/>
    </xf>
    <xf numFmtId="9" fontId="0" fillId="0" borderId="0" xfId="0" applyNumberFormat="1" applyAlignment="1">
      <alignment horizontal="center" vertical="center"/>
    </xf>
    <xf numFmtId="43" fontId="0" fillId="0" borderId="1" xfId="1" applyFont="1" applyBorder="1" applyAlignment="1">
      <alignment vertical="center"/>
    </xf>
    <xf numFmtId="43" fontId="0" fillId="0" borderId="1" xfId="0" applyNumberForma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164" fontId="0" fillId="0" borderId="0" xfId="1" applyNumberFormat="1" applyFont="1" applyBorder="1" applyAlignment="1">
      <alignment vertical="center"/>
    </xf>
    <xf numFmtId="165" fontId="0" fillId="0" borderId="0" xfId="2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3" fontId="6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43" fontId="7" fillId="0" borderId="0" xfId="0" applyNumberFormat="1" applyFont="1" applyAlignment="1">
      <alignment vertical="center"/>
    </xf>
    <xf numFmtId="0" fontId="4" fillId="11" borderId="0" xfId="0" applyFont="1" applyFill="1" applyAlignment="1">
      <alignment vertical="center"/>
    </xf>
    <xf numFmtId="43" fontId="0" fillId="0" borderId="0" xfId="1" applyFont="1" applyAlignment="1">
      <alignment horizontal="center" vertical="center"/>
    </xf>
    <xf numFmtId="43" fontId="0" fillId="0" borderId="0" xfId="1" applyFont="1" applyAlignment="1">
      <alignment vertical="center"/>
    </xf>
    <xf numFmtId="164" fontId="4" fillId="0" borderId="0" xfId="0" applyNumberFormat="1" applyFont="1" applyAlignment="1">
      <alignment vertical="center"/>
    </xf>
    <xf numFmtId="43" fontId="0" fillId="9" borderId="0" xfId="1" applyFont="1" applyFill="1" applyAlignment="1">
      <alignment vertical="center"/>
    </xf>
    <xf numFmtId="43" fontId="0" fillId="0" borderId="0" xfId="0" applyNumberFormat="1" applyAlignment="1">
      <alignment vertical="center"/>
    </xf>
    <xf numFmtId="0" fontId="4" fillId="10" borderId="0" xfId="0" applyFont="1" applyFill="1" applyAlignment="1">
      <alignment vertical="center"/>
    </xf>
    <xf numFmtId="0" fontId="4" fillId="10" borderId="0" xfId="0" applyFont="1" applyFill="1" applyAlignment="1">
      <alignment horizontal="center" vertical="center"/>
    </xf>
    <xf numFmtId="164" fontId="4" fillId="10" borderId="0" xfId="1" applyNumberFormat="1" applyFont="1" applyFill="1" applyAlignment="1">
      <alignment vertical="center"/>
    </xf>
    <xf numFmtId="164" fontId="4" fillId="10" borderId="0" xfId="1" applyNumberFormat="1" applyFont="1" applyFill="1" applyAlignment="1">
      <alignment vertical="center" wrapText="1"/>
    </xf>
    <xf numFmtId="43" fontId="0" fillId="10" borderId="0" xfId="1" applyFont="1" applyFill="1" applyAlignment="1">
      <alignment vertical="center"/>
    </xf>
    <xf numFmtId="43" fontId="0" fillId="10" borderId="0" xfId="0" applyNumberForma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2"/>
  <sheetViews>
    <sheetView tabSelected="1" zoomScale="70" zoomScaleNormal="70" workbookViewId="0">
      <pane xSplit="4" topLeftCell="E1" activePane="topRight" state="frozen"/>
      <selection pane="topRight" activeCell="F34" sqref="F34"/>
    </sheetView>
  </sheetViews>
  <sheetFormatPr defaultColWidth="11.42578125" defaultRowHeight="14.25"/>
  <cols>
    <col min="1" max="1" width="3.140625" style="5" customWidth="1"/>
    <col min="2" max="2" width="50" style="5" customWidth="1"/>
    <col min="3" max="3" width="11.42578125" style="6"/>
    <col min="4" max="4" width="17.28515625" style="6" customWidth="1"/>
    <col min="5" max="5" width="16.42578125" style="7" bestFit="1" customWidth="1"/>
    <col min="6" max="6" width="16.28515625" style="7" customWidth="1"/>
    <col min="7" max="7" width="17.28515625" style="7" bestFit="1" customWidth="1"/>
    <col min="8" max="8" width="19" style="5" bestFit="1" customWidth="1"/>
    <col min="9" max="9" width="17.7109375" style="5" bestFit="1" customWidth="1"/>
    <col min="10" max="10" width="16" style="5" bestFit="1" customWidth="1"/>
    <col min="11" max="11" width="17.28515625" style="5" bestFit="1" customWidth="1"/>
    <col min="12" max="12" width="19.5703125" style="5" customWidth="1"/>
    <col min="13" max="13" width="17.7109375" style="5" bestFit="1" customWidth="1"/>
    <col min="14" max="14" width="12" style="5" bestFit="1" customWidth="1"/>
    <col min="15" max="15" width="17.28515625" style="5" bestFit="1" customWidth="1"/>
    <col min="16" max="16" width="20.140625" style="5" customWidth="1"/>
    <col min="17" max="17" width="17.7109375" style="5" bestFit="1" customWidth="1"/>
    <col min="18" max="18" width="12" style="5" bestFit="1" customWidth="1"/>
    <col min="19" max="19" width="17.28515625" style="5" bestFit="1" customWidth="1"/>
    <col min="20" max="20" width="35.5703125" style="5" customWidth="1"/>
    <col min="21" max="21" width="16.42578125" style="5" customWidth="1"/>
    <col min="22" max="22" width="21.140625" style="5" customWidth="1"/>
    <col min="23" max="23" width="22.7109375" style="5" customWidth="1"/>
    <col min="24" max="24" width="22" style="5" customWidth="1"/>
    <col min="25" max="25" width="16" style="5" bestFit="1" customWidth="1"/>
    <col min="26" max="16384" width="11.42578125" style="5"/>
  </cols>
  <sheetData>
    <row r="1" spans="2:25" ht="18">
      <c r="U1" s="60" t="s">
        <v>0</v>
      </c>
      <c r="V1" s="60"/>
      <c r="W1" s="60"/>
    </row>
    <row r="2" spans="2:25" ht="15">
      <c r="E2" s="48" t="s">
        <v>1</v>
      </c>
      <c r="F2" s="49"/>
      <c r="G2" s="49"/>
      <c r="H2" s="50"/>
      <c r="I2" s="51" t="s">
        <v>2</v>
      </c>
      <c r="J2" s="52"/>
      <c r="K2" s="52"/>
      <c r="L2" s="53"/>
      <c r="M2" s="54" t="s">
        <v>3</v>
      </c>
      <c r="N2" s="55"/>
      <c r="O2" s="55"/>
      <c r="P2" s="56"/>
      <c r="Q2" s="57" t="s">
        <v>4</v>
      </c>
      <c r="R2" s="58"/>
      <c r="S2" s="58"/>
      <c r="T2" s="59"/>
      <c r="U2" s="24">
        <v>0.19</v>
      </c>
    </row>
    <row r="3" spans="2:25" s="1" customFormat="1" ht="15">
      <c r="B3" s="10" t="s">
        <v>5</v>
      </c>
      <c r="C3" s="10" t="s">
        <v>6</v>
      </c>
      <c r="D3" s="10" t="s">
        <v>7</v>
      </c>
      <c r="E3" s="11" t="s">
        <v>8</v>
      </c>
      <c r="F3" s="11" t="s">
        <v>9</v>
      </c>
      <c r="G3" s="11" t="s">
        <v>10</v>
      </c>
      <c r="H3" s="10" t="s">
        <v>11</v>
      </c>
      <c r="I3" s="11" t="s">
        <v>8</v>
      </c>
      <c r="J3" s="11" t="s">
        <v>9</v>
      </c>
      <c r="K3" s="11" t="s">
        <v>10</v>
      </c>
      <c r="L3" s="10" t="s">
        <v>11</v>
      </c>
      <c r="M3" s="11" t="s">
        <v>8</v>
      </c>
      <c r="N3" s="11" t="s">
        <v>9</v>
      </c>
      <c r="O3" s="11" t="s">
        <v>10</v>
      </c>
      <c r="P3" s="10" t="s">
        <v>11</v>
      </c>
      <c r="Q3" s="11" t="s">
        <v>8</v>
      </c>
      <c r="R3" s="11" t="s">
        <v>9</v>
      </c>
      <c r="S3" s="11" t="s">
        <v>10</v>
      </c>
      <c r="T3" s="11" t="s">
        <v>12</v>
      </c>
      <c r="U3" s="28" t="s">
        <v>9</v>
      </c>
      <c r="V3" s="28" t="s">
        <v>13</v>
      </c>
      <c r="W3" s="28" t="s">
        <v>14</v>
      </c>
    </row>
    <row r="4" spans="2:25" ht="30">
      <c r="B4" s="2" t="s">
        <v>15</v>
      </c>
      <c r="C4" s="3" t="s">
        <v>16</v>
      </c>
      <c r="D4" s="3">
        <v>25</v>
      </c>
      <c r="E4" s="18">
        <v>5390000</v>
      </c>
      <c r="F4" s="4">
        <f>+E4*19%</f>
        <v>1024100</v>
      </c>
      <c r="G4" s="4">
        <f t="shared" ref="G4:G5" si="0">+E4+F4</f>
        <v>6414100</v>
      </c>
      <c r="H4" s="9">
        <f>+D4*G4</f>
        <v>160352500</v>
      </c>
      <c r="I4" s="19">
        <v>4900000</v>
      </c>
      <c r="J4" s="4">
        <f>+I4*19%</f>
        <v>931000</v>
      </c>
      <c r="K4" s="4">
        <f t="shared" ref="K4:K5" si="1">+I4+J4</f>
        <v>5831000</v>
      </c>
      <c r="L4" s="9">
        <f>+K4*D4</f>
        <v>145775000</v>
      </c>
      <c r="M4" s="19">
        <v>4750000</v>
      </c>
      <c r="N4" s="4">
        <f>+M4*19%</f>
        <v>902500</v>
      </c>
      <c r="O4" s="4">
        <f t="shared" ref="O4:O5" si="2">+M4+N4</f>
        <v>5652500</v>
      </c>
      <c r="P4" s="9">
        <f t="shared" ref="P4" si="3">+O4*D4</f>
        <v>141312500</v>
      </c>
      <c r="Q4" s="19">
        <v>4930000</v>
      </c>
      <c r="R4" s="4">
        <f>+Q4*19%</f>
        <v>936700</v>
      </c>
      <c r="S4" s="4">
        <f t="shared" ref="S4:S5" si="4">+Q4+R4</f>
        <v>5866700</v>
      </c>
      <c r="T4" s="9">
        <f>+AVERAGE(I4,M4,Q4)</f>
        <v>4860000</v>
      </c>
      <c r="U4" s="25">
        <f>+ROUND(T4*$U$2,0)</f>
        <v>923400</v>
      </c>
      <c r="V4" s="26">
        <f>+ROUND(T4+U4,0)</f>
        <v>5783400</v>
      </c>
      <c r="W4" s="4">
        <f>+ROUND(V4*D4,0)</f>
        <v>144585000</v>
      </c>
      <c r="X4" s="29">
        <f>+V4*D23</f>
        <v>6089920.1999999993</v>
      </c>
      <c r="Y4" s="38">
        <f>+ROUND(X4*D4,0)</f>
        <v>152248005</v>
      </c>
    </row>
    <row r="5" spans="2:25" s="23" customFormat="1" ht="30">
      <c r="B5" s="20" t="s">
        <v>17</v>
      </c>
      <c r="C5" s="21" t="s">
        <v>16</v>
      </c>
      <c r="D5" s="21"/>
      <c r="E5" s="17">
        <v>6290000</v>
      </c>
      <c r="F5" s="17">
        <f>+E5*19%</f>
        <v>1195100</v>
      </c>
      <c r="G5" s="17">
        <f t="shared" si="0"/>
        <v>7485100</v>
      </c>
      <c r="H5" s="22">
        <f t="shared" ref="H5:H9" si="5">+D5*G5</f>
        <v>0</v>
      </c>
      <c r="I5" s="17">
        <v>5750000</v>
      </c>
      <c r="J5" s="17">
        <f>+I5*19%</f>
        <v>1092500</v>
      </c>
      <c r="K5" s="17">
        <f t="shared" si="1"/>
        <v>6842500</v>
      </c>
      <c r="L5" s="22">
        <f t="shared" ref="L5:L9" si="6">+K5*D5</f>
        <v>0</v>
      </c>
      <c r="M5" s="17">
        <v>5640000</v>
      </c>
      <c r="N5" s="17">
        <f>+M5*19%</f>
        <v>1071600</v>
      </c>
      <c r="O5" s="17">
        <f t="shared" si="2"/>
        <v>6711600</v>
      </c>
      <c r="P5" s="22">
        <f>+O5*D5</f>
        <v>0</v>
      </c>
      <c r="Q5" s="17">
        <v>5640000</v>
      </c>
      <c r="R5" s="17">
        <f>+Q5*19%</f>
        <v>1071600</v>
      </c>
      <c r="S5" s="17">
        <f t="shared" si="4"/>
        <v>6711600</v>
      </c>
      <c r="T5" s="9"/>
      <c r="U5" s="25">
        <f t="shared" ref="U5:U9" si="7">+ROUND(T5*$U$2,0)</f>
        <v>0</v>
      </c>
      <c r="V5" s="26">
        <f t="shared" ref="V5:V9" si="8">+ROUND(T5+U5,0)</f>
        <v>0</v>
      </c>
      <c r="W5" s="4">
        <f t="shared" ref="W5:W9" si="9">+ROUND(V5*D5,0)</f>
        <v>0</v>
      </c>
      <c r="X5" s="29"/>
      <c r="Y5" s="40"/>
    </row>
    <row r="6" spans="2:25" ht="30">
      <c r="B6" s="2" t="s">
        <v>18</v>
      </c>
      <c r="C6" s="3" t="s">
        <v>16</v>
      </c>
      <c r="D6" s="3"/>
      <c r="E6" s="18">
        <v>2520000</v>
      </c>
      <c r="F6" s="4">
        <f>+E6*19%</f>
        <v>478800</v>
      </c>
      <c r="G6" s="4">
        <f>+E6+F6</f>
        <v>2998800</v>
      </c>
      <c r="H6" s="9">
        <f t="shared" si="5"/>
        <v>0</v>
      </c>
      <c r="I6" s="19">
        <v>2235000</v>
      </c>
      <c r="J6" s="4">
        <f>+I6*19%</f>
        <v>424650</v>
      </c>
      <c r="K6" s="4">
        <f>+I6+J6</f>
        <v>2659650</v>
      </c>
      <c r="L6" s="9">
        <f t="shared" si="6"/>
        <v>0</v>
      </c>
      <c r="M6" s="19">
        <v>2150000</v>
      </c>
      <c r="N6" s="4">
        <f>+M6*19%</f>
        <v>408500</v>
      </c>
      <c r="O6" s="4">
        <f>+M6+N6</f>
        <v>2558500</v>
      </c>
      <c r="P6" s="9">
        <f t="shared" ref="P6:P9" si="10">+O6*D6</f>
        <v>0</v>
      </c>
      <c r="Q6" s="19">
        <v>2250000</v>
      </c>
      <c r="R6" s="4">
        <f>+Q6*19%</f>
        <v>427500</v>
      </c>
      <c r="S6" s="4">
        <f>+Q6+R6</f>
        <v>2677500</v>
      </c>
      <c r="T6" s="9">
        <f t="shared" ref="T6:T9" si="11">+AVERAGE(I6,M6,Q6)</f>
        <v>2211666.6666666665</v>
      </c>
      <c r="U6" s="25"/>
      <c r="V6" s="26"/>
      <c r="W6" s="4">
        <f t="shared" si="9"/>
        <v>0</v>
      </c>
      <c r="X6" s="29"/>
      <c r="Y6" s="38"/>
    </row>
    <row r="7" spans="2:25" ht="15">
      <c r="B7" s="2" t="s">
        <v>19</v>
      </c>
      <c r="C7" s="3" t="s">
        <v>16</v>
      </c>
      <c r="D7" s="3">
        <v>2</v>
      </c>
      <c r="E7" s="19">
        <v>160000000</v>
      </c>
      <c r="F7" s="14">
        <f>+E7*19%</f>
        <v>30400000</v>
      </c>
      <c r="G7" s="14">
        <f t="shared" ref="G7:G9" si="12">+E7+F7</f>
        <v>190400000</v>
      </c>
      <c r="H7" s="15">
        <f t="shared" si="5"/>
        <v>380800000</v>
      </c>
      <c r="I7" s="19">
        <v>75000000</v>
      </c>
      <c r="J7" s="4">
        <f>+I7*19%</f>
        <v>14250000</v>
      </c>
      <c r="K7" s="4">
        <f t="shared" ref="K7:K9" si="13">+I7+J7</f>
        <v>89250000</v>
      </c>
      <c r="L7" s="9">
        <f t="shared" si="6"/>
        <v>178500000</v>
      </c>
      <c r="M7" s="19">
        <v>72250000</v>
      </c>
      <c r="N7" s="4">
        <f>+M7*19%</f>
        <v>13727500</v>
      </c>
      <c r="O7" s="4">
        <f t="shared" ref="O7:O9" si="14">+M7+N7</f>
        <v>85977500</v>
      </c>
      <c r="P7" s="9">
        <f t="shared" si="10"/>
        <v>171955000</v>
      </c>
      <c r="Q7" s="19">
        <v>77800000</v>
      </c>
      <c r="R7" s="4">
        <f>+Q7*19%</f>
        <v>14782000</v>
      </c>
      <c r="S7" s="4">
        <f t="shared" ref="S7:S9" si="15">+Q7+R7</f>
        <v>92582000</v>
      </c>
      <c r="T7" s="9">
        <f t="shared" si="11"/>
        <v>75016666.666666672</v>
      </c>
      <c r="U7" s="25">
        <f t="shared" si="7"/>
        <v>14253167</v>
      </c>
      <c r="V7" s="26">
        <f t="shared" si="8"/>
        <v>89269834</v>
      </c>
      <c r="W7" s="4">
        <f t="shared" si="9"/>
        <v>178539668</v>
      </c>
      <c r="X7" s="29">
        <f>+V7*D23</f>
        <v>94001135.201999992</v>
      </c>
      <c r="Y7" s="38">
        <f>+ROUND(X7*D7,0)</f>
        <v>188002270</v>
      </c>
    </row>
    <row r="8" spans="2:25" ht="30">
      <c r="B8" s="2" t="s">
        <v>20</v>
      </c>
      <c r="C8" s="3" t="s">
        <v>16</v>
      </c>
      <c r="D8" s="3">
        <v>50</v>
      </c>
      <c r="E8" s="19">
        <v>750000</v>
      </c>
      <c r="F8" s="4">
        <f t="shared" ref="F8" si="16">+E8*19%</f>
        <v>142500</v>
      </c>
      <c r="G8" s="4">
        <f t="shared" ref="G8" si="17">+E8+F8</f>
        <v>892500</v>
      </c>
      <c r="H8" s="9">
        <f t="shared" ref="H8" si="18">+D8*G8</f>
        <v>44625000</v>
      </c>
      <c r="I8" s="19">
        <v>400300</v>
      </c>
      <c r="J8" s="4">
        <f t="shared" ref="J8" si="19">+I8*19%</f>
        <v>76057</v>
      </c>
      <c r="K8" s="4">
        <f t="shared" si="13"/>
        <v>476357</v>
      </c>
      <c r="L8" s="9">
        <f t="shared" si="6"/>
        <v>23817850</v>
      </c>
      <c r="M8" s="19">
        <v>397000</v>
      </c>
      <c r="N8" s="4">
        <f t="shared" ref="N8" si="20">+M8*19%</f>
        <v>75430</v>
      </c>
      <c r="O8" s="4">
        <f t="shared" si="14"/>
        <v>472430</v>
      </c>
      <c r="P8" s="9">
        <f t="shared" si="10"/>
        <v>23621500</v>
      </c>
      <c r="Q8" s="19">
        <v>411000</v>
      </c>
      <c r="R8" s="4">
        <f t="shared" ref="R8" si="21">+Q8*19%</f>
        <v>78090</v>
      </c>
      <c r="S8" s="4">
        <f t="shared" si="15"/>
        <v>489090</v>
      </c>
      <c r="T8" s="9">
        <f t="shared" si="11"/>
        <v>402766.66666666669</v>
      </c>
      <c r="U8" s="25">
        <f t="shared" si="7"/>
        <v>76526</v>
      </c>
      <c r="V8" s="26">
        <f t="shared" si="8"/>
        <v>479293</v>
      </c>
      <c r="W8" s="4">
        <f t="shared" si="9"/>
        <v>23964650</v>
      </c>
      <c r="X8" s="29">
        <f>+V8*D23</f>
        <v>504695.52899999998</v>
      </c>
      <c r="Y8" s="38">
        <f>+ROUND(X8*D8,0)</f>
        <v>25234776</v>
      </c>
    </row>
    <row r="9" spans="2:25" ht="30">
      <c r="B9" s="2" t="s">
        <v>21</v>
      </c>
      <c r="C9" s="3" t="s">
        <v>16</v>
      </c>
      <c r="D9" s="3"/>
      <c r="E9" s="19">
        <v>280000</v>
      </c>
      <c r="F9" s="4">
        <f>+E9*19%</f>
        <v>53200</v>
      </c>
      <c r="G9" s="4">
        <f t="shared" si="12"/>
        <v>333200</v>
      </c>
      <c r="H9" s="9">
        <f t="shared" si="5"/>
        <v>0</v>
      </c>
      <c r="I9" s="19">
        <v>170500</v>
      </c>
      <c r="J9" s="4">
        <f>+I9*19%</f>
        <v>32395</v>
      </c>
      <c r="K9" s="4">
        <f t="shared" si="13"/>
        <v>202895</v>
      </c>
      <c r="L9" s="9">
        <f t="shared" si="6"/>
        <v>0</v>
      </c>
      <c r="M9" s="19">
        <v>167000</v>
      </c>
      <c r="N9" s="4">
        <f>+M9*19%</f>
        <v>31730</v>
      </c>
      <c r="O9" s="4">
        <f t="shared" si="14"/>
        <v>198730</v>
      </c>
      <c r="P9" s="9">
        <f t="shared" si="10"/>
        <v>0</v>
      </c>
      <c r="Q9" s="19">
        <v>195000</v>
      </c>
      <c r="R9" s="4">
        <f>+Q9*19%</f>
        <v>37050</v>
      </c>
      <c r="S9" s="4">
        <f t="shared" si="15"/>
        <v>232050</v>
      </c>
      <c r="T9" s="9">
        <f t="shared" si="11"/>
        <v>177500</v>
      </c>
      <c r="U9" s="25">
        <f t="shared" si="7"/>
        <v>33725</v>
      </c>
      <c r="V9" s="26">
        <f t="shared" si="8"/>
        <v>211225</v>
      </c>
      <c r="W9" s="4">
        <f t="shared" si="9"/>
        <v>0</v>
      </c>
      <c r="X9" s="29"/>
      <c r="Y9" s="41">
        <f>SUM(Y4:Y8)</f>
        <v>365485051</v>
      </c>
    </row>
    <row r="10" spans="2:25" ht="20.25">
      <c r="W10" s="27">
        <f>SUM(W4:W9)</f>
        <v>347089318</v>
      </c>
      <c r="X10" s="36" t="s">
        <v>22</v>
      </c>
    </row>
    <row r="11" spans="2:25" ht="18">
      <c r="V11" s="32" t="s">
        <v>23</v>
      </c>
      <c r="W11" s="33">
        <f>+ROUND(W10*Y15,0)</f>
        <v>18395734</v>
      </c>
      <c r="X11" s="5" t="s">
        <v>24</v>
      </c>
      <c r="Y11" s="30">
        <v>0.01</v>
      </c>
    </row>
    <row r="12" spans="2:25" ht="18">
      <c r="V12" s="34" t="s">
        <v>25</v>
      </c>
      <c r="W12" s="35">
        <f>+W10+W11</f>
        <v>365485052</v>
      </c>
      <c r="X12" s="5" t="s">
        <v>26</v>
      </c>
      <c r="Y12" s="30">
        <v>1.2999999999999999E-2</v>
      </c>
    </row>
    <row r="13" spans="2:25">
      <c r="X13" s="5" t="s">
        <v>27</v>
      </c>
      <c r="Y13" s="30">
        <v>0.01</v>
      </c>
    </row>
    <row r="14" spans="2:25">
      <c r="X14" s="5" t="s">
        <v>28</v>
      </c>
      <c r="Y14" s="30">
        <v>0.02</v>
      </c>
    </row>
    <row r="15" spans="2:25" ht="15">
      <c r="B15" s="12" t="s">
        <v>5</v>
      </c>
      <c r="C15" s="12" t="s">
        <v>6</v>
      </c>
      <c r="D15" s="12" t="s">
        <v>7</v>
      </c>
      <c r="E15" s="13" t="s">
        <v>8</v>
      </c>
      <c r="F15" s="13" t="s">
        <v>9</v>
      </c>
      <c r="G15" s="13" t="s">
        <v>10</v>
      </c>
      <c r="H15" s="12" t="s">
        <v>11</v>
      </c>
      <c r="Y15" s="31">
        <f>SUM(Y11:Y14)</f>
        <v>5.3000000000000005E-2</v>
      </c>
    </row>
    <row r="16" spans="2:25" ht="30">
      <c r="B16" s="2" t="s">
        <v>15</v>
      </c>
      <c r="C16" s="3" t="s">
        <v>16</v>
      </c>
      <c r="D16" s="3">
        <v>25</v>
      </c>
      <c r="E16" s="4">
        <f>AVERAGE(I4,M4,Q4)</f>
        <v>4860000</v>
      </c>
      <c r="F16" s="4">
        <f>+ROUND(E16*19%,0)</f>
        <v>923400</v>
      </c>
      <c r="G16" s="4">
        <f>+ROUND(E16+F16,0)</f>
        <v>5783400</v>
      </c>
      <c r="H16" s="9">
        <f>+D16*G16</f>
        <v>144585000</v>
      </c>
      <c r="I16" s="46">
        <f>+ROUND(G16*$D$23,0)</f>
        <v>6089920</v>
      </c>
      <c r="J16" s="47">
        <f>+ROUND(D16*I16,0)</f>
        <v>152248000</v>
      </c>
      <c r="W16" s="8">
        <f>+W7+W8</f>
        <v>202504318</v>
      </c>
    </row>
    <row r="17" spans="2:23" ht="30">
      <c r="B17" s="2" t="s">
        <v>17</v>
      </c>
      <c r="C17" s="3" t="s">
        <v>16</v>
      </c>
      <c r="D17" s="3">
        <v>25</v>
      </c>
      <c r="E17" s="4">
        <f t="shared" ref="E17:E21" si="22">AVERAGE(I5,M5,Q5)</f>
        <v>5676666.666666667</v>
      </c>
      <c r="F17" s="4">
        <f t="shared" ref="F17:F21" si="23">+ROUND(E17*19%,0)</f>
        <v>1078567</v>
      </c>
      <c r="G17" s="4">
        <f t="shared" ref="G17:G21" si="24">+ROUND(E17+F17,0)</f>
        <v>6755234</v>
      </c>
      <c r="H17" s="9">
        <f t="shared" ref="H17:H21" si="25">+D17*G17</f>
        <v>168880850</v>
      </c>
      <c r="I17" s="38">
        <f t="shared" ref="I17:I21" si="26">+ROUND(G17*$D$23,0)</f>
        <v>7113261</v>
      </c>
      <c r="J17" s="41">
        <f t="shared" ref="J17:J18" si="27">+D17*I17</f>
        <v>177831525</v>
      </c>
      <c r="W17" s="8">
        <f>+W4+W8</f>
        <v>168549650</v>
      </c>
    </row>
    <row r="18" spans="2:23" ht="30">
      <c r="B18" s="2" t="s">
        <v>18</v>
      </c>
      <c r="C18" s="3" t="s">
        <v>16</v>
      </c>
      <c r="D18" s="3">
        <v>25</v>
      </c>
      <c r="E18" s="4">
        <f t="shared" si="22"/>
        <v>2211666.6666666665</v>
      </c>
      <c r="F18" s="4">
        <f t="shared" si="23"/>
        <v>420217</v>
      </c>
      <c r="G18" s="4">
        <f t="shared" si="24"/>
        <v>2631884</v>
      </c>
      <c r="H18" s="9">
        <f t="shared" si="25"/>
        <v>65797100</v>
      </c>
      <c r="I18" s="38">
        <f t="shared" si="26"/>
        <v>2771374</v>
      </c>
      <c r="J18" s="41">
        <f t="shared" si="27"/>
        <v>69284350</v>
      </c>
    </row>
    <row r="19" spans="2:23" ht="15">
      <c r="B19" s="2" t="s">
        <v>19</v>
      </c>
      <c r="C19" s="3" t="s">
        <v>16</v>
      </c>
      <c r="D19" s="3">
        <v>2</v>
      </c>
      <c r="E19" s="4">
        <f t="shared" si="22"/>
        <v>75016666.666666672</v>
      </c>
      <c r="F19" s="4">
        <f t="shared" si="23"/>
        <v>14253167</v>
      </c>
      <c r="G19" s="4">
        <f t="shared" si="24"/>
        <v>89269834</v>
      </c>
      <c r="H19" s="9">
        <f t="shared" si="25"/>
        <v>178539668</v>
      </c>
      <c r="I19" s="46">
        <f t="shared" si="26"/>
        <v>94001135</v>
      </c>
      <c r="J19" s="47">
        <f>+ROUND(D19*I19,0)</f>
        <v>188002270</v>
      </c>
    </row>
    <row r="20" spans="2:23" ht="30">
      <c r="B20" s="2" t="s">
        <v>20</v>
      </c>
      <c r="C20" s="3" t="s">
        <v>16</v>
      </c>
      <c r="D20" s="3">
        <v>50</v>
      </c>
      <c r="E20" s="4">
        <f t="shared" si="22"/>
        <v>402766.66666666669</v>
      </c>
      <c r="F20" s="4">
        <f t="shared" si="23"/>
        <v>76526</v>
      </c>
      <c r="G20" s="4">
        <f t="shared" si="24"/>
        <v>479293</v>
      </c>
      <c r="H20" s="9">
        <f t="shared" si="25"/>
        <v>23964650</v>
      </c>
      <c r="I20" s="46">
        <f t="shared" si="26"/>
        <v>504696</v>
      </c>
      <c r="J20" s="47">
        <f>+ROUND(D20*I20,0)</f>
        <v>25234800</v>
      </c>
    </row>
    <row r="21" spans="2:23" ht="30">
      <c r="B21" s="2" t="s">
        <v>21</v>
      </c>
      <c r="C21" s="3" t="s">
        <v>16</v>
      </c>
      <c r="D21" s="3">
        <v>50</v>
      </c>
      <c r="E21" s="4">
        <f t="shared" si="22"/>
        <v>177500</v>
      </c>
      <c r="F21" s="4">
        <f t="shared" si="23"/>
        <v>33725</v>
      </c>
      <c r="G21" s="4">
        <f t="shared" si="24"/>
        <v>211225</v>
      </c>
      <c r="H21" s="9">
        <f t="shared" si="25"/>
        <v>10561250</v>
      </c>
      <c r="I21" s="38">
        <f t="shared" si="26"/>
        <v>222420</v>
      </c>
      <c r="J21" s="41">
        <f>+J16+J19+J20</f>
        <v>365485070</v>
      </c>
    </row>
    <row r="22" spans="2:23">
      <c r="H22" s="16">
        <f>+H16+H19+H20</f>
        <v>347089318</v>
      </c>
      <c r="I22" s="16">
        <f>+I16+I19+I20</f>
        <v>100595751</v>
      </c>
    </row>
    <row r="23" spans="2:23">
      <c r="D23" s="6">
        <v>1.0529999999999999</v>
      </c>
      <c r="H23" s="38">
        <f>+ROUND(H22*D23,0)</f>
        <v>365485052</v>
      </c>
    </row>
    <row r="24" spans="2:23" ht="30">
      <c r="B24" s="42" t="s">
        <v>29</v>
      </c>
      <c r="C24" s="43" t="s">
        <v>30</v>
      </c>
      <c r="D24" s="43" t="s">
        <v>2</v>
      </c>
      <c r="E24" s="44" t="s">
        <v>3</v>
      </c>
      <c r="F24" s="44" t="s">
        <v>4</v>
      </c>
      <c r="G24" s="45" t="s">
        <v>31</v>
      </c>
    </row>
    <row r="25" spans="2:23">
      <c r="B25" s="5" t="s">
        <v>15</v>
      </c>
      <c r="C25" s="6">
        <v>25</v>
      </c>
      <c r="D25" s="37">
        <f>+ROUND(5831000*D23,0)</f>
        <v>6140043</v>
      </c>
      <c r="E25" s="38">
        <f>+ROUND(5652500*D23,0)</f>
        <v>5952083</v>
      </c>
      <c r="F25" s="38">
        <f>+ROUND(5866700*D23,0)</f>
        <v>6177635</v>
      </c>
      <c r="G25" s="7">
        <f>+ROUND(AVERAGE(D25:F25),0)</f>
        <v>6089920</v>
      </c>
      <c r="H25" s="8">
        <f>+ROUND(C25*G25,0)</f>
        <v>152248000</v>
      </c>
      <c r="I25" s="38">
        <v>152248005</v>
      </c>
      <c r="J25" s="8">
        <f>+H25-I25</f>
        <v>-5</v>
      </c>
    </row>
    <row r="26" spans="2:23">
      <c r="B26" s="5" t="s">
        <v>19</v>
      </c>
      <c r="C26" s="6">
        <v>2</v>
      </c>
      <c r="D26" s="37">
        <f>+ROUND(89250000*D23,0)</f>
        <v>93980250</v>
      </c>
      <c r="E26" s="38">
        <f>+ROUND(85977500*D23,0)</f>
        <v>90534308</v>
      </c>
      <c r="F26" s="38">
        <f>+ROUND(92582000*D23,0)</f>
        <v>97488846</v>
      </c>
      <c r="G26" s="7">
        <f>+ROUND(AVERAGE(D26:F26),0)</f>
        <v>94001135</v>
      </c>
      <c r="H26" s="8">
        <f>+ROUND(C26*G26,0)</f>
        <v>188002270</v>
      </c>
      <c r="I26" s="38">
        <v>188002270</v>
      </c>
      <c r="J26" s="8">
        <f t="shared" ref="J26:J27" si="28">+H26-I26</f>
        <v>0</v>
      </c>
    </row>
    <row r="27" spans="2:23">
      <c r="B27" s="5" t="s">
        <v>20</v>
      </c>
      <c r="C27" s="6">
        <v>50</v>
      </c>
      <c r="D27" s="37">
        <f>+ROUND(476357*D23,0)</f>
        <v>501604</v>
      </c>
      <c r="E27" s="38">
        <f>+ROUND(472430*D23,0)</f>
        <v>497469</v>
      </c>
      <c r="F27" s="38">
        <f>+ROUND(489090*D23,0)</f>
        <v>515012</v>
      </c>
      <c r="G27" s="7">
        <f>+ROUND(AVERAGE(D27:F27),0)</f>
        <v>504695</v>
      </c>
      <c r="H27" s="8">
        <f>+ROUND(C27*G27,0)</f>
        <v>25234750</v>
      </c>
      <c r="I27" s="38">
        <v>25234776</v>
      </c>
      <c r="J27" s="8">
        <f t="shared" si="28"/>
        <v>-26</v>
      </c>
    </row>
    <row r="28" spans="2:23" ht="15">
      <c r="D28" s="37"/>
      <c r="E28" s="38"/>
      <c r="F28" s="38"/>
      <c r="H28" s="39">
        <f>+SUM(H25:H27)</f>
        <v>365485020</v>
      </c>
    </row>
    <row r="29" spans="2:23">
      <c r="D29" s="37"/>
      <c r="E29" s="38"/>
      <c r="F29" s="38"/>
    </row>
    <row r="30" spans="2:23">
      <c r="G30" s="7" t="s">
        <v>32</v>
      </c>
      <c r="H30" s="8">
        <f>+H25+H27</f>
        <v>177482750</v>
      </c>
    </row>
    <row r="31" spans="2:23">
      <c r="G31" s="7" t="s">
        <v>33</v>
      </c>
      <c r="H31" s="8">
        <f>+H26</f>
        <v>188002270</v>
      </c>
    </row>
    <row r="32" spans="2:23">
      <c r="H32" s="8"/>
    </row>
  </sheetData>
  <mergeCells count="5">
    <mergeCell ref="E2:H2"/>
    <mergeCell ref="I2:L2"/>
    <mergeCell ref="M2:P2"/>
    <mergeCell ref="Q2:T2"/>
    <mergeCell ref="U1:W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8c9ddb-69bf-4262-8873-fa2b1f7c48c7">
      <Terms xmlns="http://schemas.microsoft.com/office/infopath/2007/PartnerControls"/>
    </lcf76f155ced4ddcb4097134ff3c332f>
    <TaxCatchAll xmlns="ec386ebd-e45a-4bd4-bcf4-2257500cfc2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1534D807613446A2B1538E0DC3D8EA" ma:contentTypeVersion="11" ma:contentTypeDescription="Crear nuevo documento." ma:contentTypeScope="" ma:versionID="bc8bd5ce3b13b85439a7103ffd5bafe4">
  <xsd:schema xmlns:xsd="http://www.w3.org/2001/XMLSchema" xmlns:xs="http://www.w3.org/2001/XMLSchema" xmlns:p="http://schemas.microsoft.com/office/2006/metadata/properties" xmlns:ns2="d28c9ddb-69bf-4262-8873-fa2b1f7c48c7" xmlns:ns3="ec386ebd-e45a-4bd4-bcf4-2257500cfc2d" targetNamespace="http://schemas.microsoft.com/office/2006/metadata/properties" ma:root="true" ma:fieldsID="db7852cf2acf526bd79db8f45e28c9cd" ns2:_="" ns3:_="">
    <xsd:import namespace="d28c9ddb-69bf-4262-8873-fa2b1f7c48c7"/>
    <xsd:import namespace="ec386ebd-e45a-4bd4-bcf4-2257500cfc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c9ddb-69bf-4262-8873-fa2b1f7c48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e9b71db2-0453-481c-a7bb-ff6902fea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386ebd-e45a-4bd4-bcf4-2257500cfc2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f631b9-74a5-4d18-a8b8-3f83d3f7f5dc}" ma:internalName="TaxCatchAll" ma:showField="CatchAllData" ma:web="ec386ebd-e45a-4bd4-bcf4-2257500cfc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2E17CD-B958-40DB-A599-C8A8DF09BB95}"/>
</file>

<file path=customXml/itemProps2.xml><?xml version="1.0" encoding="utf-8"?>
<ds:datastoreItem xmlns:ds="http://schemas.openxmlformats.org/officeDocument/2006/customXml" ds:itemID="{518B7C3D-F6F4-4BAA-8FFF-8A499F0B3010}"/>
</file>

<file path=customXml/itemProps3.xml><?xml version="1.0" encoding="utf-8"?>
<ds:datastoreItem xmlns:ds="http://schemas.openxmlformats.org/officeDocument/2006/customXml" ds:itemID="{3EB96B9E-2CFE-4942-8709-1AEDA7ED9C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Arbeláez Guerrero</dc:creator>
  <cp:keywords/>
  <dc:description/>
  <cp:lastModifiedBy>Danilo Seguro Argaez</cp:lastModifiedBy>
  <cp:revision/>
  <dcterms:created xsi:type="dcterms:W3CDTF">2026-07-10T14:07:42Z</dcterms:created>
  <dcterms:modified xsi:type="dcterms:W3CDTF">2026-08-12T14:40:51Z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0x010100CC1534D807613446A2B1538E0DC3D8EA</vt:lpwstr>
  </property>
  <property fmtid="{D5CDD505-2E9C-101B-9397-08002B2CF9AE}" pid="3" name="MediaServiceImageTags">
    <vt:lpwstr/>
  </property>
</Properties>
</file>