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tables/table47.xml" ContentType="application/vnd.openxmlformats-officedocument.spreadsheetml.table+xml"/>
  <Override PartName="/xl/tables/table48.xml" ContentType="application/vnd.openxmlformats-officedocument.spreadsheetml.table+xml"/>
  <Override PartName="/xl/drawings/drawing3.xml" ContentType="application/vnd.openxmlformats-officedocument.drawing+xml"/>
  <Override PartName="/xl/tables/table49.xml" ContentType="application/vnd.openxmlformats-officedocument.spreadsheetml.table+xml"/>
  <Override PartName="/xl/slicers/slicer1.xml" ContentType="application/vnd.ms-excel.slicer+xml"/>
  <Override PartName="/xl/tables/table50.xml" ContentType="application/vnd.openxmlformats-officedocument.spreadsheetml.table+xml"/>
  <Override PartName="/xl/tables/table51.xml" ContentType="application/vnd.openxmlformats-officedocument.spreadsheetml.table+xml"/>
  <Override PartName="/xl/tables/table52.xml" ContentType="application/vnd.openxmlformats-officedocument.spreadsheetml.table+xml"/>
  <Override PartName="/xl/tables/table53.xml" ContentType="application/vnd.openxmlformats-officedocument.spreadsheetml.table+xml"/>
  <Override PartName="/xl/tables/table54.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hidePivotFieldList="1"/>
  <mc:AlternateContent xmlns:mc="http://schemas.openxmlformats.org/markup-compatibility/2006">
    <mc:Choice Requires="x15">
      <x15ac:absPath xmlns:x15ac="http://schemas.microsoft.com/office/spreadsheetml/2010/11/ac" url="https://d.docs.live.net/a225fc79a736b248/Documents/FUNDACION/PROCESOS 2026/CANCHA CRISTALINA/DOCUMENTOS TIPO/"/>
    </mc:Choice>
  </mc:AlternateContent>
  <xr:revisionPtr revIDLastSave="0" documentId="8_{9F661B6B-2147-4E8B-AC21-5AF61CDE2DE2}" xr6:coauthVersionLast="47" xr6:coauthVersionMax="47" xr10:uidLastSave="{00000000-0000-0000-0000-000000000000}"/>
  <bookViews>
    <workbookView xWindow="-108" yWindow="-108" windowWidth="23256" windowHeight="13896" xr2:uid="{5F241D81-2AE1-426A-83EC-142135DACA0A}"/>
  </bookViews>
  <sheets>
    <sheet name="PRESUPUESTO" sheetId="3" r:id="rId1"/>
    <sheet name="INF. GENERAL" sheetId="2" r:id="rId2"/>
    <sheet name="MEMORIA CANTIDADES" sheetId="4" r:id="rId3"/>
    <sheet name="CopyMC" sheetId="14" state="hidden" r:id="rId4"/>
    <sheet name="APU" sheetId="5" r:id="rId5"/>
    <sheet name="LS" sheetId="17" r:id="rId6"/>
    <sheet name="CopyAPU" sheetId="13" state="hidden" r:id="rId7"/>
    <sheet name="INSUMOS" sheetId="7" r:id="rId8"/>
    <sheet name="Actividades" sheetId="6" state="hidden" r:id="rId9"/>
  </sheets>
  <definedNames>
    <definedName name="_________key2">#REF!</definedName>
    <definedName name="________key2">#REF!</definedName>
    <definedName name="________key3">#REF!</definedName>
    <definedName name="___key2">#REF!</definedName>
    <definedName name="___key3">#REF!</definedName>
    <definedName name="___key31">#REF!</definedName>
    <definedName name="__123Graph_A">#REF!</definedName>
    <definedName name="__123Graph_B">#REF!</definedName>
    <definedName name="__key2">#REF!</definedName>
    <definedName name="__key21">#REF!</definedName>
    <definedName name="__key3">#REF!</definedName>
    <definedName name="__key31">#REF!</definedName>
    <definedName name="_a1">#REF!</definedName>
    <definedName name="_a3">#REF!</definedName>
    <definedName name="_a4">#REF!</definedName>
    <definedName name="_a5">#REF!</definedName>
    <definedName name="_a6">#REF!</definedName>
    <definedName name="_AAS1">#REF!</definedName>
    <definedName name="_ABC1">#REF!</definedName>
    <definedName name="_abc2">#REF!</definedName>
    <definedName name="_b2">#REF!</definedName>
    <definedName name="_b3">#REF!</definedName>
    <definedName name="_b4">#REF!</definedName>
    <definedName name="_b5">#REF!</definedName>
    <definedName name="_b6">#REF!</definedName>
    <definedName name="_b7">#REF!</definedName>
    <definedName name="_b8">#REF!</definedName>
    <definedName name="_bb9">#REF!</definedName>
    <definedName name="_bgb5">#REF!</definedName>
    <definedName name="_Fill">#REF!</definedName>
    <definedName name="_xlnm._FilterDatabase" localSheetId="5" hidden="1">LS!$A$2:$F$1268</definedName>
    <definedName name="_g2">#REF!</definedName>
    <definedName name="_g3">#REF!</definedName>
    <definedName name="_g4">#REF!</definedName>
    <definedName name="_g5">#REF!</definedName>
    <definedName name="_g6">#REF!</definedName>
    <definedName name="_g7">#REF!</definedName>
    <definedName name="_GR1">#REF!</definedName>
    <definedName name="_gtr4">#REF!</definedName>
    <definedName name="_h2">#REF!</definedName>
    <definedName name="_h3">#REF!</definedName>
    <definedName name="_h4">#REF!</definedName>
    <definedName name="_h5">#REF!</definedName>
    <definedName name="_h6">#REF!</definedName>
    <definedName name="_h7">#REF!</definedName>
    <definedName name="_h8">#REF!</definedName>
    <definedName name="_hfh7">#REF!</definedName>
    <definedName name="_hhg1">#REF!</definedName>
    <definedName name="_i4">#REF!</definedName>
    <definedName name="_i5">#REF!</definedName>
    <definedName name="_i6">#REF!</definedName>
    <definedName name="_i7">#REF!</definedName>
    <definedName name="_i77">#REF!</definedName>
    <definedName name="_i8">#REF!</definedName>
    <definedName name="_i9">#REF!</definedName>
    <definedName name="_k3">#REF!</definedName>
    <definedName name="_k4">#REF!</definedName>
    <definedName name="_k5">#REF!</definedName>
    <definedName name="_k6">#REF!</definedName>
    <definedName name="_k7">#REF!</definedName>
    <definedName name="_k8">#REF!</definedName>
    <definedName name="_k9">#REF!</definedName>
    <definedName name="_Key1">#REF!</definedName>
    <definedName name="_Key11">#REF!</definedName>
    <definedName name="_Key2">#REF!</definedName>
    <definedName name="_Key21">#REF!</definedName>
    <definedName name="_key3">#REF!</definedName>
    <definedName name="_key31">#REF!</definedName>
    <definedName name="_kjk6">#REF!</definedName>
    <definedName name="_m3">#REF!</definedName>
    <definedName name="_m4">#REF!</definedName>
    <definedName name="_m5">#REF!</definedName>
    <definedName name="_m6">#REF!</definedName>
    <definedName name="_m7">#REF!</definedName>
    <definedName name="_m8">#REF!</definedName>
    <definedName name="_m9">#REF!</definedName>
    <definedName name="_n3">#REF!</definedName>
    <definedName name="_n4">#REF!</definedName>
    <definedName name="_n5">#REF!</definedName>
    <definedName name="_nyn7">#REF!</definedName>
    <definedName name="_o4">#REF!</definedName>
    <definedName name="_o5">#REF!</definedName>
    <definedName name="_o6">#REF!</definedName>
    <definedName name="_o7">#REF!</definedName>
    <definedName name="_o8">#REF!</definedName>
    <definedName name="_o9">#REF!</definedName>
    <definedName name="_p6">#REF!</definedName>
    <definedName name="_p7">#REF!</definedName>
    <definedName name="_p8">#REF!</definedName>
    <definedName name="_Parse_Out">#REF!</definedName>
    <definedName name="_r">#REF!</definedName>
    <definedName name="_r4r">#REF!</definedName>
    <definedName name="_rtu6">#REF!</definedName>
    <definedName name="_s1">#REF!</definedName>
    <definedName name="_s2">#REF!</definedName>
    <definedName name="_s3">#REF!</definedName>
    <definedName name="_s4">#REF!</definedName>
    <definedName name="_s5">#REF!</definedName>
    <definedName name="_s6">#REF!</definedName>
    <definedName name="_s7">#REF!</definedName>
    <definedName name="_Sort">#REF!</definedName>
    <definedName name="_t3">#REF!</definedName>
    <definedName name="_t4">#REF!</definedName>
    <definedName name="_t5">#REF!</definedName>
    <definedName name="_t6">#REF!</definedName>
    <definedName name="_t66">#REF!</definedName>
    <definedName name="_t7">#REF!</definedName>
    <definedName name="_t77">#REF!</definedName>
    <definedName name="_t8">#REF!</definedName>
    <definedName name="_t88">#REF!</definedName>
    <definedName name="_t9">#REF!</definedName>
    <definedName name="_t99">#REF!</definedName>
    <definedName name="_u4">#REF!</definedName>
    <definedName name="_u5">#REF!</definedName>
    <definedName name="_u6">#REF!</definedName>
    <definedName name="_u7">#REF!</definedName>
    <definedName name="_u8">#REF!</definedName>
    <definedName name="_u9">#REF!</definedName>
    <definedName name="_unj1">#REF!</definedName>
    <definedName name="_ur7">#REF!</definedName>
    <definedName name="_v2">#REF!</definedName>
    <definedName name="_v3">#REF!</definedName>
    <definedName name="_v4">#REF!</definedName>
    <definedName name="_v5">#REF!</definedName>
    <definedName name="_v6">#REF!</definedName>
    <definedName name="_v7">#REF!</definedName>
    <definedName name="_v8">#REF!</definedName>
    <definedName name="_v9">#REF!</definedName>
    <definedName name="_vfv4">#REF!</definedName>
    <definedName name="_x1">#REF!</definedName>
    <definedName name="_x2">#REF!</definedName>
    <definedName name="_x3">#REF!</definedName>
    <definedName name="_x4">#REF!</definedName>
    <definedName name="_x5">#REF!</definedName>
    <definedName name="_x6">#REF!</definedName>
    <definedName name="_x7">#REF!</definedName>
    <definedName name="_x8">#REF!</definedName>
    <definedName name="_x9">#REF!</definedName>
    <definedName name="_y2">#REF!</definedName>
    <definedName name="_y3">#REF!</definedName>
    <definedName name="_y4">#REF!</definedName>
    <definedName name="_y5">#REF!</definedName>
    <definedName name="_y6">#REF!</definedName>
    <definedName name="_y7">#REF!</definedName>
    <definedName name="_y8">#REF!</definedName>
    <definedName name="_y9">#REF!</definedName>
    <definedName name="_z1">#REF!</definedName>
    <definedName name="_z2">#REF!</definedName>
    <definedName name="_z3">#REF!</definedName>
    <definedName name="_z4">#REF!</definedName>
    <definedName name="_z5">#REF!</definedName>
    <definedName name="_z6">#REF!</definedName>
    <definedName name="a2a">#REF!</definedName>
    <definedName name="aaaaas">#REF!</definedName>
    <definedName name="aas">#REF!</definedName>
    <definedName name="ABCD">#REF!</definedName>
    <definedName name="ABCDE">#REF!</definedName>
    <definedName name="ADFGSDB">#REF!</definedName>
    <definedName name="ADSAD">#REF!</definedName>
    <definedName name="aefa">#REF!</definedName>
    <definedName name="afdsw">#REF!</definedName>
    <definedName name="agdsgg">#REF!</definedName>
    <definedName name="APU_1" localSheetId="6">CopyAPU!$H$42</definedName>
    <definedName name="APU_1">APU!$H$42</definedName>
    <definedName name="APU1.1">APU!$H$37</definedName>
    <definedName name="APU1.2">APU!#REF!</definedName>
    <definedName name="APU1.3">APU!#REF!</definedName>
    <definedName name="APU1.4">APU!#REF!</definedName>
    <definedName name="APU1.5">APU!#REF!</definedName>
    <definedName name="APU10.1">APU!#REF!</definedName>
    <definedName name="APU10.2">APU!#REF!</definedName>
    <definedName name="APU11.1">APU!#REF!</definedName>
    <definedName name="APU12.1">APU!#REF!</definedName>
    <definedName name="APU12.2">APU!#REF!</definedName>
    <definedName name="APU13.1">APU!#REF!</definedName>
    <definedName name="APU13.2">APU!#REF!</definedName>
    <definedName name="APU13.3">APU!#REF!</definedName>
    <definedName name="APU13.4">APU!#REF!</definedName>
    <definedName name="APU14.1">APU!#REF!</definedName>
    <definedName name="APU14.2">APU!#REF!</definedName>
    <definedName name="APU15.1">APU!#REF!</definedName>
    <definedName name="APU15.10">APU!#REF!</definedName>
    <definedName name="APU15.2">APU!#REF!</definedName>
    <definedName name="APU15.3">APU!#REF!</definedName>
    <definedName name="APU15.4">APU!#REF!</definedName>
    <definedName name="APU15.5">APU!#REF!</definedName>
    <definedName name="APU15.6">APU!#REF!</definedName>
    <definedName name="APU15.7">APU!#REF!</definedName>
    <definedName name="APU15.8">APU!#REF!</definedName>
    <definedName name="APU15.9">APU!#REF!</definedName>
    <definedName name="APU2.01">APU!#REF!</definedName>
    <definedName name="APU2.02">APU!#REF!</definedName>
    <definedName name="APU2.03">APU!#REF!</definedName>
    <definedName name="APU3.01">APU!#REF!</definedName>
    <definedName name="APU3.02">APU!#REF!</definedName>
    <definedName name="APU3.03">APU!#REF!</definedName>
    <definedName name="APU3.04">APU!#REF!</definedName>
    <definedName name="APU3.05">APU!#REF!</definedName>
    <definedName name="APU3.06">APU!#REF!</definedName>
    <definedName name="APU3.08">APU!#REF!</definedName>
    <definedName name="APU3.09">APU!#REF!</definedName>
    <definedName name="APU3.12">APU!#REF!</definedName>
    <definedName name="APU3.13">APU!#REF!</definedName>
    <definedName name="APU3.14">APU!#REF!</definedName>
    <definedName name="APU3.15">APU!#REF!</definedName>
    <definedName name="APU3.4">APU!#REF!</definedName>
    <definedName name="APU3.5">APU!#REF!</definedName>
    <definedName name="APU3.6">APU!#REF!</definedName>
    <definedName name="APU3.7">APU!#REF!</definedName>
    <definedName name="APU3.8">APU!#REF!</definedName>
    <definedName name="APU4.01">APU!#REF!</definedName>
    <definedName name="APU4.02">APU!#REF!</definedName>
    <definedName name="APU4.03">APU!#REF!</definedName>
    <definedName name="APU4.04">APU!#REF!</definedName>
    <definedName name="APU4.05">APU!#REF!</definedName>
    <definedName name="APU4.06">APU!#REF!</definedName>
    <definedName name="APU4.07">APU!#REF!</definedName>
    <definedName name="APU4.08">APU!#REF!</definedName>
    <definedName name="APU4.09">APU!#REF!</definedName>
    <definedName name="APU4.1">APU!#REF!</definedName>
    <definedName name="APU4.10">APU!#REF!</definedName>
    <definedName name="APU4.11">APU!#REF!</definedName>
    <definedName name="APU4.12">APU!#REF!</definedName>
    <definedName name="APU4.13">APU!#REF!</definedName>
    <definedName name="APU4.14">APU!#REF!</definedName>
    <definedName name="APU4.15">APU!#REF!</definedName>
    <definedName name="APU4.16">APU!#REF!</definedName>
    <definedName name="APU4.2">APU!#REF!</definedName>
    <definedName name="APU4.3">APU!#REF!</definedName>
    <definedName name="APU4.4">APU!#REF!</definedName>
    <definedName name="APU5.01">APU!#REF!</definedName>
    <definedName name="APU5.02">APU!#REF!</definedName>
    <definedName name="APU5.03">APU!#REF!</definedName>
    <definedName name="APU5.04">APU!#REF!</definedName>
    <definedName name="apu5.05">APU!#REF!</definedName>
    <definedName name="APU5.06">APU!#REF!</definedName>
    <definedName name="APU5.1">APU!#REF!</definedName>
    <definedName name="APU5.2">APU!#REF!</definedName>
    <definedName name="APU5.3">APU!#REF!</definedName>
    <definedName name="APU5.4">APU!#REF!</definedName>
    <definedName name="APU6.01">APU!#REF!</definedName>
    <definedName name="APU6.02">APU!#REF!</definedName>
    <definedName name="APU6.03">APU!#REF!</definedName>
    <definedName name="APU6.04">APU!#REF!</definedName>
    <definedName name="APU6.1">APU!#REF!</definedName>
    <definedName name="APU6.2">APU!#REF!</definedName>
    <definedName name="APU6.3">APU!#REF!</definedName>
    <definedName name="APU6.4">APU!#REF!</definedName>
    <definedName name="APU6.5">APU!#REF!</definedName>
    <definedName name="APU6.6">APU!#REF!</definedName>
    <definedName name="APU7.1">APU!#REF!</definedName>
    <definedName name="APU7.2">APU!#REF!</definedName>
    <definedName name="APU7.3">APU!#REF!</definedName>
    <definedName name="APU7.4">APU!#REF!</definedName>
    <definedName name="APU8.1">APU!#REF!</definedName>
    <definedName name="APU8.2">APU!#REF!</definedName>
    <definedName name="APU8.3">APU!#REF!</definedName>
    <definedName name="APU8.4">APU!#REF!</definedName>
    <definedName name="APU8.5">APU!#REF!</definedName>
    <definedName name="APU8.6">APU!#REF!</definedName>
    <definedName name="APU9.1">APU!#REF!</definedName>
    <definedName name="APU9.2">APU!#REF!</definedName>
    <definedName name="aqaq">#REF!</definedName>
    <definedName name="_xlnm.Print_Area" localSheetId="4">APU!$A:$H</definedName>
    <definedName name="_xlnm.Print_Area" localSheetId="6">CopyAPU!$A$1:$H$50</definedName>
    <definedName name="_xlnm.Print_Area" localSheetId="3">CopyMC!$A$1:$L$43</definedName>
    <definedName name="_xlnm.Print_Area" localSheetId="2">'MEMORIA CANTIDADES'!$A$1:$L$516</definedName>
    <definedName name="_xlnm.Print_Area" localSheetId="0">PRESUPUESTO!$B$1:$AA$45</definedName>
    <definedName name="ASD">#REF!</definedName>
    <definedName name="ASDA">#REF!</definedName>
    <definedName name="asdasd">#REF!</definedName>
    <definedName name="asdf">#REF!</definedName>
    <definedName name="asdfa">#REF!</definedName>
    <definedName name="asfasd">#REF!</definedName>
    <definedName name="asfasdl">#REF!</definedName>
    <definedName name="asfdfe">#REF!</definedName>
    <definedName name="asff">#REF!</definedName>
    <definedName name="asfghjoi">#REF!</definedName>
    <definedName name="asojkdr">#REF!</definedName>
    <definedName name="azaz">#REF!</definedName>
    <definedName name="B">#REF!</definedName>
    <definedName name="bbbbbb">#REF!</definedName>
    <definedName name="bbbbbh">#REF!</definedName>
    <definedName name="bbd">#REF!</definedName>
    <definedName name="BCXBDFG">#REF!</definedName>
    <definedName name="BDFB">#REF!</definedName>
    <definedName name="BDFGDG">#REF!</definedName>
    <definedName name="be">#REF!</definedName>
    <definedName name="bfnfv">#REF!</definedName>
    <definedName name="bgb">#REF!</definedName>
    <definedName name="BGDGFRT">#REF!</definedName>
    <definedName name="BGFBFH">#REF!</definedName>
    <definedName name="bgvfcdx">#REF!</definedName>
    <definedName name="BLPH1">#REF!</definedName>
    <definedName name="br">#REF!</definedName>
    <definedName name="bsb">#REF!</definedName>
    <definedName name="bspoi">#REF!</definedName>
    <definedName name="bt">#REF!</definedName>
    <definedName name="BTYJHTR">#REF!</definedName>
    <definedName name="bvbc">#REF!</definedName>
    <definedName name="bvcb">#REF!</definedName>
    <definedName name="bvn">#REF!</definedName>
    <definedName name="by">#REF!</definedName>
    <definedName name="ccccc">#REF!</definedName>
    <definedName name="cdcdc">#REF!</definedName>
    <definedName name="cdfgrtfd">#REF!</definedName>
    <definedName name="ceerf">#REF!</definedName>
    <definedName name="cjsa">#REF!</definedName>
    <definedName name="costo2">#REF!</definedName>
    <definedName name="_xlnm.Criteria" localSheetId="5">LS!$I$1:$I$2</definedName>
    <definedName name="CUNET">#REF!</definedName>
    <definedName name="cvbcvbf">#REF!</definedName>
    <definedName name="cvfvd">#REF!</definedName>
    <definedName name="cvn">#REF!</definedName>
    <definedName name="CVXC">#REF!</definedName>
    <definedName name="d">#REF!</definedName>
    <definedName name="DASD">#REF!</definedName>
    <definedName name="dbfdfbi">#REF!</definedName>
    <definedName name="DCSDCTV">#REF!</definedName>
    <definedName name="ddd">#REF!</definedName>
    <definedName name="DDDD">#REF!</definedName>
    <definedName name="DDDDDDD">#REF!</definedName>
    <definedName name="ddddt">#REF!</definedName>
    <definedName name="ddewdw">#REF!</definedName>
    <definedName name="ddfdh">#REF!</definedName>
    <definedName name="DDGSDP">#REF!</definedName>
    <definedName name="deded">#REF!</definedName>
    <definedName name="defd">#REF!</definedName>
    <definedName name="Descripcion" localSheetId="6">CopyAPU!$A$17:$A$27</definedName>
    <definedName name="Descripcion">APU!$A$17:$A$27</definedName>
    <definedName name="dfa">#REF!</definedName>
    <definedName name="dfasd">#REF!</definedName>
    <definedName name="DFBNJ">#REF!</definedName>
    <definedName name="dfds">#REF!</definedName>
    <definedName name="dfdsfi">#REF!</definedName>
    <definedName name="dffffe">#REF!</definedName>
    <definedName name="DFG">#REF!</definedName>
    <definedName name="DFGBHJ">#REF!</definedName>
    <definedName name="DFGDFG">#REF!</definedName>
    <definedName name="DFGDYYB">#REF!</definedName>
    <definedName name="dfgf">#REF!</definedName>
    <definedName name="DFGFBOP">#REF!</definedName>
    <definedName name="DFGFDG">#REF!</definedName>
    <definedName name="DFGV">#REF!</definedName>
    <definedName name="dfgypuj">#REF!</definedName>
    <definedName name="dfh">#REF!</definedName>
    <definedName name="dfhdr">#REF!</definedName>
    <definedName name="dfhgh">#REF!</definedName>
    <definedName name="dfj">#REF!</definedName>
    <definedName name="DFRFRF">#REF!</definedName>
    <definedName name="DFVUI">#REF!</definedName>
    <definedName name="dg">#REF!</definedName>
    <definedName name="dgdgr">#REF!</definedName>
    <definedName name="dgfd">#REF!</definedName>
    <definedName name="DGFDFVSDF">#REF!</definedName>
    <definedName name="dgfdg">#REF!</definedName>
    <definedName name="DGFG">#REF!</definedName>
    <definedName name="dgfsado">#REF!</definedName>
    <definedName name="dgrdeb">#REF!</definedName>
    <definedName name="dgreg">#REF!</definedName>
    <definedName name="DH">#REF!</definedName>
    <definedName name="dhdth">#REF!</definedName>
    <definedName name="dhgh">#REF!</definedName>
    <definedName name="djdytj">#REF!</definedName>
    <definedName name="dry">#REF!</definedName>
    <definedName name="DSAD">#REF!</definedName>
    <definedName name="dsadfp">#REF!</definedName>
    <definedName name="DSD">#REF!</definedName>
    <definedName name="dsdads4">#REF!</definedName>
    <definedName name="DSF">#REF!</definedName>
    <definedName name="DSFCVTY">#REF!</definedName>
    <definedName name="dsfg">#REF!</definedName>
    <definedName name="dsfhgfdh">#REF!</definedName>
    <definedName name="dsfsdf">#REF!</definedName>
    <definedName name="DSFSDFCXV">#REF!</definedName>
    <definedName name="dsfsvm">#REF!</definedName>
    <definedName name="dsftbv">#REF!</definedName>
    <definedName name="dtrhj">#REF!</definedName>
    <definedName name="dxfgg">#REF!</definedName>
    <definedName name="E1.1">APU!$H$13</definedName>
    <definedName name="E1.2">APU!#REF!</definedName>
    <definedName name="e3e33">#REF!</definedName>
    <definedName name="EDEDWSWQA">#REF!</definedName>
    <definedName name="edgfhmn">#REF!</definedName>
    <definedName name="eeedfr">#REF!</definedName>
    <definedName name="eeeeer">#REF!</definedName>
    <definedName name="eeerfd">#REF!</definedName>
    <definedName name="efef">#REF!</definedName>
    <definedName name="efer">#REF!</definedName>
    <definedName name="egeg">#REF!</definedName>
    <definedName name="egtrgthrt">#REF!</definedName>
    <definedName name="eqw">#REF!</definedName>
    <definedName name="erfg">#REF!</definedName>
    <definedName name="erg">#REF!</definedName>
    <definedName name="erger">#REF!</definedName>
    <definedName name="ergerg">#REF!</definedName>
    <definedName name="ergfegr">#REF!</definedName>
    <definedName name="ergge">#REF!</definedName>
    <definedName name="erggewg">#REF!</definedName>
    <definedName name="ergreg">#REF!</definedName>
    <definedName name="ergregerg">#REF!</definedName>
    <definedName name="ergrg">#REF!</definedName>
    <definedName name="ergweg">#REF!</definedName>
    <definedName name="ergwreg">#REF!</definedName>
    <definedName name="erheyh">#REF!</definedName>
    <definedName name="eririutriuthdc">#REF!</definedName>
    <definedName name="ert">#REF!</definedName>
    <definedName name="erte">#REF!</definedName>
    <definedName name="erter">#REF!</definedName>
    <definedName name="ertert">#REF!</definedName>
    <definedName name="ertgyhik">#REF!</definedName>
    <definedName name="ertreb">#REF!</definedName>
    <definedName name="ertret">#REF!</definedName>
    <definedName name="erttret">#REF!</definedName>
    <definedName name="ertuiy">#REF!</definedName>
    <definedName name="ertwert">#REF!</definedName>
    <definedName name="eru">#REF!</definedName>
    <definedName name="ERV">#REF!</definedName>
    <definedName name="erware">#REF!</definedName>
    <definedName name="ERWER">#REF!</definedName>
    <definedName name="erwertd">#REF!</definedName>
    <definedName name="erwr">#REF!</definedName>
    <definedName name="ERWRL">#REF!</definedName>
    <definedName name="ery">#REF!</definedName>
    <definedName name="eryhd">#REF!</definedName>
    <definedName name="eryhdf">#REF!</definedName>
    <definedName name="eryhk">#REF!</definedName>
    <definedName name="eryhrf">#REF!</definedName>
    <definedName name="eryre">#REF!</definedName>
    <definedName name="erytd">#REF!</definedName>
    <definedName name="eryty">#REF!</definedName>
    <definedName name="eryy">#REF!</definedName>
    <definedName name="ESTRUCTURA">#REF!</definedName>
    <definedName name="etertgg">#REF!</definedName>
    <definedName name="etertt">#REF!</definedName>
    <definedName name="etewt">#REF!</definedName>
    <definedName name="etu">#REF!</definedName>
    <definedName name="etueh">#REF!</definedName>
    <definedName name="etyty">#REF!</definedName>
    <definedName name="etyu">#REF!</definedName>
    <definedName name="eu">#REF!</definedName>
    <definedName name="eut">#REF!</definedName>
    <definedName name="euyt">#REF!</definedName>
    <definedName name="ewegt">#REF!</definedName>
    <definedName name="ewfewfg">#REF!</definedName>
    <definedName name="ewre">#REF!</definedName>
    <definedName name="ewrewf">#REF!</definedName>
    <definedName name="ewrr">#REF!</definedName>
    <definedName name="ewrt">#REF!</definedName>
    <definedName name="ewrwer">#REF!</definedName>
    <definedName name="EX">#REF!</definedName>
    <definedName name="EX_1">#REF!</definedName>
    <definedName name="fda">#REF!</definedName>
    <definedName name="fdbjp">#REF!</definedName>
    <definedName name="fdf">#REF!</definedName>
    <definedName name="fdg">#REF!</definedName>
    <definedName name="FDGD">#REF!</definedName>
    <definedName name="FDGFDBBP">#REF!</definedName>
    <definedName name="fdh">#REF!</definedName>
    <definedName name="fdsf">#REF!</definedName>
    <definedName name="fdsfds">#REF!</definedName>
    <definedName name="fdsfdsf">#REF!</definedName>
    <definedName name="fdsgfds">#REF!</definedName>
    <definedName name="fdsgsdfu">#REF!</definedName>
    <definedName name="FDSIO">#REF!</definedName>
    <definedName name="ferfer">#REF!</definedName>
    <definedName name="fff">#REF!</definedName>
    <definedName name="ffffd">#REF!</definedName>
    <definedName name="fffffft">#REF!</definedName>
    <definedName name="fffffik">#REF!</definedName>
    <definedName name="fffffj">#REF!</definedName>
    <definedName name="ffffrd">#REF!</definedName>
    <definedName name="ffffy">#REF!</definedName>
    <definedName name="fffrfr">#REF!</definedName>
    <definedName name="fffs">#REF!</definedName>
    <definedName name="fgdfg">#REF!</definedName>
    <definedName name="fgdfsgr">#REF!</definedName>
    <definedName name="fgdsfg">#REF!</definedName>
    <definedName name="FGFDH">#REF!</definedName>
    <definedName name="fgghhj">#REF!</definedName>
    <definedName name="FGHFBC">#REF!</definedName>
    <definedName name="fghfg">#REF!</definedName>
    <definedName name="fghfgh">#REF!</definedName>
    <definedName name="FGHFW">#REF!</definedName>
    <definedName name="fghhh">#REF!</definedName>
    <definedName name="fghsfgh">#REF!</definedName>
    <definedName name="fght">#REF!</definedName>
    <definedName name="fgjgryi">#REF!</definedName>
    <definedName name="fhfg">#REF!</definedName>
    <definedName name="fhfgh">#REF!</definedName>
    <definedName name="fhg">#REF!</definedName>
    <definedName name="fhgh">#REF!</definedName>
    <definedName name="fhpltyunh">#REF!</definedName>
    <definedName name="fill1">#REF!</definedName>
    <definedName name="FP_A">#REF!</definedName>
    <definedName name="FP_O">#REF!</definedName>
    <definedName name="frbgsd">#REF!</definedName>
    <definedName name="frefr">#REF!</definedName>
    <definedName name="frfa">#REF!</definedName>
    <definedName name="frfr">#REF!</definedName>
    <definedName name="fwff">#REF!</definedName>
    <definedName name="fwwe">#REF!</definedName>
    <definedName name="gba">#REF!</definedName>
    <definedName name="gbac">#REF!</definedName>
    <definedName name="gbbfghghj">#REF!</definedName>
    <definedName name="gdt">#REF!</definedName>
    <definedName name="geg">#REF!</definedName>
    <definedName name="gerg">#REF!</definedName>
    <definedName name="gerg54">#REF!</definedName>
    <definedName name="gergew">#REF!</definedName>
    <definedName name="gergw">#REF!</definedName>
    <definedName name="gfd">#REF!</definedName>
    <definedName name="gfdg">#REF!</definedName>
    <definedName name="gffgfhhf">#REF!</definedName>
    <definedName name="gfgfgr">#REF!</definedName>
    <definedName name="gfhf">#REF!</definedName>
    <definedName name="gfhfdh">#REF!</definedName>
    <definedName name="gfhgfh">#REF!</definedName>
    <definedName name="GFJHGJ">#REF!</definedName>
    <definedName name="gfjjh">#REF!</definedName>
    <definedName name="gfutyj6">#REF!</definedName>
    <definedName name="gg">#REF!</definedName>
    <definedName name="ggdr">#REF!</definedName>
    <definedName name="ggerg">#REF!</definedName>
    <definedName name="gggb">#REF!</definedName>
    <definedName name="gggg">#REF!</definedName>
    <definedName name="ggggd">#REF!</definedName>
    <definedName name="gggggt">#REF!</definedName>
    <definedName name="gggghn">#REF!</definedName>
    <definedName name="ggggt">#REF!</definedName>
    <definedName name="ggggy">#REF!</definedName>
    <definedName name="gggtgd">#REF!</definedName>
    <definedName name="ggjgjkg">#REF!</definedName>
    <definedName name="ggtgt">#REF!</definedName>
    <definedName name="ghdghuy">#REF!</definedName>
    <definedName name="GHDP">#REF!</definedName>
    <definedName name="ghfg">#REF!</definedName>
    <definedName name="ghjghj">#REF!</definedName>
    <definedName name="GHKJHK">#REF!</definedName>
    <definedName name="ghnbbfr">#REF!</definedName>
    <definedName name="GJHVCB">#REF!</definedName>
    <definedName name="gk">#REF!</definedName>
    <definedName name="GRAF1ANO">#REF!</definedName>
    <definedName name="GRAF1AÑO">#REF!</definedName>
    <definedName name="gregds">#REF!</definedName>
    <definedName name="grehrtyh">#REF!</definedName>
    <definedName name="grggwero">#REF!</definedName>
    <definedName name="grtyerh">#REF!</definedName>
    <definedName name="GSDG">#REF!</definedName>
    <definedName name="gsfsf">#REF!</definedName>
    <definedName name="gtgt">#REF!</definedName>
    <definedName name="gtgtg">#REF!</definedName>
    <definedName name="gtgtgff">#REF!</definedName>
    <definedName name="gtgtgyh">#REF!</definedName>
    <definedName name="gtgth">#REF!</definedName>
    <definedName name="h9h">#REF!</definedName>
    <definedName name="hbfdhrw">#REF!</definedName>
    <definedName name="hdfh">#REF!</definedName>
    <definedName name="hdfh4">#REF!</definedName>
    <definedName name="hdfhwq">#REF!</definedName>
    <definedName name="hdgh">#REF!</definedName>
    <definedName name="hdhf">#REF!</definedName>
    <definedName name="hfgh">#REF!</definedName>
    <definedName name="hfh">#REF!</definedName>
    <definedName name="hfhg">#REF!</definedName>
    <definedName name="hfthr">#REF!</definedName>
    <definedName name="hg">#REF!</definedName>
    <definedName name="HGFH">#REF!</definedName>
    <definedName name="hgfhty">#REF!</definedName>
    <definedName name="HGHFH7">#REF!</definedName>
    <definedName name="hghhj">#REF!</definedName>
    <definedName name="hghydj">#REF!</definedName>
    <definedName name="hgjfjw">#REF!</definedName>
    <definedName name="HGJG">#REF!</definedName>
    <definedName name="hhg">#REF!</definedName>
    <definedName name="hhh">#REF!</definedName>
    <definedName name="hhhhhh">#REF!</definedName>
    <definedName name="hhhhhho">#REF!</definedName>
    <definedName name="hhhhhpy">#REF!</definedName>
    <definedName name="hhhhth">#REF!</definedName>
    <definedName name="hhhyhyh">#REF!</definedName>
    <definedName name="hhtrhreh">#REF!</definedName>
    <definedName name="hjfg">#REF!</definedName>
    <definedName name="hjgh">#REF!</definedName>
    <definedName name="hjghj">#REF!</definedName>
    <definedName name="hjhjhg">#REF!</definedName>
    <definedName name="HJKH">#REF!</definedName>
    <definedName name="hjkjk">#REF!</definedName>
    <definedName name="hn">#REF!</definedName>
    <definedName name="hreer">#REF!</definedName>
    <definedName name="hrhth">#REF!</definedName>
    <definedName name="hrthtrh">#REF!</definedName>
    <definedName name="hsfg">#REF!</definedName>
    <definedName name="hthdrf">#REF!</definedName>
    <definedName name="htryrt7">#REF!</definedName>
    <definedName name="hyhjop">#REF!</definedName>
    <definedName name="hyhyh">#REF!</definedName>
    <definedName name="hytirs">#REF!</definedName>
    <definedName name="i8i">#REF!</definedName>
    <definedName name="ii">#REF!</definedName>
    <definedName name="iii">#REF!</definedName>
    <definedName name="iiii">#REF!</definedName>
    <definedName name="iiiiiiik">#REF!</definedName>
    <definedName name="iiiiuh">#REF!</definedName>
    <definedName name="iktgvfmu">#REF!</definedName>
    <definedName name="INGENIERIA1">#REF!</definedName>
    <definedName name="INGENIERIA11">#REF!</definedName>
    <definedName name="irng">#REF!</definedName>
    <definedName name="IUI">#REF!</definedName>
    <definedName name="iuit7">#REF!</definedName>
    <definedName name="iul">#REF!</definedName>
    <definedName name="iuouio">#REF!</definedName>
    <definedName name="iuyi9">#REF!</definedName>
    <definedName name="iyuiuyi">#REF!</definedName>
    <definedName name="j">#REF!</definedName>
    <definedName name="jd">#REF!</definedName>
    <definedName name="jdh">#REF!</definedName>
    <definedName name="jeytj">#REF!</definedName>
    <definedName name="jfç">#REF!</definedName>
    <definedName name="jfhjfrt">#REF!</definedName>
    <definedName name="jgfj">#REF!</definedName>
    <definedName name="jghj">#REF!</definedName>
    <definedName name="jgj">#REF!</definedName>
    <definedName name="jhg">#REF!</definedName>
    <definedName name="jhjyj">#REF!</definedName>
    <definedName name="JHK">#REF!</definedName>
    <definedName name="jhkgjkvf">#REF!</definedName>
    <definedName name="jjfq">#REF!</definedName>
    <definedName name="JJJ">#REF!</definedName>
    <definedName name="jjjhjddfg">#REF!</definedName>
    <definedName name="jjjjju">#REF!</definedName>
    <definedName name="jjujujty">#REF!</definedName>
    <definedName name="jjyjy">#REF!</definedName>
    <definedName name="jkk">#REF!</definedName>
    <definedName name="JORNAL_A">#REF!</definedName>
    <definedName name="JORNAL_O">#REF!</definedName>
    <definedName name="JRYJ">#REF!</definedName>
    <definedName name="jtyj">#REF!</definedName>
    <definedName name="jtyry">#REF!</definedName>
    <definedName name="juj">#REF!</definedName>
    <definedName name="jujcx">#REF!</definedName>
    <definedName name="jujuj">#REF!</definedName>
    <definedName name="jujujuju">#REF!</definedName>
    <definedName name="juuuhb">#REF!</definedName>
    <definedName name="jyjt7">#REF!</definedName>
    <definedName name="jyt">#REF!</definedName>
    <definedName name="jytj">#REF!</definedName>
    <definedName name="jyuju">#REF!</definedName>
    <definedName name="jyujyuj">#REF!</definedName>
    <definedName name="kdmfm">#REF!</definedName>
    <definedName name="KHGGH">#REF!</definedName>
    <definedName name="khjk7">#REF!</definedName>
    <definedName name="kikik">#REF!</definedName>
    <definedName name="kjhkd">#REF!</definedName>
    <definedName name="kjk">#REF!</definedName>
    <definedName name="kjtrkjr">#REF!</definedName>
    <definedName name="kkkki">#REF!</definedName>
    <definedName name="kkkkkki">#REF!</definedName>
    <definedName name="krtrk">#REF!</definedName>
    <definedName name="kyr">#REF!</definedName>
    <definedName name="lame">#REF!</definedName>
    <definedName name="liuoo">#REF!</definedName>
    <definedName name="lkj">#REF!</definedName>
    <definedName name="LKJLJK">#REF!</definedName>
    <definedName name="LL">#REF!</definedName>
    <definedName name="lllllh">#REF!</definedName>
    <definedName name="lllllllo">#REF!</definedName>
    <definedName name="lolol">#REF!</definedName>
    <definedName name="lplpl">#REF!</definedName>
    <definedName name="M1.1">APU!$H$23</definedName>
    <definedName name="M1.2">APU!#REF!</definedName>
    <definedName name="mafdsf">#REF!</definedName>
    <definedName name="mao">#REF!</definedName>
    <definedName name="maow">#REF!</definedName>
    <definedName name="masor">#REF!</definedName>
    <definedName name="mdd">#REF!</definedName>
    <definedName name="meg">#REF!</definedName>
    <definedName name="mfgjrdt">#REF!</definedName>
    <definedName name="mghm">#REF!</definedName>
    <definedName name="mjmj">#REF!</definedName>
    <definedName name="mjmjmn">#REF!</definedName>
    <definedName name="mjnhgkio">#REF!</definedName>
    <definedName name="mmjmjh">#REF!</definedName>
    <definedName name="mmm">#REF!</definedName>
    <definedName name="mmmh">#REF!</definedName>
    <definedName name="mmmmmjyt">#REF!</definedName>
    <definedName name="mmmmmmg">#REF!</definedName>
    <definedName name="MN">#REF!</definedName>
    <definedName name="MO1.1">APU!$H$33</definedName>
    <definedName name="MO1.2">APU!#REF!</definedName>
    <definedName name="MOA">#REF!</definedName>
    <definedName name="MODIVejec">#REF!</definedName>
    <definedName name="MOE">#REF!</definedName>
    <definedName name="n">#REF!</definedName>
    <definedName name="nbvnv">#REF!</definedName>
    <definedName name="NDHS">#REF!</definedName>
    <definedName name="nf">#REF!</definedName>
    <definedName name="nfg">#REF!</definedName>
    <definedName name="nfgn">#REF!</definedName>
    <definedName name="ngdn">#REF!</definedName>
    <definedName name="ngfh">#REF!</definedName>
    <definedName name="nhn">#REF!</definedName>
    <definedName name="nhncfgn">#REF!</definedName>
    <definedName name="nhndr">#REF!</definedName>
    <definedName name="nmmmm">#REF!</definedName>
    <definedName name="NN">#REF!</definedName>
    <definedName name="nndng">#REF!</definedName>
    <definedName name="nnn">#REF!</definedName>
    <definedName name="nnnhd">#REF!</definedName>
    <definedName name="nnnnn">#REF!</definedName>
    <definedName name="nnnnnd">#REF!</definedName>
    <definedName name="nnnnnf">#REF!</definedName>
    <definedName name="nnnnnh">#REF!</definedName>
    <definedName name="nxn">#REF!</definedName>
    <definedName name="ñpñpñ">#REF!</definedName>
    <definedName name="o9o9">#REF!</definedName>
    <definedName name="obras">#REF!</definedName>
    <definedName name="obras11">#REF!</definedName>
    <definedName name="OCTUBRE">#REF!</definedName>
    <definedName name="oiret">#REF!</definedName>
    <definedName name="oirgrth">#REF!</definedName>
    <definedName name="OIUOIU">#REF!</definedName>
    <definedName name="ooo">#REF!</definedName>
    <definedName name="ooooiii">#REF!</definedName>
    <definedName name="oooos">#REF!</definedName>
    <definedName name="ORIGINAL">#REF!</definedName>
    <definedName name="OROZCO">#REF!</definedName>
    <definedName name="p0p0">#REF!</definedName>
    <definedName name="PKHK">#REF!</definedName>
    <definedName name="pkj">#REF!</definedName>
    <definedName name="PLAD">#REF!</definedName>
    <definedName name="PLPLUNN">#REF!</definedName>
    <definedName name="POIUP">#REF!</definedName>
    <definedName name="popop">#REF!</definedName>
    <definedName name="popp">#REF!</definedName>
    <definedName name="popvds">#REF!</definedName>
    <definedName name="pouig">#REF!</definedName>
    <definedName name="PPPP">#REF!</definedName>
    <definedName name="ppppp9">#REF!</definedName>
    <definedName name="pppppd">#REF!</definedName>
    <definedName name="pqroj">#REF!</definedName>
    <definedName name="PRIMER">#REF!</definedName>
    <definedName name="PRIMET">#REF!</definedName>
    <definedName name="PTAR">#REF!</definedName>
    <definedName name="ptope">#REF!</definedName>
    <definedName name="ptopes">#REF!</definedName>
    <definedName name="q1q1q">#REF!</definedName>
    <definedName name="qaedtguj">#REF!</definedName>
    <definedName name="QAQSWS">#REF!</definedName>
    <definedName name="qaqwwxcr">#REF!</definedName>
    <definedName name="qedcd">#REF!</definedName>
    <definedName name="qeqewe">#REF!</definedName>
    <definedName name="qewj">#REF!</definedName>
    <definedName name="qqqqqw">#REF!</definedName>
    <definedName name="qw">#REF!</definedName>
    <definedName name="qwdas2">#REF!</definedName>
    <definedName name="qweqe">#REF!</definedName>
    <definedName name="qwewertet">#REF!</definedName>
    <definedName name="qwqwqwj">#REF!</definedName>
    <definedName name="rege">#REF!</definedName>
    <definedName name="regresd">#REF!</definedName>
    <definedName name="regthio">#REF!</definedName>
    <definedName name="REJHE">#REF!</definedName>
    <definedName name="rer">#REF!</definedName>
    <definedName name="rererw">#REF!</definedName>
    <definedName name="rerg">#REF!</definedName>
    <definedName name="rerrrrw">#REF!</definedName>
    <definedName name="RETTRE">#REF!</definedName>
    <definedName name="rety">#REF!</definedName>
    <definedName name="rewfreg">#REF!</definedName>
    <definedName name="rewr">#REF!</definedName>
    <definedName name="REWWER">#REF!</definedName>
    <definedName name="reyepoi">#REF!</definedName>
    <definedName name="reyety">#REF!</definedName>
    <definedName name="reyty">#REF!</definedName>
    <definedName name="reyyt">#REF!</definedName>
    <definedName name="rfhnhjyu">#REF!</definedName>
    <definedName name="rfrf">#REF!</definedName>
    <definedName name="rge">#REF!</definedName>
    <definedName name="rgegg">#REF!</definedName>
    <definedName name="rhh">#REF!</definedName>
    <definedName name="rhrtd">#REF!</definedName>
    <definedName name="rhtry">#REF!</definedName>
    <definedName name="rj">#REF!</definedName>
    <definedName name="rjjth">#REF!</definedName>
    <definedName name="rjy">#REF!</definedName>
    <definedName name="rkjyk">#REF!</definedName>
    <definedName name="rkru">#REF!</definedName>
    <definedName name="rky">#REF!</definedName>
    <definedName name="rrr">#REF!</definedName>
    <definedName name="rrrrrb">#REF!</definedName>
    <definedName name="rrrrrrre">#REF!</definedName>
    <definedName name="rrrrt">#REF!</definedName>
    <definedName name="rsdgsd5">#REF!</definedName>
    <definedName name="rt">#REF!</definedName>
    <definedName name="rte">#REF!</definedName>
    <definedName name="rteg">#REF!</definedName>
    <definedName name="rtert">#REF!</definedName>
    <definedName name="rtes">#REF!</definedName>
    <definedName name="rtewth">#REF!</definedName>
    <definedName name="rthjtj">#REF!</definedName>
    <definedName name="rthrthg">#REF!</definedName>
    <definedName name="rthtrh">#REF!</definedName>
    <definedName name="rtkk">#REF!</definedName>
    <definedName name="rttthy">#REF!</definedName>
    <definedName name="rtu">#REF!</definedName>
    <definedName name="rtug">#REF!</definedName>
    <definedName name="rtugsd">#REF!</definedName>
    <definedName name="rturtu">#REF!</definedName>
    <definedName name="rturu">#REF!</definedName>
    <definedName name="rtut">#REF!</definedName>
    <definedName name="rtutru">#REF!</definedName>
    <definedName name="rtuy">#REF!</definedName>
    <definedName name="rtyhr">#REF!</definedName>
    <definedName name="rtym">#REF!</definedName>
    <definedName name="rtyrey">#REF!</definedName>
    <definedName name="rtyrh">#REF!</definedName>
    <definedName name="RTYRTY">#REF!</definedName>
    <definedName name="rtyt">#REF!</definedName>
    <definedName name="rtytry">#REF!</definedName>
    <definedName name="ruru">#REF!</definedName>
    <definedName name="rutu">#REF!</definedName>
    <definedName name="rwt">#REF!</definedName>
    <definedName name="ry">#REF!</definedName>
    <definedName name="ryeryb">#REF!</definedName>
    <definedName name="rytrsdg">#REF!</definedName>
    <definedName name="saa">#REF!</definedName>
    <definedName name="SAD">#REF!</definedName>
    <definedName name="SADF">#REF!</definedName>
    <definedName name="sadff">#REF!</definedName>
    <definedName name="sadfo">#REF!</definedName>
    <definedName name="safdp">#REF!</definedName>
    <definedName name="sbgfbgdr">#REF!</definedName>
    <definedName name="sd">#REF!</definedName>
    <definedName name="sdaf">#REF!</definedName>
    <definedName name="sdas">#REF!</definedName>
    <definedName name="sdasdf">#REF!</definedName>
    <definedName name="SDCDSCT">#REF!</definedName>
    <definedName name="SDDSAFF">#REF!</definedName>
    <definedName name="SDFCE">#REF!</definedName>
    <definedName name="sdfd">#REF!</definedName>
    <definedName name="SDFDG">#REF!</definedName>
    <definedName name="sdfds">#REF!</definedName>
    <definedName name="SDFDSO">#REF!</definedName>
    <definedName name="sdfdstp">#REF!</definedName>
    <definedName name="SDFEO">#REF!</definedName>
    <definedName name="sdfg">#REF!</definedName>
    <definedName name="sdfgdsfk">#REF!</definedName>
    <definedName name="sdfgsg">#REF!</definedName>
    <definedName name="SDFLJK">#REF!</definedName>
    <definedName name="sdfsd4">#REF!</definedName>
    <definedName name="SDFSDF">#REF!</definedName>
    <definedName name="sdfsdfb">#REF!</definedName>
    <definedName name="sdfsdgg">#REF!</definedName>
    <definedName name="SDFSF">#REF!</definedName>
    <definedName name="sdfsv">#REF!</definedName>
    <definedName name="sdgfd">#REF!</definedName>
    <definedName name="sdgfgp">#REF!</definedName>
    <definedName name="sdgfiu">#REF!</definedName>
    <definedName name="sdgsd">#REF!</definedName>
    <definedName name="sdgsg">#REF!</definedName>
    <definedName name="SDIKOM">#REF!</definedName>
    <definedName name="sdsdfh">#REF!</definedName>
    <definedName name="sdsdfsdff">#REF!</definedName>
    <definedName name="setrj">#REF!</definedName>
    <definedName name="sett">#REF!</definedName>
    <definedName name="sfasf">#REF!</definedName>
    <definedName name="SFHSGFH">#REF!</definedName>
    <definedName name="sfsd">#REF!</definedName>
    <definedName name="sfsdf">#REF!</definedName>
    <definedName name="sfsdferg">#REF!</definedName>
    <definedName name="sfsdfs">#REF!</definedName>
    <definedName name="Slicer_CANTIDAD">#N/A</definedName>
    <definedName name="srwrwr">#REF!</definedName>
    <definedName name="sssss7">#REF!</definedName>
    <definedName name="sssssa">#REF!</definedName>
    <definedName name="sssssy">#REF!</definedName>
    <definedName name="stt">#REF!</definedName>
    <definedName name="swsw">#REF!</definedName>
    <definedName name="swsw3">#REF!</definedName>
    <definedName name="t5t5">#REF!</definedName>
    <definedName name="tdy">#REF!</definedName>
    <definedName name="tewst">#REF!</definedName>
    <definedName name="teytrh">#REF!</definedName>
    <definedName name="thdh">#REF!</definedName>
    <definedName name="thtj">#REF!</definedName>
    <definedName name="TK_1">#REF!</definedName>
    <definedName name="tortas">#REF!</definedName>
    <definedName name="tortas2">#REF!</definedName>
    <definedName name="tr">#REF!</definedName>
    <definedName name="TR1.1">APU!$H$28</definedName>
    <definedName name="TR1.2">APU!#REF!</definedName>
    <definedName name="trest">#REF!</definedName>
    <definedName name="tret">#REF!</definedName>
    <definedName name="trh">#REF!</definedName>
    <definedName name="trhfh">#REF!</definedName>
    <definedName name="trjfgjh">#REF!</definedName>
    <definedName name="tru">#REF!</definedName>
    <definedName name="truds">#REF!</definedName>
    <definedName name="trutu">#REF!</definedName>
    <definedName name="trydfg">#REF!</definedName>
    <definedName name="trydtrygf">#REF!</definedName>
    <definedName name="tryery">#REF!</definedName>
    <definedName name="tryi6">#REF!</definedName>
    <definedName name="tryrth">#REF!</definedName>
    <definedName name="tsert">#REF!</definedName>
    <definedName name="TTR">#REF!</definedName>
    <definedName name="ttrff">#REF!</definedName>
    <definedName name="ttt">#REF!</definedName>
    <definedName name="tttt7">#REF!</definedName>
    <definedName name="tttthy">#REF!</definedName>
    <definedName name="ttttr">#REF!</definedName>
    <definedName name="ttttt">#REF!</definedName>
    <definedName name="tu">#REF!</definedName>
    <definedName name="TUBERIA">#REF!</definedName>
    <definedName name="TUBERIA1">#REF!</definedName>
    <definedName name="tur">#REF!</definedName>
    <definedName name="turu">#REF!</definedName>
    <definedName name="twer">#REF!</definedName>
    <definedName name="twet">#REF!</definedName>
    <definedName name="ty">#REF!</definedName>
    <definedName name="tyery">#REF!</definedName>
    <definedName name="tyj">#REF!</definedName>
    <definedName name="tyjtyj">#REF!</definedName>
    <definedName name="tyjytjuyjuy">#REF!</definedName>
    <definedName name="tyk">#REF!</definedName>
    <definedName name="tym">#REF!</definedName>
    <definedName name="tyr">#REF!</definedName>
    <definedName name="tytgfhgfh">#REF!</definedName>
    <definedName name="tyty">#REF!</definedName>
    <definedName name="TYUIYI">#REF!</definedName>
    <definedName name="tyujh">#REF!</definedName>
    <definedName name="tyuty">#REF!</definedName>
    <definedName name="tyutyu">#REF!</definedName>
    <definedName name="tyxg">#REF!</definedName>
    <definedName name="u3u">#REF!</definedName>
    <definedName name="u7u7">#REF!</definedName>
    <definedName name="UI">#REF!</definedName>
    <definedName name="uijhj">#REF!</definedName>
    <definedName name="uio">#REF!</definedName>
    <definedName name="uiou">#REF!</definedName>
    <definedName name="uir">#REF!</definedName>
    <definedName name="uituii">#REF!</definedName>
    <definedName name="uityjj">#REF!</definedName>
    <definedName name="uiufgj">#REF!</definedName>
    <definedName name="UIUYI">#REF!</definedName>
    <definedName name="unj">#REF!</definedName>
    <definedName name="UOUIV">#REF!</definedName>
    <definedName name="uryur">#REF!</definedName>
    <definedName name="uu">#REF!</definedName>
    <definedName name="uuu">#REF!</definedName>
    <definedName name="uuuuo">#REF!</definedName>
    <definedName name="uuuuuj">#REF!</definedName>
    <definedName name="uwkap">#REF!</definedName>
    <definedName name="uyiyiy">#REF!</definedName>
    <definedName name="uytu">#REF!</definedName>
    <definedName name="uyur">#REF!</definedName>
    <definedName name="v">#REF!</definedName>
    <definedName name="vbvbvbvb">#REF!</definedName>
    <definedName name="vcvvc">#REF!</definedName>
    <definedName name="vdfvuio">#REF!</definedName>
    <definedName name="vdsvnj">#REF!</definedName>
    <definedName name="vfbgnhyt">#REF!</definedName>
    <definedName name="vfvdv">#REF!</definedName>
    <definedName name="vfvf">#REF!</definedName>
    <definedName name="vk">#REF!</definedName>
    <definedName name="vnbvxb">#REF!</definedName>
    <definedName name="VNVBN">#REF!</definedName>
    <definedName name="vsdfj">#REF!</definedName>
    <definedName name="vt">#REF!</definedName>
    <definedName name="vvcxv">#REF!</definedName>
    <definedName name="vvvvt">#REF!</definedName>
    <definedName name="vvvvvvf">#REF!</definedName>
    <definedName name="vy">#REF!</definedName>
    <definedName name="w2w2w">#REF!</definedName>
    <definedName name="WDD">#REF!</definedName>
    <definedName name="werew">#REF!</definedName>
    <definedName name="WEREWR">#REF!</definedName>
    <definedName name="werfdsf">#REF!</definedName>
    <definedName name="werh">#REF!</definedName>
    <definedName name="wersfdfrguyo">#REF!</definedName>
    <definedName name="werwr">#REF!</definedName>
    <definedName name="WERWVN">#REF!</definedName>
    <definedName name="wetrew">#REF!</definedName>
    <definedName name="wettt">#REF!</definedName>
    <definedName name="wetwretd">#REF!</definedName>
    <definedName name="wew">#REF!</definedName>
    <definedName name="wffag">#REF!</definedName>
    <definedName name="WQEEWQ">#REF!</definedName>
    <definedName name="wrn.civil._.works.">#REF!</definedName>
    <definedName name="wrn.FINAN97.">#REF!</definedName>
    <definedName name="wrn.FORMATOS.">#REF!</definedName>
    <definedName name="wrn.GENERAL.">#REF!</definedName>
    <definedName name="wrn.GERENCIA.">#REF!</definedName>
    <definedName name="wrn.OPERADORES.">#REF!</definedName>
    <definedName name="wrn.res7">#REF!</definedName>
    <definedName name="wrn.Resumen.">#REF!</definedName>
    <definedName name="wrn.TRABFENO.">#REF!</definedName>
    <definedName name="wrn.via.">#REF!</definedName>
    <definedName name="wsnhed">#REF!</definedName>
    <definedName name="wswswsqa">#REF!</definedName>
    <definedName name="wtt">#REF!</definedName>
    <definedName name="wwded3">#REF!</definedName>
    <definedName name="wwwwe">#REF!</definedName>
    <definedName name="wyty">#REF!</definedName>
    <definedName name="xcbvbs">#REF!</definedName>
    <definedName name="XSW">#REF!</definedName>
    <definedName name="xsxs">#REF!</definedName>
    <definedName name="xxfg">#REF!</definedName>
    <definedName name="XXXX">#REF!</definedName>
    <definedName name="xxxxxds">#REF!</definedName>
    <definedName name="XXXXXX">#REF!</definedName>
    <definedName name="xxxxxxxxxx29">#REF!</definedName>
    <definedName name="XZS">#REF!</definedName>
    <definedName name="XZXZV">#REF!</definedName>
    <definedName name="y6y6">#REF!</definedName>
    <definedName name="yery">#REF!</definedName>
    <definedName name="yhy">#REF!</definedName>
    <definedName name="yjyj">#REF!</definedName>
    <definedName name="yrey">#REF!</definedName>
    <definedName name="yry">#REF!</definedName>
    <definedName name="ytj">#REF!</definedName>
    <definedName name="ytjt6">#REF!</definedName>
    <definedName name="ytrwyr">#REF!</definedName>
    <definedName name="ytry">#REF!</definedName>
    <definedName name="ytryrty">#REF!</definedName>
    <definedName name="YTRYUYT">#REF!</definedName>
    <definedName name="ytudfgd">#REF!</definedName>
    <definedName name="yturtu7">#REF!</definedName>
    <definedName name="yturu">#REF!</definedName>
    <definedName name="ytuytfgh">#REF!</definedName>
    <definedName name="yty">#REF!</definedName>
    <definedName name="ytyyh">#REF!</definedName>
    <definedName name="ytzacdfg">#REF!</definedName>
    <definedName name="yu">#REF!</definedName>
    <definedName name="yudre54">#REF!</definedName>
    <definedName name="yuhgh">#REF!</definedName>
    <definedName name="yutu">#REF!</definedName>
    <definedName name="yuuiiy">#REF!</definedName>
    <definedName name="yuuuuuu">#REF!</definedName>
    <definedName name="yy">#REF!</definedName>
    <definedName name="yyy">#REF!</definedName>
    <definedName name="yyyuh">#REF!</definedName>
    <definedName name="yyyyhhh">#REF!</definedName>
    <definedName name="yyyyyf">#REF!</definedName>
    <definedName name="ZAQ">#REF!</definedName>
    <definedName name="zdervr">#REF!</definedName>
    <definedName name="zxczds">#REF!</definedName>
    <definedName name="zxsdftyu">#REF!</definedName>
    <definedName name="zxvxczv">#REF!</definedName>
  </definedNames>
  <calcPr calcId="191028"/>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10"/>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4" i="3" l="1"/>
  <c r="K18" i="3"/>
  <c r="K17" i="3"/>
  <c r="K15" i="3"/>
  <c r="K13" i="3"/>
  <c r="K12" i="3"/>
  <c r="K11" i="3"/>
  <c r="K10" i="3"/>
  <c r="K9" i="3"/>
  <c r="K8" i="3"/>
  <c r="K7" i="3"/>
  <c r="K5" i="3"/>
  <c r="F187" i="5"/>
  <c r="E167" i="5" l="1"/>
  <c r="E168" i="5"/>
  <c r="E169" i="5"/>
  <c r="E170" i="5"/>
  <c r="E171" i="5"/>
  <c r="E172" i="5"/>
  <c r="E173" i="5"/>
  <c r="E174" i="5"/>
  <c r="E175" i="5"/>
  <c r="E176" i="5"/>
  <c r="E177" i="5"/>
  <c r="H593" i="5"/>
  <c r="E411" i="5" l="1"/>
  <c r="E360" i="5"/>
  <c r="G360" i="5"/>
  <c r="F1268" i="17" l="1"/>
  <c r="G570" i="5" l="1"/>
  <c r="G571" i="5"/>
  <c r="G572" i="5"/>
  <c r="G573" i="5"/>
  <c r="G575" i="5"/>
  <c r="G576" i="5"/>
  <c r="G577" i="5"/>
  <c r="G578" i="5"/>
  <c r="G580" i="5"/>
  <c r="F575" i="5"/>
  <c r="F576" i="5"/>
  <c r="F577" i="5"/>
  <c r="E470" i="5"/>
  <c r="E471" i="5"/>
  <c r="E472" i="5"/>
  <c r="E473" i="5"/>
  <c r="E474" i="5"/>
  <c r="E475" i="5"/>
  <c r="E476" i="5"/>
  <c r="E477" i="5"/>
  <c r="E478" i="5"/>
  <c r="E479" i="5"/>
  <c r="E480" i="5"/>
  <c r="C590" i="5"/>
  <c r="C589" i="5"/>
  <c r="G565" i="5"/>
  <c r="G564" i="5"/>
  <c r="C540" i="5"/>
  <c r="C539" i="5"/>
  <c r="E534" i="5"/>
  <c r="G515" i="5"/>
  <c r="G514" i="5"/>
  <c r="C490" i="5"/>
  <c r="C489" i="5"/>
  <c r="E484" i="5"/>
  <c r="G464" i="5"/>
  <c r="G463" i="5"/>
  <c r="C440" i="5"/>
  <c r="C439" i="5"/>
  <c r="C388" i="5"/>
  <c r="C387" i="5"/>
  <c r="C336" i="5"/>
  <c r="C337" i="5"/>
  <c r="E331" i="5"/>
  <c r="G312" i="5"/>
  <c r="G311" i="5"/>
  <c r="C286" i="5"/>
  <c r="C287" i="5"/>
  <c r="E281" i="5"/>
  <c r="G261" i="5"/>
  <c r="G260" i="5"/>
  <c r="C237" i="5"/>
  <c r="C236" i="5"/>
  <c r="E231" i="5"/>
  <c r="C187" i="5"/>
  <c r="C186" i="5"/>
  <c r="E181" i="5"/>
  <c r="G161" i="5"/>
  <c r="G160" i="5"/>
  <c r="C137" i="5"/>
  <c r="C136" i="5"/>
  <c r="G111" i="5"/>
  <c r="G110" i="5"/>
  <c r="C87" i="5"/>
  <c r="C86" i="5"/>
  <c r="E81" i="5"/>
  <c r="G61" i="5"/>
  <c r="G60" i="5"/>
  <c r="C37" i="5"/>
  <c r="E37" i="5" s="1"/>
  <c r="C36" i="5"/>
  <c r="E36" i="5" s="1"/>
  <c r="E31" i="5"/>
  <c r="G10" i="5"/>
  <c r="G11" i="5"/>
  <c r="F322" i="5"/>
  <c r="F321" i="5"/>
  <c r="F320" i="5"/>
  <c r="E322" i="5"/>
  <c r="D322" i="5"/>
  <c r="E321" i="5"/>
  <c r="D321" i="5"/>
  <c r="E320" i="5"/>
  <c r="D320" i="5"/>
  <c r="F219" i="5"/>
  <c r="F218" i="5"/>
  <c r="G331" i="5" l="1"/>
  <c r="G281" i="5"/>
  <c r="F267" i="5"/>
  <c r="N273" i="5"/>
  <c r="N274" i="5"/>
  <c r="N276" i="5"/>
  <c r="N277" i="5"/>
  <c r="G215" i="4"/>
  <c r="E349" i="5"/>
  <c r="E348" i="5"/>
  <c r="E347" i="5"/>
  <c r="E346" i="5"/>
  <c r="M338" i="5"/>
  <c r="F337" i="5"/>
  <c r="E337" i="5"/>
  <c r="E336" i="5"/>
  <c r="G336" i="5" s="1"/>
  <c r="L333" i="5"/>
  <c r="G332" i="5"/>
  <c r="H333" i="5" s="1"/>
  <c r="M333" i="5" s="1"/>
  <c r="K328" i="5"/>
  <c r="N327" i="5"/>
  <c r="M327" i="5"/>
  <c r="J327" i="5"/>
  <c r="E327" i="5"/>
  <c r="G327" i="5" s="1"/>
  <c r="D327" i="5"/>
  <c r="N326" i="5"/>
  <c r="M326" i="5"/>
  <c r="E326" i="5"/>
  <c r="G326" i="5" s="1"/>
  <c r="D326" i="5"/>
  <c r="N325" i="5"/>
  <c r="M325" i="5"/>
  <c r="E325" i="5"/>
  <c r="G325" i="5" s="1"/>
  <c r="D325" i="5"/>
  <c r="N324" i="5"/>
  <c r="M324" i="5"/>
  <c r="E324" i="5"/>
  <c r="G324" i="5" s="1"/>
  <c r="D324" i="5"/>
  <c r="N323" i="5"/>
  <c r="M323" i="5"/>
  <c r="G323" i="5"/>
  <c r="N322" i="5"/>
  <c r="M322" i="5"/>
  <c r="G322" i="5"/>
  <c r="N321" i="5"/>
  <c r="M321" i="5"/>
  <c r="G321" i="5"/>
  <c r="N320" i="5"/>
  <c r="M320" i="5"/>
  <c r="J320" i="5"/>
  <c r="G320" i="5"/>
  <c r="N319" i="5"/>
  <c r="M319" i="5"/>
  <c r="E319" i="5"/>
  <c r="G319" i="5" s="1"/>
  <c r="D319" i="5"/>
  <c r="N318" i="5"/>
  <c r="M318" i="5"/>
  <c r="J318" i="5"/>
  <c r="E318" i="5"/>
  <c r="G318" i="5" s="1"/>
  <c r="D318" i="5"/>
  <c r="N317" i="5"/>
  <c r="M317" i="5"/>
  <c r="E317" i="5"/>
  <c r="G317" i="5" s="1"/>
  <c r="D317" i="5"/>
  <c r="J314" i="5"/>
  <c r="J326" i="5" s="1"/>
  <c r="B307" i="5"/>
  <c r="F306" i="5"/>
  <c r="A304" i="5"/>
  <c r="A303" i="5"/>
  <c r="A302" i="5"/>
  <c r="A301" i="5"/>
  <c r="G301" i="4"/>
  <c r="G300" i="4"/>
  <c r="G299" i="4"/>
  <c r="P297" i="4"/>
  <c r="N280" i="4"/>
  <c r="N294" i="4" s="1"/>
  <c r="C262" i="4"/>
  <c r="G265" i="4" s="1"/>
  <c r="B262" i="4"/>
  <c r="L278" i="4" s="1"/>
  <c r="C11" i="3"/>
  <c r="H262" i="4" s="1"/>
  <c r="E299" i="5"/>
  <c r="E298" i="5"/>
  <c r="E297" i="5"/>
  <c r="E296" i="5"/>
  <c r="M288" i="5"/>
  <c r="F287" i="5"/>
  <c r="E287" i="5"/>
  <c r="E286" i="5"/>
  <c r="G286" i="5" s="1"/>
  <c r="L283" i="5"/>
  <c r="G282" i="5"/>
  <c r="K278" i="5"/>
  <c r="M277" i="5"/>
  <c r="J277" i="5"/>
  <c r="E277" i="5"/>
  <c r="D277" i="5"/>
  <c r="M276" i="5"/>
  <c r="E276" i="5"/>
  <c r="D276" i="5"/>
  <c r="N275" i="5"/>
  <c r="M275" i="5"/>
  <c r="E275" i="5"/>
  <c r="G275" i="5" s="1"/>
  <c r="D275" i="5"/>
  <c r="M274" i="5"/>
  <c r="E274" i="5"/>
  <c r="D274" i="5"/>
  <c r="M273" i="5"/>
  <c r="E273" i="5"/>
  <c r="G273" i="5" s="1"/>
  <c r="D273" i="5"/>
  <c r="N272" i="5"/>
  <c r="M272" i="5"/>
  <c r="E272" i="5"/>
  <c r="G272" i="5" s="1"/>
  <c r="D272" i="5"/>
  <c r="N271" i="5"/>
  <c r="M271" i="5"/>
  <c r="E271" i="5"/>
  <c r="G271" i="5" s="1"/>
  <c r="D271" i="5"/>
  <c r="N270" i="5"/>
  <c r="M270" i="5"/>
  <c r="E270" i="5"/>
  <c r="G270" i="5" s="1"/>
  <c r="D270" i="5"/>
  <c r="N269" i="5"/>
  <c r="M269" i="5"/>
  <c r="E269" i="5"/>
  <c r="G269" i="5" s="1"/>
  <c r="D269" i="5"/>
  <c r="N268" i="5"/>
  <c r="M268" i="5"/>
  <c r="E268" i="5"/>
  <c r="G268" i="5" s="1"/>
  <c r="D268" i="5"/>
  <c r="N267" i="5"/>
  <c r="M267" i="5"/>
  <c r="E267" i="5"/>
  <c r="G267" i="5" s="1"/>
  <c r="D267" i="5"/>
  <c r="J264" i="5"/>
  <c r="J276" i="5" s="1"/>
  <c r="B257" i="5"/>
  <c r="F256" i="5"/>
  <c r="A254" i="5"/>
  <c r="A253" i="5"/>
  <c r="A252" i="5"/>
  <c r="A251" i="5"/>
  <c r="G258" i="4"/>
  <c r="G257" i="4"/>
  <c r="G256" i="4"/>
  <c r="P254" i="4"/>
  <c r="N237" i="4"/>
  <c r="N243" i="4" s="1"/>
  <c r="C219" i="4"/>
  <c r="G222" i="4" s="1"/>
  <c r="B219" i="4"/>
  <c r="L235" i="4" s="1"/>
  <c r="C10" i="3"/>
  <c r="H219" i="4" s="1"/>
  <c r="G516" i="4"/>
  <c r="G515" i="4"/>
  <c r="G514" i="4"/>
  <c r="G473" i="4"/>
  <c r="G472" i="4"/>
  <c r="G471" i="4"/>
  <c r="G430" i="4"/>
  <c r="G429" i="4"/>
  <c r="G428" i="4"/>
  <c r="G387" i="4"/>
  <c r="G386" i="4"/>
  <c r="G385" i="4"/>
  <c r="G344" i="4"/>
  <c r="G343" i="4"/>
  <c r="G342" i="4"/>
  <c r="G214" i="4"/>
  <c r="G213" i="4"/>
  <c r="G172" i="4"/>
  <c r="G171" i="4"/>
  <c r="G170" i="4"/>
  <c r="G129" i="4"/>
  <c r="G128" i="4"/>
  <c r="G127" i="4"/>
  <c r="G86" i="4"/>
  <c r="G85" i="4"/>
  <c r="G84" i="4"/>
  <c r="E602" i="5"/>
  <c r="E601" i="5"/>
  <c r="E600" i="5"/>
  <c r="E599" i="5"/>
  <c r="E552" i="5"/>
  <c r="E551" i="5"/>
  <c r="E550" i="5"/>
  <c r="E549" i="5"/>
  <c r="E502" i="5"/>
  <c r="E501" i="5"/>
  <c r="E500" i="5"/>
  <c r="E499" i="5"/>
  <c r="E452" i="5"/>
  <c r="E451" i="5"/>
  <c r="E450" i="5"/>
  <c r="E449" i="5"/>
  <c r="E400" i="5"/>
  <c r="E399" i="5"/>
  <c r="E398" i="5"/>
  <c r="E397" i="5"/>
  <c r="E249" i="5"/>
  <c r="E248" i="5"/>
  <c r="E247" i="5"/>
  <c r="E246" i="5"/>
  <c r="E199" i="5"/>
  <c r="E198" i="5"/>
  <c r="E197" i="5"/>
  <c r="E196" i="5"/>
  <c r="E149" i="5"/>
  <c r="E148" i="5"/>
  <c r="E147" i="5"/>
  <c r="E146" i="5"/>
  <c r="E99" i="5"/>
  <c r="E98" i="5"/>
  <c r="E97" i="5"/>
  <c r="E96" i="5"/>
  <c r="G534" i="5"/>
  <c r="G484" i="5"/>
  <c r="F472" i="5"/>
  <c r="G411" i="5"/>
  <c r="G231" i="5"/>
  <c r="G181" i="5"/>
  <c r="F170" i="5"/>
  <c r="F169" i="5"/>
  <c r="G31" i="5"/>
  <c r="F37" i="5"/>
  <c r="B256" i="5" l="1"/>
  <c r="B306" i="5"/>
  <c r="G337" i="5"/>
  <c r="H338" i="5" s="1"/>
  <c r="H283" i="5"/>
  <c r="M283" i="5" s="1"/>
  <c r="G276" i="5"/>
  <c r="G277" i="5"/>
  <c r="G274" i="5"/>
  <c r="J317" i="5"/>
  <c r="J321" i="5"/>
  <c r="G287" i="5"/>
  <c r="H288" i="5" s="1"/>
  <c r="G262" i="5" s="1"/>
  <c r="J322" i="5"/>
  <c r="J272" i="5"/>
  <c r="J319" i="5"/>
  <c r="J267" i="5"/>
  <c r="N246" i="4"/>
  <c r="N242" i="4"/>
  <c r="N244" i="4"/>
  <c r="N248" i="4"/>
  <c r="N250" i="4"/>
  <c r="L228" i="4"/>
  <c r="L229" i="4"/>
  <c r="L231" i="4"/>
  <c r="L267" i="4"/>
  <c r="L275" i="4"/>
  <c r="L268" i="4"/>
  <c r="L269" i="4"/>
  <c r="L227" i="4"/>
  <c r="L266" i="4"/>
  <c r="H328" i="5"/>
  <c r="M328" i="5" s="1"/>
  <c r="L279" i="4"/>
  <c r="L277" i="4"/>
  <c r="L223" i="4"/>
  <c r="L224" i="4"/>
  <c r="L225" i="4"/>
  <c r="J268" i="5"/>
  <c r="N285" i="4"/>
  <c r="N287" i="4"/>
  <c r="N289" i="4"/>
  <c r="N291" i="4"/>
  <c r="N293" i="4"/>
  <c r="J324" i="5"/>
  <c r="L226" i="4"/>
  <c r="L265" i="4"/>
  <c r="L236" i="4"/>
  <c r="L270" i="4"/>
  <c r="L271" i="4"/>
  <c r="J325" i="5"/>
  <c r="L272" i="4"/>
  <c r="N284" i="4"/>
  <c r="N286" i="4"/>
  <c r="N288" i="4"/>
  <c r="N290" i="4"/>
  <c r="N292" i="4"/>
  <c r="L273" i="4"/>
  <c r="J323" i="5"/>
  <c r="J270" i="5"/>
  <c r="L274" i="4"/>
  <c r="L276" i="4"/>
  <c r="L222" i="4"/>
  <c r="J274" i="5"/>
  <c r="J275" i="5"/>
  <c r="N245" i="4"/>
  <c r="N247" i="4"/>
  <c r="N249" i="4"/>
  <c r="N251" i="4"/>
  <c r="L230" i="4"/>
  <c r="J273" i="5"/>
  <c r="L232" i="4"/>
  <c r="J271" i="5"/>
  <c r="J269" i="5"/>
  <c r="N241" i="4"/>
  <c r="L233" i="4"/>
  <c r="L234" i="4"/>
  <c r="G43" i="4"/>
  <c r="A1" i="5"/>
  <c r="A2" i="5"/>
  <c r="D44" i="3"/>
  <c r="D43" i="3"/>
  <c r="D42" i="3"/>
  <c r="D41" i="3"/>
  <c r="H278" i="5" l="1"/>
  <c r="M278" i="5" s="1"/>
  <c r="H264" i="5"/>
  <c r="K264" i="5" s="1"/>
  <c r="N288" i="5"/>
  <c r="L280" i="4"/>
  <c r="N338" i="5"/>
  <c r="H314" i="5"/>
  <c r="K314" i="5" s="1"/>
  <c r="L237" i="4"/>
  <c r="M591" i="5"/>
  <c r="E590" i="5"/>
  <c r="G590" i="5" s="1"/>
  <c r="E589" i="5"/>
  <c r="G589" i="5" s="1"/>
  <c r="L586" i="5"/>
  <c r="G585" i="5"/>
  <c r="H586" i="5" s="1"/>
  <c r="M586" i="5" s="1"/>
  <c r="K581" i="5"/>
  <c r="N580" i="5"/>
  <c r="M580" i="5"/>
  <c r="E580" i="5"/>
  <c r="D580" i="5"/>
  <c r="N579" i="5"/>
  <c r="M579" i="5"/>
  <c r="E579" i="5"/>
  <c r="D579" i="5"/>
  <c r="N578" i="5"/>
  <c r="M578" i="5"/>
  <c r="E578" i="5"/>
  <c r="D578" i="5"/>
  <c r="N577" i="5"/>
  <c r="M577" i="5"/>
  <c r="E577" i="5"/>
  <c r="D577" i="5"/>
  <c r="N576" i="5"/>
  <c r="M576" i="5"/>
  <c r="E576" i="5"/>
  <c r="D576" i="5"/>
  <c r="N575" i="5"/>
  <c r="M575" i="5"/>
  <c r="E575" i="5"/>
  <c r="D575" i="5"/>
  <c r="N574" i="5"/>
  <c r="M574" i="5"/>
  <c r="E574" i="5"/>
  <c r="G574" i="5" s="1"/>
  <c r="H581" i="5" s="1"/>
  <c r="D574" i="5"/>
  <c r="N573" i="5"/>
  <c r="M573" i="5"/>
  <c r="E573" i="5"/>
  <c r="D573" i="5"/>
  <c r="N572" i="5"/>
  <c r="M572" i="5"/>
  <c r="E572" i="5"/>
  <c r="D572" i="5"/>
  <c r="N571" i="5"/>
  <c r="M571" i="5"/>
  <c r="E571" i="5"/>
  <c r="D571" i="5"/>
  <c r="N570" i="5"/>
  <c r="M570" i="5"/>
  <c r="E570" i="5"/>
  <c r="D570" i="5"/>
  <c r="J567" i="5"/>
  <c r="J579" i="5" s="1"/>
  <c r="B560" i="5"/>
  <c r="F559" i="5"/>
  <c r="A557" i="5"/>
  <c r="A556" i="5"/>
  <c r="A555" i="5"/>
  <c r="A554" i="5"/>
  <c r="P512" i="4"/>
  <c r="N495" i="4"/>
  <c r="N509" i="4" s="1"/>
  <c r="C477" i="4"/>
  <c r="B477" i="4"/>
  <c r="L493" i="4" s="1"/>
  <c r="C18" i="3"/>
  <c r="H477" i="4" s="1"/>
  <c r="B16" i="3"/>
  <c r="M541" i="5"/>
  <c r="F540" i="5"/>
  <c r="E540" i="5"/>
  <c r="E539" i="5"/>
  <c r="G539" i="5" s="1"/>
  <c r="L536" i="5"/>
  <c r="G535" i="5"/>
  <c r="H536" i="5" s="1"/>
  <c r="M536" i="5" s="1"/>
  <c r="K531" i="5"/>
  <c r="N530" i="5"/>
  <c r="M530" i="5"/>
  <c r="E530" i="5"/>
  <c r="G530" i="5" s="1"/>
  <c r="D530" i="5"/>
  <c r="N529" i="5"/>
  <c r="M529" i="5"/>
  <c r="E529" i="5"/>
  <c r="G529" i="5" s="1"/>
  <c r="D529" i="5"/>
  <c r="N528" i="5"/>
  <c r="M528" i="5"/>
  <c r="E528" i="5"/>
  <c r="G528" i="5" s="1"/>
  <c r="D528" i="5"/>
  <c r="N527" i="5"/>
  <c r="M527" i="5"/>
  <c r="E527" i="5"/>
  <c r="G527" i="5" s="1"/>
  <c r="D527" i="5"/>
  <c r="N526" i="5"/>
  <c r="M526" i="5"/>
  <c r="E526" i="5"/>
  <c r="G526" i="5" s="1"/>
  <c r="D526" i="5"/>
  <c r="N525" i="5"/>
  <c r="M525" i="5"/>
  <c r="E525" i="5"/>
  <c r="G525" i="5" s="1"/>
  <c r="D525" i="5"/>
  <c r="N524" i="5"/>
  <c r="M524" i="5"/>
  <c r="E524" i="5"/>
  <c r="G524" i="5" s="1"/>
  <c r="D524" i="5"/>
  <c r="N523" i="5"/>
  <c r="M523" i="5"/>
  <c r="E523" i="5"/>
  <c r="G523" i="5" s="1"/>
  <c r="D523" i="5"/>
  <c r="N522" i="5"/>
  <c r="M522" i="5"/>
  <c r="E522" i="5"/>
  <c r="G522" i="5" s="1"/>
  <c r="D522" i="5"/>
  <c r="N521" i="5"/>
  <c r="M521" i="5"/>
  <c r="E521" i="5"/>
  <c r="G521" i="5" s="1"/>
  <c r="D521" i="5"/>
  <c r="N520" i="5"/>
  <c r="M520" i="5"/>
  <c r="E520" i="5"/>
  <c r="G520" i="5" s="1"/>
  <c r="D520" i="5"/>
  <c r="J517" i="5"/>
  <c r="J529" i="5" s="1"/>
  <c r="B510" i="5"/>
  <c r="F509" i="5"/>
  <c r="A507" i="5"/>
  <c r="A506" i="5"/>
  <c r="A505" i="5"/>
  <c r="A504" i="5"/>
  <c r="P469" i="4"/>
  <c r="N452" i="4"/>
  <c r="N466" i="4" s="1"/>
  <c r="C434" i="4"/>
  <c r="B434" i="4"/>
  <c r="L449" i="4" s="1"/>
  <c r="C17" i="3"/>
  <c r="C15" i="3"/>
  <c r="H391" i="4" s="1"/>
  <c r="B14" i="3"/>
  <c r="M491" i="5"/>
  <c r="F490" i="5"/>
  <c r="E490" i="5"/>
  <c r="E489" i="5"/>
  <c r="G489" i="5" s="1"/>
  <c r="L486" i="5"/>
  <c r="G485" i="5"/>
  <c r="H486" i="5" s="1"/>
  <c r="M486" i="5" s="1"/>
  <c r="K481" i="5"/>
  <c r="N480" i="5"/>
  <c r="M480" i="5"/>
  <c r="G480" i="5"/>
  <c r="D480" i="5"/>
  <c r="N479" i="5"/>
  <c r="M479" i="5"/>
  <c r="G479" i="5"/>
  <c r="D479" i="5"/>
  <c r="N478" i="5"/>
  <c r="M478" i="5"/>
  <c r="G478" i="5"/>
  <c r="D478" i="5"/>
  <c r="N477" i="5"/>
  <c r="M477" i="5"/>
  <c r="G477" i="5"/>
  <c r="D477" i="5"/>
  <c r="N476" i="5"/>
  <c r="M476" i="5"/>
  <c r="G476" i="5"/>
  <c r="D476" i="5"/>
  <c r="N475" i="5"/>
  <c r="M475" i="5"/>
  <c r="G475" i="5"/>
  <c r="D475" i="5"/>
  <c r="N474" i="5"/>
  <c r="M474" i="5"/>
  <c r="G474" i="5"/>
  <c r="D474" i="5"/>
  <c r="N473" i="5"/>
  <c r="M473" i="5"/>
  <c r="G473" i="5"/>
  <c r="D473" i="5"/>
  <c r="N472" i="5"/>
  <c r="M472" i="5"/>
  <c r="G472" i="5"/>
  <c r="D472" i="5"/>
  <c r="N471" i="5"/>
  <c r="M471" i="5"/>
  <c r="G471" i="5"/>
  <c r="D471" i="5"/>
  <c r="N470" i="5"/>
  <c r="M470" i="5"/>
  <c r="G470" i="5"/>
  <c r="J467" i="5"/>
  <c r="J479" i="5" s="1"/>
  <c r="B460" i="5"/>
  <c r="F459" i="5"/>
  <c r="A457" i="5"/>
  <c r="A456" i="5"/>
  <c r="A455" i="5"/>
  <c r="A454" i="5"/>
  <c r="P426" i="4"/>
  <c r="N409" i="4"/>
  <c r="N423" i="4" s="1"/>
  <c r="C391" i="4"/>
  <c r="B391" i="4"/>
  <c r="L407" i="4" s="1"/>
  <c r="M441" i="5"/>
  <c r="E440" i="5"/>
  <c r="E439" i="5"/>
  <c r="G439" i="5" s="1"/>
  <c r="L436" i="5"/>
  <c r="G435" i="5"/>
  <c r="H436" i="5" s="1"/>
  <c r="M436" i="5" s="1"/>
  <c r="K431" i="5"/>
  <c r="N430" i="5"/>
  <c r="M430" i="5"/>
  <c r="E430" i="5"/>
  <c r="G430" i="5" s="1"/>
  <c r="D430" i="5"/>
  <c r="N429" i="5"/>
  <c r="M429" i="5"/>
  <c r="E429" i="5"/>
  <c r="G429" i="5" s="1"/>
  <c r="D429" i="5"/>
  <c r="N428" i="5"/>
  <c r="M428" i="5"/>
  <c r="E428" i="5"/>
  <c r="G428" i="5" s="1"/>
  <c r="D428" i="5"/>
  <c r="N427" i="5"/>
  <c r="M427" i="5"/>
  <c r="E427" i="5"/>
  <c r="G427" i="5" s="1"/>
  <c r="D427" i="5"/>
  <c r="N426" i="5"/>
  <c r="M426" i="5"/>
  <c r="E426" i="5"/>
  <c r="G426" i="5" s="1"/>
  <c r="D426" i="5"/>
  <c r="N425" i="5"/>
  <c r="M425" i="5"/>
  <c r="E425" i="5"/>
  <c r="G425" i="5" s="1"/>
  <c r="D425" i="5"/>
  <c r="N424" i="5"/>
  <c r="M424" i="5"/>
  <c r="E424" i="5"/>
  <c r="G424" i="5" s="1"/>
  <c r="D424" i="5"/>
  <c r="N423" i="5"/>
  <c r="M423" i="5"/>
  <c r="E423" i="5"/>
  <c r="G423" i="5" s="1"/>
  <c r="D423" i="5"/>
  <c r="N422" i="5"/>
  <c r="M422" i="5"/>
  <c r="E422" i="5"/>
  <c r="G422" i="5" s="1"/>
  <c r="D422" i="5"/>
  <c r="N421" i="5"/>
  <c r="M421" i="5"/>
  <c r="E421" i="5"/>
  <c r="G421" i="5" s="1"/>
  <c r="D421" i="5"/>
  <c r="N420" i="5"/>
  <c r="M420" i="5"/>
  <c r="E420" i="5"/>
  <c r="G420" i="5" s="1"/>
  <c r="D420" i="5"/>
  <c r="J417" i="5"/>
  <c r="J429" i="5" s="1"/>
  <c r="B408" i="5"/>
  <c r="F407" i="5"/>
  <c r="A405" i="5"/>
  <c r="A404" i="5"/>
  <c r="A403" i="5"/>
  <c r="A402" i="5"/>
  <c r="P383" i="4"/>
  <c r="N366" i="4"/>
  <c r="N380" i="4" s="1"/>
  <c r="C348" i="4"/>
  <c r="G351" i="4" s="1"/>
  <c r="B348" i="4"/>
  <c r="L364" i="4" s="1"/>
  <c r="C13" i="3"/>
  <c r="H348" i="4" s="1"/>
  <c r="M389" i="5"/>
  <c r="E388" i="5"/>
  <c r="E387" i="5"/>
  <c r="G387" i="5" s="1"/>
  <c r="L384" i="5"/>
  <c r="G383" i="5"/>
  <c r="H384" i="5" s="1"/>
  <c r="M384" i="5" s="1"/>
  <c r="K379" i="5"/>
  <c r="N378" i="5"/>
  <c r="M378" i="5"/>
  <c r="E378" i="5"/>
  <c r="G378" i="5" s="1"/>
  <c r="D378" i="5"/>
  <c r="N377" i="5"/>
  <c r="M377" i="5"/>
  <c r="E377" i="5"/>
  <c r="G377" i="5" s="1"/>
  <c r="D377" i="5"/>
  <c r="N376" i="5"/>
  <c r="M376" i="5"/>
  <c r="E376" i="5"/>
  <c r="G376" i="5" s="1"/>
  <c r="D376" i="5"/>
  <c r="N375" i="5"/>
  <c r="M375" i="5"/>
  <c r="E375" i="5"/>
  <c r="G375" i="5" s="1"/>
  <c r="D375" i="5"/>
  <c r="N374" i="5"/>
  <c r="M374" i="5"/>
  <c r="E374" i="5"/>
  <c r="G374" i="5" s="1"/>
  <c r="D374" i="5"/>
  <c r="N373" i="5"/>
  <c r="M373" i="5"/>
  <c r="E373" i="5"/>
  <c r="G373" i="5" s="1"/>
  <c r="D373" i="5"/>
  <c r="N372" i="5"/>
  <c r="M372" i="5"/>
  <c r="E372" i="5"/>
  <c r="G372" i="5" s="1"/>
  <c r="D372" i="5"/>
  <c r="N371" i="5"/>
  <c r="M371" i="5"/>
  <c r="E371" i="5"/>
  <c r="G371" i="5" s="1"/>
  <c r="D371" i="5"/>
  <c r="N370" i="5"/>
  <c r="M370" i="5"/>
  <c r="E370" i="5"/>
  <c r="G370" i="5" s="1"/>
  <c r="D370" i="5"/>
  <c r="N369" i="5"/>
  <c r="M369" i="5"/>
  <c r="E369" i="5"/>
  <c r="G369" i="5" s="1"/>
  <c r="D369" i="5"/>
  <c r="N368" i="5"/>
  <c r="M368" i="5"/>
  <c r="E368" i="5"/>
  <c r="G368" i="5" s="1"/>
  <c r="D368" i="5"/>
  <c r="J365" i="5"/>
  <c r="J377" i="5" s="1"/>
  <c r="B357" i="5"/>
  <c r="F356" i="5"/>
  <c r="A354" i="5"/>
  <c r="A353" i="5"/>
  <c r="A352" i="5"/>
  <c r="A351" i="5"/>
  <c r="P340" i="4"/>
  <c r="N323" i="4"/>
  <c r="N337" i="4" s="1"/>
  <c r="C305" i="4"/>
  <c r="G308" i="4" s="1"/>
  <c r="B305" i="4"/>
  <c r="L321" i="4" s="1"/>
  <c r="C12" i="3"/>
  <c r="H305" i="4" s="1"/>
  <c r="M238" i="5"/>
  <c r="F237" i="5"/>
  <c r="E237" i="5"/>
  <c r="E236" i="5"/>
  <c r="G236" i="5" s="1"/>
  <c r="L233" i="5"/>
  <c r="G232" i="5"/>
  <c r="H233" i="5" s="1"/>
  <c r="M233" i="5" s="1"/>
  <c r="K228" i="5"/>
  <c r="N227" i="5"/>
  <c r="M227" i="5"/>
  <c r="N226" i="5"/>
  <c r="M226" i="5"/>
  <c r="N225" i="5"/>
  <c r="M225" i="5"/>
  <c r="N224" i="5"/>
  <c r="M224" i="5"/>
  <c r="E224" i="5"/>
  <c r="G224" i="5" s="1"/>
  <c r="D224" i="5"/>
  <c r="N223" i="5"/>
  <c r="M223" i="5"/>
  <c r="E223" i="5"/>
  <c r="G223" i="5" s="1"/>
  <c r="D223" i="5"/>
  <c r="N222" i="5"/>
  <c r="M222" i="5"/>
  <c r="E222" i="5"/>
  <c r="G222" i="5" s="1"/>
  <c r="D222" i="5"/>
  <c r="N221" i="5"/>
  <c r="M221" i="5"/>
  <c r="E221" i="5"/>
  <c r="G221" i="5" s="1"/>
  <c r="D221" i="5"/>
  <c r="N220" i="5"/>
  <c r="M220" i="5"/>
  <c r="E220" i="5"/>
  <c r="G220" i="5" s="1"/>
  <c r="D220" i="5"/>
  <c r="N219" i="5"/>
  <c r="M219" i="5"/>
  <c r="E219" i="5"/>
  <c r="G219" i="5" s="1"/>
  <c r="D219" i="5"/>
  <c r="N218" i="5"/>
  <c r="M218" i="5"/>
  <c r="E218" i="5"/>
  <c r="G218" i="5" s="1"/>
  <c r="D218" i="5"/>
  <c r="N217" i="5"/>
  <c r="M217" i="5"/>
  <c r="E217" i="5"/>
  <c r="G217" i="5" s="1"/>
  <c r="D217" i="5"/>
  <c r="J214" i="5"/>
  <c r="J226" i="5" s="1"/>
  <c r="B207" i="5"/>
  <c r="F206" i="5"/>
  <c r="A204" i="5"/>
  <c r="A203" i="5"/>
  <c r="A202" i="5"/>
  <c r="A201" i="5"/>
  <c r="P211" i="4"/>
  <c r="N194" i="4"/>
  <c r="N203" i="4" s="1"/>
  <c r="C176" i="4"/>
  <c r="B176" i="4"/>
  <c r="L192" i="4" s="1"/>
  <c r="C9" i="3"/>
  <c r="H176" i="4" s="1"/>
  <c r="M188" i="5"/>
  <c r="E187" i="5"/>
  <c r="E186" i="5"/>
  <c r="G186" i="5" s="1"/>
  <c r="L183" i="5"/>
  <c r="G182" i="5"/>
  <c r="H183" i="5" s="1"/>
  <c r="M183" i="5" s="1"/>
  <c r="K178" i="5"/>
  <c r="N177" i="5"/>
  <c r="M177" i="5"/>
  <c r="G177" i="5"/>
  <c r="D177" i="5"/>
  <c r="N176" i="5"/>
  <c r="M176" i="5"/>
  <c r="G176" i="5"/>
  <c r="D176" i="5"/>
  <c r="N175" i="5"/>
  <c r="M175" i="5"/>
  <c r="G175" i="5"/>
  <c r="D175" i="5"/>
  <c r="N174" i="5"/>
  <c r="M174" i="5"/>
  <c r="G174" i="5"/>
  <c r="D174" i="5"/>
  <c r="N173" i="5"/>
  <c r="M173" i="5"/>
  <c r="G173" i="5"/>
  <c r="D173" i="5"/>
  <c r="N172" i="5"/>
  <c r="M172" i="5"/>
  <c r="G172" i="5"/>
  <c r="D172" i="5"/>
  <c r="N171" i="5"/>
  <c r="M171" i="5"/>
  <c r="G171" i="5"/>
  <c r="N170" i="5"/>
  <c r="M170" i="5"/>
  <c r="G170" i="5"/>
  <c r="D170" i="5"/>
  <c r="N169" i="5"/>
  <c r="M169" i="5"/>
  <c r="G169" i="5"/>
  <c r="D169" i="5"/>
  <c r="N168" i="5"/>
  <c r="M168" i="5"/>
  <c r="G168" i="5"/>
  <c r="D168" i="5"/>
  <c r="N167" i="5"/>
  <c r="M167" i="5"/>
  <c r="G167" i="5"/>
  <c r="D167" i="5"/>
  <c r="J164" i="5"/>
  <c r="J176" i="5" s="1"/>
  <c r="B157" i="5"/>
  <c r="F156" i="5"/>
  <c r="A154" i="5"/>
  <c r="A153" i="5"/>
  <c r="A152" i="5"/>
  <c r="A151" i="5"/>
  <c r="P168" i="4"/>
  <c r="N151" i="4"/>
  <c r="N163" i="4" s="1"/>
  <c r="C133" i="4"/>
  <c r="B133" i="4"/>
  <c r="L149" i="4" s="1"/>
  <c r="C8" i="3"/>
  <c r="H133" i="4" s="1"/>
  <c r="C7" i="3"/>
  <c r="B106" i="5" s="1"/>
  <c r="B6" i="3"/>
  <c r="M138" i="5"/>
  <c r="F137" i="5"/>
  <c r="E137" i="5"/>
  <c r="E136" i="5"/>
  <c r="G136" i="5" s="1"/>
  <c r="L133" i="5"/>
  <c r="G132" i="5"/>
  <c r="H133" i="5" s="1"/>
  <c r="M133" i="5" s="1"/>
  <c r="K128" i="5"/>
  <c r="N127" i="5"/>
  <c r="M127" i="5"/>
  <c r="E127" i="5"/>
  <c r="G127" i="5" s="1"/>
  <c r="D127" i="5"/>
  <c r="N126" i="5"/>
  <c r="M126" i="5"/>
  <c r="E126" i="5"/>
  <c r="G126" i="5" s="1"/>
  <c r="D126" i="5"/>
  <c r="N125" i="5"/>
  <c r="M125" i="5"/>
  <c r="E125" i="5"/>
  <c r="G125" i="5" s="1"/>
  <c r="D125" i="5"/>
  <c r="N124" i="5"/>
  <c r="M124" i="5"/>
  <c r="E124" i="5"/>
  <c r="G124" i="5" s="1"/>
  <c r="D124" i="5"/>
  <c r="N123" i="5"/>
  <c r="M123" i="5"/>
  <c r="E123" i="5"/>
  <c r="G123" i="5" s="1"/>
  <c r="D123" i="5"/>
  <c r="N122" i="5"/>
  <c r="M122" i="5"/>
  <c r="E122" i="5"/>
  <c r="G122" i="5" s="1"/>
  <c r="D122" i="5"/>
  <c r="N121" i="5"/>
  <c r="M121" i="5"/>
  <c r="E121" i="5"/>
  <c r="G121" i="5" s="1"/>
  <c r="D121" i="5"/>
  <c r="N120" i="5"/>
  <c r="M120" i="5"/>
  <c r="E120" i="5"/>
  <c r="G120" i="5" s="1"/>
  <c r="D120" i="5"/>
  <c r="N119" i="5"/>
  <c r="M119" i="5"/>
  <c r="E119" i="5"/>
  <c r="G119" i="5" s="1"/>
  <c r="D119" i="5"/>
  <c r="N118" i="5"/>
  <c r="M118" i="5"/>
  <c r="E118" i="5"/>
  <c r="G118" i="5" s="1"/>
  <c r="D118" i="5"/>
  <c r="N117" i="5"/>
  <c r="M117" i="5"/>
  <c r="E117" i="5"/>
  <c r="G117" i="5" s="1"/>
  <c r="D117" i="5"/>
  <c r="J114" i="5"/>
  <c r="J127" i="5" s="1"/>
  <c r="B107" i="5"/>
  <c r="F106" i="5"/>
  <c r="A104" i="5"/>
  <c r="A103" i="5"/>
  <c r="A102" i="5"/>
  <c r="A101" i="5"/>
  <c r="P125" i="4"/>
  <c r="N108" i="4"/>
  <c r="N122" i="4" s="1"/>
  <c r="C90" i="4"/>
  <c r="B90" i="4"/>
  <c r="L104" i="4" s="1"/>
  <c r="E17" i="13"/>
  <c r="G17" i="13" s="1"/>
  <c r="E18" i="13"/>
  <c r="G18" i="13" s="1"/>
  <c r="E19" i="13"/>
  <c r="G19" i="13" s="1"/>
  <c r="E20" i="13"/>
  <c r="G20" i="13" s="1"/>
  <c r="E21" i="13"/>
  <c r="G21" i="13" s="1"/>
  <c r="E22" i="13"/>
  <c r="G22" i="13" s="1"/>
  <c r="E23" i="13"/>
  <c r="G23" i="13" s="1"/>
  <c r="E24" i="13"/>
  <c r="G24" i="13" s="1"/>
  <c r="E25" i="13"/>
  <c r="G25" i="13" s="1"/>
  <c r="E26" i="13"/>
  <c r="G26" i="13" s="1"/>
  <c r="E27" i="13"/>
  <c r="G27" i="13" s="1"/>
  <c r="D17" i="13"/>
  <c r="D18" i="13"/>
  <c r="D19" i="13"/>
  <c r="D20" i="13"/>
  <c r="D21" i="13"/>
  <c r="D22" i="13"/>
  <c r="D23" i="13"/>
  <c r="D24" i="13"/>
  <c r="D25" i="13"/>
  <c r="D26" i="13"/>
  <c r="D27" i="13"/>
  <c r="E487" i="17"/>
  <c r="E2" i="17"/>
  <c r="E507" i="17"/>
  <c r="E568" i="17"/>
  <c r="E569" i="17"/>
  <c r="E570" i="17"/>
  <c r="E828" i="17"/>
  <c r="E829" i="17"/>
  <c r="E704" i="17"/>
  <c r="E857" i="17"/>
  <c r="E859" i="17"/>
  <c r="E860" i="17"/>
  <c r="E715" i="17"/>
  <c r="E716" i="17"/>
  <c r="E717" i="17"/>
  <c r="E68" i="17"/>
  <c r="E69" i="17"/>
  <c r="E70" i="17"/>
  <c r="E12" i="17"/>
  <c r="E522" i="17"/>
  <c r="E523" i="17"/>
  <c r="E524" i="17"/>
  <c r="E525" i="17"/>
  <c r="E526" i="17"/>
  <c r="E565" i="17"/>
  <c r="E566" i="17"/>
  <c r="E563" i="17"/>
  <c r="E564" i="17"/>
  <c r="E561" i="17"/>
  <c r="E562" i="17"/>
  <c r="E830" i="17"/>
  <c r="E831" i="17"/>
  <c r="E1044" i="17"/>
  <c r="E179" i="17"/>
  <c r="E497" i="17"/>
  <c r="E858" i="17"/>
  <c r="E16" i="17"/>
  <c r="E13" i="17"/>
  <c r="E14" i="17"/>
  <c r="E15" i="17"/>
  <c r="E101" i="17"/>
  <c r="E17" i="17"/>
  <c r="E18" i="17"/>
  <c r="E384" i="17"/>
  <c r="E385" i="17"/>
  <c r="E671" i="17"/>
  <c r="E672" i="17"/>
  <c r="E673" i="17"/>
  <c r="E674" i="17"/>
  <c r="E675" i="17"/>
  <c r="E676" i="17"/>
  <c r="E677" i="17"/>
  <c r="E678" i="17"/>
  <c r="E679" i="17"/>
  <c r="E680" i="17"/>
  <c r="E86" i="17"/>
  <c r="E87" i="17"/>
  <c r="E88" i="17"/>
  <c r="E89" i="17"/>
  <c r="E90" i="17"/>
  <c r="E91" i="17"/>
  <c r="E92" i="17"/>
  <c r="E93" i="17"/>
  <c r="E94" i="17"/>
  <c r="E104" i="17"/>
  <c r="E121" i="17"/>
  <c r="E131" i="17"/>
  <c r="E137" i="17"/>
  <c r="E138" i="17"/>
  <c r="E129" i="17"/>
  <c r="E542" i="17"/>
  <c r="E767" i="17"/>
  <c r="E768" i="17"/>
  <c r="E769" i="17"/>
  <c r="E770" i="17"/>
  <c r="E827" i="17"/>
  <c r="E130" i="17"/>
  <c r="E71" i="17"/>
  <c r="E72" i="17"/>
  <c r="E73" i="17"/>
  <c r="E74" i="17"/>
  <c r="E75" i="17"/>
  <c r="E76" i="17"/>
  <c r="E77" i="17"/>
  <c r="E78" i="17"/>
  <c r="E79" i="17"/>
  <c r="E80" i="17"/>
  <c r="E81" i="17"/>
  <c r="E82" i="17"/>
  <c r="E83" i="17"/>
  <c r="E84" i="17"/>
  <c r="E85" i="17"/>
  <c r="E180" i="17"/>
  <c r="E181" i="17"/>
  <c r="E182" i="17"/>
  <c r="E183" i="17"/>
  <c r="E184" i="17"/>
  <c r="E185" i="17"/>
  <c r="E186" i="17"/>
  <c r="E187" i="17"/>
  <c r="E188" i="17"/>
  <c r="E189" i="17"/>
  <c r="E190" i="17"/>
  <c r="E191" i="17"/>
  <c r="E192" i="17"/>
  <c r="E193" i="17"/>
  <c r="E194" i="17"/>
  <c r="E195" i="17"/>
  <c r="E196" i="17"/>
  <c r="E197" i="17"/>
  <c r="E198" i="17"/>
  <c r="E199" i="17"/>
  <c r="E200" i="17"/>
  <c r="E201" i="17"/>
  <c r="E202" i="17"/>
  <c r="E289" i="17"/>
  <c r="E581" i="17"/>
  <c r="E582" i="17"/>
  <c r="E583" i="17"/>
  <c r="E584" i="17"/>
  <c r="E585" i="17"/>
  <c r="E586" i="17"/>
  <c r="E587" i="17"/>
  <c r="E588" i="17"/>
  <c r="E589" i="17"/>
  <c r="E590" i="17"/>
  <c r="E591" i="17"/>
  <c r="E705" i="17"/>
  <c r="E706" i="17"/>
  <c r="E707" i="17"/>
  <c r="E708" i="17"/>
  <c r="E811" i="17"/>
  <c r="E812" i="17"/>
  <c r="E324" i="17"/>
  <c r="E474" i="17"/>
  <c r="E505" i="17"/>
  <c r="E709" i="17"/>
  <c r="E785" i="17"/>
  <c r="E806" i="17"/>
  <c r="E809" i="17"/>
  <c r="E810" i="17"/>
  <c r="E1234" i="17"/>
  <c r="E1235" i="17"/>
  <c r="E1236" i="17"/>
  <c r="E1237" i="17"/>
  <c r="E1238" i="17"/>
  <c r="E364" i="17"/>
  <c r="E365" i="17"/>
  <c r="E366" i="17"/>
  <c r="E367" i="17"/>
  <c r="E32" i="17"/>
  <c r="E33" i="17"/>
  <c r="E35" i="17"/>
  <c r="E112" i="17"/>
  <c r="E338" i="17"/>
  <c r="E339" i="17"/>
  <c r="E340" i="17"/>
  <c r="E466" i="17"/>
  <c r="E467" i="17"/>
  <c r="E517" i="17"/>
  <c r="E518" i="17"/>
  <c r="E519" i="17"/>
  <c r="E556" i="17"/>
  <c r="E764" i="17"/>
  <c r="E765" i="17"/>
  <c r="E766" i="17"/>
  <c r="E850" i="17"/>
  <c r="E880" i="17"/>
  <c r="E883" i="17"/>
  <c r="E884" i="17"/>
  <c r="E885" i="17"/>
  <c r="E886" i="17"/>
  <c r="E887" i="17"/>
  <c r="E888" i="17"/>
  <c r="E950" i="17"/>
  <c r="E951" i="17"/>
  <c r="E952" i="17"/>
  <c r="E956" i="17"/>
  <c r="E957" i="17"/>
  <c r="E958" i="17"/>
  <c r="E1020" i="17"/>
  <c r="E1025" i="17"/>
  <c r="E1026" i="17"/>
  <c r="E1027" i="17"/>
  <c r="E1028" i="17"/>
  <c r="E1029" i="17"/>
  <c r="E1030" i="17"/>
  <c r="E1031" i="17"/>
  <c r="E1032" i="17"/>
  <c r="E1033" i="17"/>
  <c r="E1034" i="17"/>
  <c r="E1035" i="17"/>
  <c r="E1036" i="17"/>
  <c r="E1037" i="17"/>
  <c r="E1038" i="17"/>
  <c r="E1039" i="17"/>
  <c r="E1040" i="17"/>
  <c r="E1041" i="17"/>
  <c r="E1042" i="17"/>
  <c r="E1043" i="17"/>
  <c r="E1046" i="17"/>
  <c r="E1047" i="17"/>
  <c r="E1048" i="17"/>
  <c r="E1158" i="17"/>
  <c r="E1159" i="17"/>
  <c r="E1160" i="17"/>
  <c r="E1161" i="17"/>
  <c r="E1162" i="17"/>
  <c r="E1163" i="17"/>
  <c r="E1167" i="17"/>
  <c r="E1168" i="17"/>
  <c r="E1169" i="17"/>
  <c r="E1170" i="17"/>
  <c r="E1171" i="17"/>
  <c r="E278" i="17"/>
  <c r="E279" i="17"/>
  <c r="E61" i="17"/>
  <c r="E62" i="17"/>
  <c r="E63" i="17"/>
  <c r="E64" i="17"/>
  <c r="E65" i="17"/>
  <c r="E66" i="17"/>
  <c r="E67" i="17"/>
  <c r="E95" i="17"/>
  <c r="E96" i="17"/>
  <c r="E97" i="17"/>
  <c r="E107" i="17"/>
  <c r="E108" i="17"/>
  <c r="E109" i="17"/>
  <c r="E110" i="17"/>
  <c r="E204" i="17"/>
  <c r="E205" i="17"/>
  <c r="E206" i="17"/>
  <c r="E207" i="17"/>
  <c r="E208" i="17"/>
  <c r="E209" i="17"/>
  <c r="E281" i="17"/>
  <c r="E282" i="17"/>
  <c r="E288" i="17"/>
  <c r="E323" i="17"/>
  <c r="E290" i="17"/>
  <c r="E291" i="17"/>
  <c r="E292" i="17"/>
  <c r="E293" i="17"/>
  <c r="E294" i="17"/>
  <c r="E295" i="17"/>
  <c r="E296" i="17"/>
  <c r="E297" i="17"/>
  <c r="E298" i="17"/>
  <c r="E299" i="17"/>
  <c r="E300" i="17"/>
  <c r="E301" i="17"/>
  <c r="E302" i="17"/>
  <c r="E303" i="17"/>
  <c r="E304" i="17"/>
  <c r="E305" i="17"/>
  <c r="E306" i="17"/>
  <c r="E307" i="17"/>
  <c r="E308" i="17"/>
  <c r="E309" i="17"/>
  <c r="E310" i="17"/>
  <c r="E311" i="17"/>
  <c r="E312" i="17"/>
  <c r="E313" i="17"/>
  <c r="E314" i="17"/>
  <c r="E315" i="17"/>
  <c r="E316" i="17"/>
  <c r="E317" i="17"/>
  <c r="E318" i="17"/>
  <c r="E319" i="17"/>
  <c r="E320" i="17"/>
  <c r="E321" i="17"/>
  <c r="E322" i="17"/>
  <c r="E337" i="17"/>
  <c r="E325" i="17"/>
  <c r="E326" i="17"/>
  <c r="E327" i="17"/>
  <c r="E328" i="17"/>
  <c r="E329" i="17"/>
  <c r="E330" i="17"/>
  <c r="E331" i="17"/>
  <c r="E332" i="17"/>
  <c r="E333" i="17"/>
  <c r="E334" i="17"/>
  <c r="E335" i="17"/>
  <c r="E471" i="17"/>
  <c r="E472" i="17"/>
  <c r="E488" i="17"/>
  <c r="E489" i="17"/>
  <c r="E490" i="17"/>
  <c r="E491" i="17"/>
  <c r="E492" i="17"/>
  <c r="E493" i="17"/>
  <c r="E494" i="17"/>
  <c r="E495" i="17"/>
  <c r="E496" i="17"/>
  <c r="E574" i="17"/>
  <c r="E575" i="17"/>
  <c r="E576" i="17"/>
  <c r="E577" i="17"/>
  <c r="E349" i="17"/>
  <c r="E579" i="17"/>
  <c r="E618" i="17"/>
  <c r="E619" i="17"/>
  <c r="E807" i="17"/>
  <c r="E808" i="17"/>
  <c r="E483" i="17"/>
  <c r="E835" i="17"/>
  <c r="E889" i="17"/>
  <c r="E899" i="17"/>
  <c r="E900" i="17"/>
  <c r="E901" i="17"/>
  <c r="E902" i="17"/>
  <c r="E903" i="17"/>
  <c r="E904" i="17"/>
  <c r="E907" i="17"/>
  <c r="E908" i="17"/>
  <c r="E909" i="17"/>
  <c r="E910" i="17"/>
  <c r="E911" i="17"/>
  <c r="E912" i="17"/>
  <c r="E913" i="17"/>
  <c r="E914" i="17"/>
  <c r="E915" i="17"/>
  <c r="E916" i="17"/>
  <c r="E926" i="17"/>
  <c r="E927" i="17"/>
  <c r="E931" i="17"/>
  <c r="E932" i="17"/>
  <c r="E928" i="17"/>
  <c r="E929" i="17"/>
  <c r="E930" i="17"/>
  <c r="E933" i="17"/>
  <c r="E934" i="17"/>
  <c r="E935" i="17"/>
  <c r="E936" i="17"/>
  <c r="E937" i="17"/>
  <c r="E938" i="17"/>
  <c r="E939" i="17"/>
  <c r="E946" i="17"/>
  <c r="E949" i="17"/>
  <c r="E953" i="17"/>
  <c r="E954" i="17"/>
  <c r="E955" i="17"/>
  <c r="E1050" i="17"/>
  <c r="E1051" i="17"/>
  <c r="E1052" i="17"/>
  <c r="E1053" i="17"/>
  <c r="E1054" i="17"/>
  <c r="E1097" i="17"/>
  <c r="E1098" i="17"/>
  <c r="E1099" i="17"/>
  <c r="E1100" i="17"/>
  <c r="E1101" i="17"/>
  <c r="E1106" i="17"/>
  <c r="E1107" i="17"/>
  <c r="E1108" i="17"/>
  <c r="E1109" i="17"/>
  <c r="E1110" i="17"/>
  <c r="E1172" i="17"/>
  <c r="E1173" i="17"/>
  <c r="E1174" i="17"/>
  <c r="E1087" i="17"/>
  <c r="E1088" i="17"/>
  <c r="E1089" i="17"/>
  <c r="E919" i="17"/>
  <c r="E920" i="17"/>
  <c r="E921" i="17"/>
  <c r="E922" i="17"/>
  <c r="E923" i="17"/>
  <c r="E924" i="17"/>
  <c r="E925" i="17"/>
  <c r="E1216" i="17"/>
  <c r="E1217" i="17"/>
  <c r="E1218" i="17"/>
  <c r="E905" i="17"/>
  <c r="E906" i="17"/>
  <c r="E478" i="17"/>
  <c r="E479" i="17"/>
  <c r="E480" i="17"/>
  <c r="E481" i="17"/>
  <c r="E482" i="17"/>
  <c r="E485" i="17"/>
  <c r="E509" i="17"/>
  <c r="E513" i="17"/>
  <c r="E551" i="17"/>
  <c r="E552" i="17"/>
  <c r="E607" i="17"/>
  <c r="E608" i="17"/>
  <c r="E609" i="17"/>
  <c r="E645" i="17"/>
  <c r="E646" i="17"/>
  <c r="E647" i="17"/>
  <c r="E648" i="17"/>
  <c r="E649" i="17"/>
  <c r="E650" i="17"/>
  <c r="E651" i="17"/>
  <c r="E203" i="17"/>
  <c r="E363" i="17"/>
  <c r="E521" i="17"/>
  <c r="E652" i="17"/>
  <c r="E541" i="17"/>
  <c r="E654" i="17"/>
  <c r="E655" i="17"/>
  <c r="E669" i="17"/>
  <c r="E670" i="17"/>
  <c r="E733" i="17"/>
  <c r="E890" i="17"/>
  <c r="E549" i="17"/>
  <c r="E892" i="17"/>
  <c r="E893" i="17"/>
  <c r="E894" i="17"/>
  <c r="E895" i="17"/>
  <c r="E896" i="17"/>
  <c r="E897" i="17"/>
  <c r="E898" i="17"/>
  <c r="E917" i="17"/>
  <c r="E918" i="17"/>
  <c r="E940" i="17"/>
  <c r="E1248" i="17"/>
  <c r="E1249" i="17"/>
  <c r="E1250" i="17"/>
  <c r="E111" i="17"/>
  <c r="E3" i="17"/>
  <c r="E4" i="17"/>
  <c r="E5" i="17"/>
  <c r="E6" i="17"/>
  <c r="E7" i="17"/>
  <c r="E8" i="17"/>
  <c r="E98" i="17"/>
  <c r="E99" i="17"/>
  <c r="E100" i="17"/>
  <c r="E550" i="17"/>
  <c r="E102" i="17"/>
  <c r="E103" i="17"/>
  <c r="E559" i="17"/>
  <c r="E105" i="17"/>
  <c r="E106" i="17"/>
  <c r="E117" i="17"/>
  <c r="E118" i="17"/>
  <c r="E119" i="17"/>
  <c r="E120" i="17"/>
  <c r="E578" i="17"/>
  <c r="E122" i="17"/>
  <c r="E123" i="17"/>
  <c r="E124" i="17"/>
  <c r="E125" i="17"/>
  <c r="E126" i="17"/>
  <c r="E127" i="17"/>
  <c r="E128" i="17"/>
  <c r="E210" i="17"/>
  <c r="E211" i="17"/>
  <c r="E212" i="17"/>
  <c r="E218" i="17"/>
  <c r="E219" i="17"/>
  <c r="E220" i="17"/>
  <c r="E221" i="17"/>
  <c r="E222" i="17"/>
  <c r="E223" i="17"/>
  <c r="E224" i="17"/>
  <c r="E225" i="17"/>
  <c r="E226" i="17"/>
  <c r="E227" i="17"/>
  <c r="E228" i="17"/>
  <c r="E229" i="17"/>
  <c r="E336" i="17"/>
  <c r="E344" i="17"/>
  <c r="E345" i="17"/>
  <c r="E346" i="17"/>
  <c r="E653" i="17"/>
  <c r="E352" i="17"/>
  <c r="E353" i="17"/>
  <c r="E368" i="17"/>
  <c r="E369" i="17"/>
  <c r="E370" i="17"/>
  <c r="E371" i="17"/>
  <c r="E372" i="17"/>
  <c r="E373" i="17"/>
  <c r="E374" i="17"/>
  <c r="E375" i="17"/>
  <c r="E376" i="17"/>
  <c r="E387" i="17"/>
  <c r="E388" i="17"/>
  <c r="E389" i="17"/>
  <c r="E390" i="17"/>
  <c r="E391" i="17"/>
  <c r="E392" i="17"/>
  <c r="E393" i="17"/>
  <c r="E394" i="17"/>
  <c r="E395" i="17"/>
  <c r="E396" i="17"/>
  <c r="E397" i="17"/>
  <c r="E404" i="17"/>
  <c r="E405" i="17"/>
  <c r="E406" i="17"/>
  <c r="E407" i="17"/>
  <c r="E408" i="17"/>
  <c r="E409" i="17"/>
  <c r="E410" i="17"/>
  <c r="E411" i="17"/>
  <c r="E412" i="17"/>
  <c r="E413" i="17"/>
  <c r="E414" i="17"/>
  <c r="E415" i="17"/>
  <c r="E416" i="17"/>
  <c r="E417" i="17"/>
  <c r="E418" i="17"/>
  <c r="E419" i="17"/>
  <c r="E420" i="17"/>
  <c r="E421" i="17"/>
  <c r="E498" i="17"/>
  <c r="E499" i="17"/>
  <c r="E500" i="17"/>
  <c r="E501" i="17"/>
  <c r="E502" i="17"/>
  <c r="E503" i="17"/>
  <c r="E504" i="17"/>
  <c r="E508" i="17"/>
  <c r="E533" i="17"/>
  <c r="E534" i="17"/>
  <c r="E535" i="17"/>
  <c r="E536" i="17"/>
  <c r="E537" i="17"/>
  <c r="E538" i="17"/>
  <c r="E539" i="17"/>
  <c r="E540" i="17"/>
  <c r="E553" i="17"/>
  <c r="E554" i="17"/>
  <c r="E557" i="17"/>
  <c r="E558" i="17"/>
  <c r="E560" i="17"/>
  <c r="E572" i="17"/>
  <c r="E580" i="17"/>
  <c r="E592" i="17"/>
  <c r="E593" i="17"/>
  <c r="E594" i="17"/>
  <c r="E595" i="17"/>
  <c r="E596" i="17"/>
  <c r="E597" i="17"/>
  <c r="E598" i="17"/>
  <c r="E599" i="17"/>
  <c r="E600" i="17"/>
  <c r="E601" i="17"/>
  <c r="E602" i="17"/>
  <c r="E604" i="17"/>
  <c r="E605" i="17"/>
  <c r="E610" i="17"/>
  <c r="E611" i="17"/>
  <c r="E612" i="17"/>
  <c r="E613" i="17"/>
  <c r="E614" i="17"/>
  <c r="E615" i="17"/>
  <c r="E616" i="17"/>
  <c r="E617" i="17"/>
  <c r="E627" i="17"/>
  <c r="E628" i="17"/>
  <c r="E629" i="17"/>
  <c r="E630" i="17"/>
  <c r="E631" i="17"/>
  <c r="E632" i="17"/>
  <c r="E633" i="17"/>
  <c r="E634" i="17"/>
  <c r="E635" i="17"/>
  <c r="E636" i="17"/>
  <c r="E637" i="17"/>
  <c r="E638" i="17"/>
  <c r="E639" i="17"/>
  <c r="E640" i="17"/>
  <c r="E643" i="17"/>
  <c r="E644" i="17"/>
  <c r="E659" i="17"/>
  <c r="E657" i="17"/>
  <c r="E658" i="17"/>
  <c r="E682" i="17"/>
  <c r="E683" i="17"/>
  <c r="E684" i="17"/>
  <c r="E685" i="17"/>
  <c r="E686" i="17"/>
  <c r="E687" i="17"/>
  <c r="E688" i="17"/>
  <c r="E689" i="17"/>
  <c r="E690" i="17"/>
  <c r="E691" i="17"/>
  <c r="E692" i="17"/>
  <c r="E694" i="17"/>
  <c r="E695" i="17"/>
  <c r="E696" i="17"/>
  <c r="E697" i="17"/>
  <c r="E698" i="17"/>
  <c r="E699" i="17"/>
  <c r="E700" i="17"/>
  <c r="E701" i="17"/>
  <c r="E702" i="17"/>
  <c r="E703" i="17"/>
  <c r="E710" i="17"/>
  <c r="E739" i="17"/>
  <c r="E779" i="17"/>
  <c r="E780" i="17"/>
  <c r="E786" i="17"/>
  <c r="E787" i="17"/>
  <c r="E813" i="17"/>
  <c r="E814" i="17"/>
  <c r="E815" i="17"/>
  <c r="E771" i="17"/>
  <c r="E817" i="17"/>
  <c r="E818" i="17"/>
  <c r="E819" i="17"/>
  <c r="E820" i="17"/>
  <c r="E821" i="17"/>
  <c r="E822" i="17"/>
  <c r="E823" i="17"/>
  <c r="E824" i="17"/>
  <c r="E825" i="17"/>
  <c r="E826" i="17"/>
  <c r="E836" i="17"/>
  <c r="E837" i="17"/>
  <c r="E838" i="17"/>
  <c r="E839" i="17"/>
  <c r="E840" i="17"/>
  <c r="E841" i="17"/>
  <c r="E842" i="17"/>
  <c r="E843" i="17"/>
  <c r="E844" i="17"/>
  <c r="E845" i="17"/>
  <c r="E846" i="17"/>
  <c r="E847" i="17"/>
  <c r="E848" i="17"/>
  <c r="E849" i="17"/>
  <c r="E851" i="17"/>
  <c r="E852" i="17"/>
  <c r="E856" i="17"/>
  <c r="E870" i="17"/>
  <c r="E871" i="17"/>
  <c r="E878" i="17"/>
  <c r="E879" i="17"/>
  <c r="E941" i="17"/>
  <c r="E942" i="17"/>
  <c r="E943" i="17"/>
  <c r="E944" i="17"/>
  <c r="E945" i="17"/>
  <c r="E947" i="17"/>
  <c r="E948" i="17"/>
  <c r="E959" i="17"/>
  <c r="E816" i="17"/>
  <c r="E1049" i="17"/>
  <c r="E1057" i="17"/>
  <c r="E1056" i="17"/>
  <c r="E1059" i="17"/>
  <c r="E1058" i="17"/>
  <c r="E1060" i="17"/>
  <c r="E1063" i="17"/>
  <c r="E1062" i="17"/>
  <c r="E1061" i="17"/>
  <c r="E1064" i="17"/>
  <c r="E1066" i="17"/>
  <c r="E1067" i="17"/>
  <c r="E1065" i="17"/>
  <c r="E1072" i="17"/>
  <c r="E1071" i="17"/>
  <c r="E1073" i="17"/>
  <c r="E1079" i="17"/>
  <c r="E1078" i="17"/>
  <c r="E1074" i="17"/>
  <c r="E1077" i="17"/>
  <c r="E1076" i="17"/>
  <c r="E1075" i="17"/>
  <c r="E1080" i="17"/>
  <c r="E1081" i="17"/>
  <c r="E1082" i="17"/>
  <c r="E1085" i="17"/>
  <c r="E1084" i="17"/>
  <c r="E1083" i="17"/>
  <c r="E1086" i="17"/>
  <c r="E1069" i="17"/>
  <c r="E1070" i="17"/>
  <c r="E1068" i="17"/>
  <c r="E1151" i="17"/>
  <c r="E1152" i="17"/>
  <c r="E1153" i="17"/>
  <c r="E1154" i="17"/>
  <c r="E1155" i="17"/>
  <c r="E1156" i="17"/>
  <c r="E1157" i="17"/>
  <c r="E1191" i="17"/>
  <c r="E1192" i="17"/>
  <c r="E1219" i="17"/>
  <c r="E1220" i="17"/>
  <c r="E1221" i="17"/>
  <c r="E1222" i="17"/>
  <c r="E1223" i="17"/>
  <c r="E1224" i="17"/>
  <c r="E1225" i="17"/>
  <c r="E1226" i="17"/>
  <c r="E1227" i="17"/>
  <c r="E1228" i="17"/>
  <c r="E1229" i="17"/>
  <c r="E1230" i="17"/>
  <c r="E1231" i="17"/>
  <c r="E1232" i="17"/>
  <c r="E1233" i="17"/>
  <c r="E1246" i="17"/>
  <c r="E1247" i="17"/>
  <c r="E1251" i="17"/>
  <c r="E159" i="17"/>
  <c r="E160" i="17"/>
  <c r="E161" i="17"/>
  <c r="E162" i="17"/>
  <c r="E163" i="17"/>
  <c r="E164" i="17"/>
  <c r="E165" i="17"/>
  <c r="E166" i="17"/>
  <c r="E167" i="17"/>
  <c r="E168" i="17"/>
  <c r="E169" i="17"/>
  <c r="E170" i="17"/>
  <c r="E171" i="17"/>
  <c r="E172" i="17"/>
  <c r="E173" i="17"/>
  <c r="E174" i="17"/>
  <c r="E175" i="17"/>
  <c r="E176" i="17"/>
  <c r="E177" i="17"/>
  <c r="E178" i="17"/>
  <c r="E283" i="17"/>
  <c r="E284" i="17"/>
  <c r="E285" i="17"/>
  <c r="E286" i="17"/>
  <c r="E287" i="17"/>
  <c r="E782" i="17"/>
  <c r="E781" i="17"/>
  <c r="E876" i="17"/>
  <c r="E877" i="17"/>
  <c r="E532" i="17"/>
  <c r="E660" i="17"/>
  <c r="E661" i="17"/>
  <c r="E662" i="17"/>
  <c r="E663" i="17"/>
  <c r="E713" i="17"/>
  <c r="E656" i="17"/>
  <c r="E834" i="17"/>
  <c r="E113" i="17"/>
  <c r="E114" i="17"/>
  <c r="E115" i="17"/>
  <c r="E116" i="17"/>
  <c r="E139" i="17"/>
  <c r="E140" i="17"/>
  <c r="E141" i="17"/>
  <c r="E142" i="17"/>
  <c r="E143" i="17"/>
  <c r="E144" i="17"/>
  <c r="E145" i="17"/>
  <c r="E146" i="17"/>
  <c r="E147" i="17"/>
  <c r="E148" i="17"/>
  <c r="E149" i="17"/>
  <c r="E150" i="17"/>
  <c r="E151" i="17"/>
  <c r="E152" i="17"/>
  <c r="E153" i="17"/>
  <c r="E154" i="17"/>
  <c r="E155" i="17"/>
  <c r="E156" i="17"/>
  <c r="E157" i="17"/>
  <c r="E341" i="17"/>
  <c r="E342" i="17"/>
  <c r="E343" i="17"/>
  <c r="E348" i="17"/>
  <c r="E350" i="17"/>
  <c r="E351" i="17"/>
  <c r="E354" i="17"/>
  <c r="E355" i="17"/>
  <c r="E356" i="17"/>
  <c r="E357" i="17"/>
  <c r="E358" i="17"/>
  <c r="E359" i="17"/>
  <c r="E360" i="17"/>
  <c r="E361" i="17"/>
  <c r="E362" i="17"/>
  <c r="E398" i="17"/>
  <c r="E399" i="17"/>
  <c r="E873" i="17"/>
  <c r="E400" i="17"/>
  <c r="E510" i="17"/>
  <c r="E401" i="17"/>
  <c r="E511" i="17"/>
  <c r="E402" i="17"/>
  <c r="E512" i="17"/>
  <c r="E514" i="17"/>
  <c r="E403" i="17"/>
  <c r="E470" i="17"/>
  <c r="E515" i="17"/>
  <c r="E516" i="17"/>
  <c r="E529" i="17"/>
  <c r="E530" i="17"/>
  <c r="E531" i="17"/>
  <c r="E543" i="17"/>
  <c r="E506" i="17"/>
  <c r="E544" i="17"/>
  <c r="E545" i="17"/>
  <c r="E546" i="17"/>
  <c r="E1215" i="17"/>
  <c r="E547" i="17"/>
  <c r="E548" i="17"/>
  <c r="E555" i="17"/>
  <c r="E571" i="17"/>
  <c r="E620" i="17"/>
  <c r="E621" i="17"/>
  <c r="E622" i="17"/>
  <c r="E625" i="17"/>
  <c r="E623" i="17"/>
  <c r="E624" i="17"/>
  <c r="E626" i="17"/>
  <c r="E603" i="17"/>
  <c r="E711" i="17"/>
  <c r="E712" i="17"/>
  <c r="E714" i="17"/>
  <c r="E731" i="17"/>
  <c r="E732" i="17"/>
  <c r="E734" i="17"/>
  <c r="E737" i="17"/>
  <c r="E738" i="17"/>
  <c r="E740" i="17"/>
  <c r="E742" i="17"/>
  <c r="E761" i="17"/>
  <c r="E762" i="17"/>
  <c r="E763" i="17"/>
  <c r="E783" i="17"/>
  <c r="E772" i="17"/>
  <c r="E773" i="17"/>
  <c r="E774" i="17"/>
  <c r="E775" i="17"/>
  <c r="E776" i="17"/>
  <c r="E777" i="17"/>
  <c r="E778" i="17"/>
  <c r="E799" i="17"/>
  <c r="E800" i="17"/>
  <c r="E801" i="17"/>
  <c r="E802" i="17"/>
  <c r="E803" i="17"/>
  <c r="E1239" i="17"/>
  <c r="E1240" i="17"/>
  <c r="E1241" i="17"/>
  <c r="E1242" i="17"/>
  <c r="E1243" i="17"/>
  <c r="E1244" i="17"/>
  <c r="E1245" i="17"/>
  <c r="E1267" i="17"/>
  <c r="E735" i="17"/>
  <c r="E1252" i="17"/>
  <c r="E1253" i="17"/>
  <c r="E741" i="17"/>
  <c r="E743" i="17"/>
  <c r="E744" i="17"/>
  <c r="E745" i="17"/>
  <c r="E746" i="17"/>
  <c r="E747" i="17"/>
  <c r="E748" i="17"/>
  <c r="E749" i="17"/>
  <c r="E750" i="17"/>
  <c r="E751" i="17"/>
  <c r="E752" i="17"/>
  <c r="E753" i="17"/>
  <c r="E754" i="17"/>
  <c r="E755" i="17"/>
  <c r="E756" i="17"/>
  <c r="E757" i="17"/>
  <c r="E758" i="17"/>
  <c r="E759" i="17"/>
  <c r="E760" i="17"/>
  <c r="E788" i="17"/>
  <c r="E789" i="17"/>
  <c r="E790" i="17"/>
  <c r="E791" i="17"/>
  <c r="E792" i="17"/>
  <c r="E793" i="17"/>
  <c r="E794" i="17"/>
  <c r="E795" i="17"/>
  <c r="E796" i="17"/>
  <c r="E797" i="17"/>
  <c r="E798" i="17"/>
  <c r="E1102" i="17"/>
  <c r="E1103" i="17"/>
  <c r="E1104" i="17"/>
  <c r="E1105" i="17"/>
  <c r="E1123" i="17"/>
  <c r="E1124" i="17"/>
  <c r="E1125" i="17"/>
  <c r="E1126" i="17"/>
  <c r="E1127" i="17"/>
  <c r="E1128" i="17"/>
  <c r="E1129" i="17"/>
  <c r="E1130" i="17"/>
  <c r="E1131" i="17"/>
  <c r="E1132" i="17"/>
  <c r="E1133" i="17"/>
  <c r="E1134" i="17"/>
  <c r="E1135" i="17"/>
  <c r="E1138" i="17"/>
  <c r="E1140" i="17"/>
  <c r="E1137" i="17"/>
  <c r="E1136" i="17"/>
  <c r="E1139" i="17"/>
  <c r="E19" i="17"/>
  <c r="E20" i="17"/>
  <c r="E21" i="17"/>
  <c r="E22" i="17"/>
  <c r="E23" i="17"/>
  <c r="E24" i="17"/>
  <c r="E25" i="17"/>
  <c r="E26" i="17"/>
  <c r="E27" i="17"/>
  <c r="E28" i="17"/>
  <c r="E29" i="17"/>
  <c r="E30" i="17"/>
  <c r="E31" i="17"/>
  <c r="E34" i="17"/>
  <c r="E36" i="17"/>
  <c r="E37" i="17"/>
  <c r="E38" i="17"/>
  <c r="E39" i="17"/>
  <c r="E40" i="17"/>
  <c r="E41" i="17"/>
  <c r="E42" i="17"/>
  <c r="E43" i="17"/>
  <c r="E44" i="17"/>
  <c r="E45" i="17"/>
  <c r="E46" i="17"/>
  <c r="E47" i="17"/>
  <c r="E48" i="17"/>
  <c r="E49" i="17"/>
  <c r="E50" i="17"/>
  <c r="E51" i="17"/>
  <c r="E52" i="17"/>
  <c r="E53" i="17"/>
  <c r="E54" i="17"/>
  <c r="E55" i="17"/>
  <c r="E56" i="17"/>
  <c r="E57" i="17"/>
  <c r="E58" i="17"/>
  <c r="E59" i="17"/>
  <c r="E60" i="17"/>
  <c r="E134" i="17"/>
  <c r="E135" i="17"/>
  <c r="E136" i="17"/>
  <c r="E230" i="17"/>
  <c r="E231" i="17"/>
  <c r="E232" i="17"/>
  <c r="E233" i="17"/>
  <c r="E234" i="17"/>
  <c r="E235" i="17"/>
  <c r="E236" i="17"/>
  <c r="E237" i="17"/>
  <c r="E238" i="17"/>
  <c r="E239" i="17"/>
  <c r="E240" i="17"/>
  <c r="E241" i="17"/>
  <c r="E242" i="17"/>
  <c r="E243" i="17"/>
  <c r="E244" i="17"/>
  <c r="E245" i="17"/>
  <c r="E246" i="17"/>
  <c r="E247" i="17"/>
  <c r="E248" i="17"/>
  <c r="E249" i="17"/>
  <c r="E250" i="17"/>
  <c r="E251" i="17"/>
  <c r="E252" i="17"/>
  <c r="E253" i="17"/>
  <c r="E254" i="17"/>
  <c r="E255" i="17"/>
  <c r="E256" i="17"/>
  <c r="E257" i="17"/>
  <c r="E258" i="17"/>
  <c r="E259" i="17"/>
  <c r="E260" i="17"/>
  <c r="E261" i="17"/>
  <c r="E262" i="17"/>
  <c r="E263" i="17"/>
  <c r="E264" i="17"/>
  <c r="E265" i="17"/>
  <c r="E266" i="17"/>
  <c r="E267" i="17"/>
  <c r="E268" i="17"/>
  <c r="E269" i="17"/>
  <c r="E270" i="17"/>
  <c r="E271" i="17"/>
  <c r="E272" i="17"/>
  <c r="E273" i="17"/>
  <c r="E274" i="17"/>
  <c r="E275" i="17"/>
  <c r="E276" i="17"/>
  <c r="E277" i="17"/>
  <c r="E422" i="17"/>
  <c r="E423" i="17"/>
  <c r="E424" i="17"/>
  <c r="E425" i="17"/>
  <c r="E426" i="17"/>
  <c r="E427" i="17"/>
  <c r="E428" i="17"/>
  <c r="E429" i="17"/>
  <c r="E430" i="17"/>
  <c r="E431" i="17"/>
  <c r="E432" i="17"/>
  <c r="E433" i="17"/>
  <c r="E434" i="17"/>
  <c r="E435" i="17"/>
  <c r="E436" i="17"/>
  <c r="E437" i="17"/>
  <c r="E438" i="17"/>
  <c r="E439" i="17"/>
  <c r="E440" i="17"/>
  <c r="E441" i="17"/>
  <c r="E442" i="17"/>
  <c r="E443" i="17"/>
  <c r="E444" i="17"/>
  <c r="E445" i="17"/>
  <c r="E446" i="17"/>
  <c r="E447" i="17"/>
  <c r="E448" i="17"/>
  <c r="E449" i="17"/>
  <c r="E450" i="17"/>
  <c r="E451" i="17"/>
  <c r="E452" i="17"/>
  <c r="E453" i="17"/>
  <c r="E454" i="17"/>
  <c r="E455" i="17"/>
  <c r="E456" i="17"/>
  <c r="E457" i="17"/>
  <c r="E458" i="17"/>
  <c r="E459" i="17"/>
  <c r="E460" i="17"/>
  <c r="E461" i="17"/>
  <c r="E462" i="17"/>
  <c r="E463" i="17"/>
  <c r="E464" i="17"/>
  <c r="E465" i="17"/>
  <c r="E468" i="17"/>
  <c r="E469" i="17"/>
  <c r="E730" i="17"/>
  <c r="E861" i="17"/>
  <c r="E862" i="17"/>
  <c r="E863" i="17"/>
  <c r="E864" i="17"/>
  <c r="E865" i="17"/>
  <c r="E866" i="17"/>
  <c r="E867" i="17"/>
  <c r="E868" i="17"/>
  <c r="E869" i="17"/>
  <c r="E881" i="17"/>
  <c r="E882" i="17"/>
  <c r="E960" i="17"/>
  <c r="E961" i="17"/>
  <c r="E962" i="17"/>
  <c r="E963" i="17"/>
  <c r="E964" i="17"/>
  <c r="E965" i="17"/>
  <c r="E966" i="17"/>
  <c r="E967" i="17"/>
  <c r="E968" i="17"/>
  <c r="E969" i="17"/>
  <c r="E970" i="17"/>
  <c r="E971" i="17"/>
  <c r="E972" i="17"/>
  <c r="E973" i="17"/>
  <c r="E974" i="17"/>
  <c r="E975" i="17"/>
  <c r="E976" i="17"/>
  <c r="E977" i="17"/>
  <c r="E978" i="17"/>
  <c r="E979" i="17"/>
  <c r="E980" i="17"/>
  <c r="E981" i="17"/>
  <c r="E982" i="17"/>
  <c r="E983" i="17"/>
  <c r="E984" i="17"/>
  <c r="E985" i="17"/>
  <c r="E986" i="17"/>
  <c r="E987" i="17"/>
  <c r="E988" i="17"/>
  <c r="E989" i="17"/>
  <c r="E990" i="17"/>
  <c r="E991" i="17"/>
  <c r="E992" i="17"/>
  <c r="E993" i="17"/>
  <c r="E994" i="17"/>
  <c r="E995" i="17"/>
  <c r="E996" i="17"/>
  <c r="E997" i="17"/>
  <c r="E998" i="17"/>
  <c r="E999" i="17"/>
  <c r="E1000" i="17"/>
  <c r="E1001" i="17"/>
  <c r="E1002" i="17"/>
  <c r="E1003" i="17"/>
  <c r="E1004" i="17"/>
  <c r="E1005" i="17"/>
  <c r="E1006" i="17"/>
  <c r="E1007" i="17"/>
  <c r="E1008" i="17"/>
  <c r="E1009" i="17"/>
  <c r="E1010" i="17"/>
  <c r="E1011" i="17"/>
  <c r="E1012" i="17"/>
  <c r="E1013" i="17"/>
  <c r="E1014" i="17"/>
  <c r="E1015" i="17"/>
  <c r="E1094" i="17"/>
  <c r="E1095" i="17"/>
  <c r="E1096" i="17"/>
  <c r="E1111" i="17"/>
  <c r="E1112" i="17"/>
  <c r="E1113" i="17"/>
  <c r="E1114" i="17"/>
  <c r="E1115" i="17"/>
  <c r="E1116" i="17"/>
  <c r="E1117" i="17"/>
  <c r="E1118" i="17"/>
  <c r="E1119" i="17"/>
  <c r="E1120" i="17"/>
  <c r="E1121" i="17"/>
  <c r="E1122" i="17"/>
  <c r="E1141" i="17"/>
  <c r="E1142" i="17"/>
  <c r="E1143" i="17"/>
  <c r="E1144" i="17"/>
  <c r="E1145" i="17"/>
  <c r="E1146" i="17"/>
  <c r="E1147" i="17"/>
  <c r="E1148" i="17"/>
  <c r="E1149" i="17"/>
  <c r="E1150" i="17"/>
  <c r="E1164" i="17"/>
  <c r="E1165" i="17"/>
  <c r="E1166" i="17"/>
  <c r="E1175" i="17"/>
  <c r="E1176" i="17"/>
  <c r="E1177" i="17"/>
  <c r="E1178" i="17"/>
  <c r="E1179" i="17"/>
  <c r="E1180" i="17"/>
  <c r="E1181" i="17"/>
  <c r="E1182" i="17"/>
  <c r="E1183" i="17"/>
  <c r="E1184" i="17"/>
  <c r="E1185" i="17"/>
  <c r="E1186" i="17"/>
  <c r="E1187" i="17"/>
  <c r="E1188" i="17"/>
  <c r="E1189" i="17"/>
  <c r="E1193" i="17"/>
  <c r="E1194" i="17"/>
  <c r="E1195" i="17"/>
  <c r="E1196" i="17"/>
  <c r="E1197" i="17"/>
  <c r="E1198" i="17"/>
  <c r="E1199" i="17"/>
  <c r="E1200" i="17"/>
  <c r="E1201" i="17"/>
  <c r="E1202" i="17"/>
  <c r="E1203" i="17"/>
  <c r="E1204" i="17"/>
  <c r="E1205" i="17"/>
  <c r="E1206" i="17"/>
  <c r="E1207" i="17"/>
  <c r="E1208" i="17"/>
  <c r="E1209" i="17"/>
  <c r="E1210" i="17"/>
  <c r="E1211" i="17"/>
  <c r="E1212" i="17"/>
  <c r="E1213" i="17"/>
  <c r="E1214" i="17"/>
  <c r="E1254" i="17"/>
  <c r="E1255" i="17"/>
  <c r="E1256" i="17"/>
  <c r="E1257" i="17"/>
  <c r="E1258" i="17"/>
  <c r="E1259" i="17"/>
  <c r="E1260" i="17"/>
  <c r="E1261" i="17"/>
  <c r="E1262" i="17"/>
  <c r="E1263" i="17"/>
  <c r="E1264" i="17"/>
  <c r="E1265" i="17"/>
  <c r="E1266" i="17"/>
  <c r="E718" i="17"/>
  <c r="E719" i="17"/>
  <c r="E720" i="17"/>
  <c r="E721" i="17"/>
  <c r="E722" i="17"/>
  <c r="E723" i="17"/>
  <c r="E724" i="17"/>
  <c r="E725" i="17"/>
  <c r="E726" i="17"/>
  <c r="E727" i="17"/>
  <c r="E728" i="17"/>
  <c r="E729" i="17"/>
  <c r="E832" i="17"/>
  <c r="E833" i="17"/>
  <c r="E377" i="17"/>
  <c r="E378" i="17"/>
  <c r="E379" i="17"/>
  <c r="E380" i="17"/>
  <c r="E381" i="17"/>
  <c r="E382" i="17"/>
  <c r="E383" i="17"/>
  <c r="E133" i="17"/>
  <c r="E784" i="17"/>
  <c r="E528" i="17"/>
  <c r="E527" i="17"/>
  <c r="E132" i="17"/>
  <c r="E347" i="17"/>
  <c r="E681" i="17"/>
  <c r="E736" i="17"/>
  <c r="E693" i="17"/>
  <c r="E386" i="17"/>
  <c r="E473" i="17"/>
  <c r="E606" i="17"/>
  <c r="E1055" i="17"/>
  <c r="E567" i="17"/>
  <c r="E573" i="17"/>
  <c r="E667" i="17"/>
  <c r="E665" i="17"/>
  <c r="E664" i="17"/>
  <c r="E668" i="17"/>
  <c r="E217" i="17"/>
  <c r="E215" i="17"/>
  <c r="E216" i="17"/>
  <c r="E214" i="17"/>
  <c r="E213" i="17"/>
  <c r="E854" i="17"/>
  <c r="E853" i="17"/>
  <c r="E855" i="17"/>
  <c r="E484" i="17"/>
  <c r="E666" i="17"/>
  <c r="E475" i="17"/>
  <c r="E477" i="17"/>
  <c r="E476" i="17"/>
  <c r="E1022" i="17"/>
  <c r="E1023" i="17"/>
  <c r="E1024" i="17"/>
  <c r="E1021" i="17"/>
  <c r="E280" i="17"/>
  <c r="E641" i="17"/>
  <c r="E642" i="17"/>
  <c r="E1190" i="17"/>
  <c r="E1017" i="17"/>
  <c r="E1018" i="17"/>
  <c r="E1019" i="17"/>
  <c r="E1016" i="17"/>
  <c r="E891" i="17"/>
  <c r="E1045" i="17"/>
  <c r="E1091" i="17"/>
  <c r="E874" i="17"/>
  <c r="E875" i="17"/>
  <c r="E872" i="17"/>
  <c r="E1090" i="17"/>
  <c r="E158" i="17"/>
  <c r="E804" i="17"/>
  <c r="E805" i="17"/>
  <c r="E1093" i="17"/>
  <c r="E9" i="17"/>
  <c r="E10" i="17"/>
  <c r="E520" i="17"/>
  <c r="E11" i="17"/>
  <c r="E486" i="17"/>
  <c r="N27" i="13"/>
  <c r="M27" i="13"/>
  <c r="N26" i="13"/>
  <c r="M26" i="13"/>
  <c r="N25" i="13"/>
  <c r="M25" i="13"/>
  <c r="N24" i="13"/>
  <c r="M24" i="13"/>
  <c r="N23" i="13"/>
  <c r="M23" i="13"/>
  <c r="N22" i="13"/>
  <c r="M22" i="13"/>
  <c r="N21" i="13"/>
  <c r="M21" i="13"/>
  <c r="N20" i="13"/>
  <c r="M20" i="13"/>
  <c r="N19" i="13"/>
  <c r="M19" i="13"/>
  <c r="N18" i="13"/>
  <c r="M18" i="13"/>
  <c r="N17" i="13"/>
  <c r="M17" i="13"/>
  <c r="N77" i="5"/>
  <c r="M77" i="5"/>
  <c r="N76" i="5"/>
  <c r="M76" i="5"/>
  <c r="N75" i="5"/>
  <c r="M75" i="5"/>
  <c r="N74" i="5"/>
  <c r="M74" i="5"/>
  <c r="N73" i="5"/>
  <c r="M73" i="5"/>
  <c r="N72" i="5"/>
  <c r="M72" i="5"/>
  <c r="N71" i="5"/>
  <c r="M71" i="5"/>
  <c r="N70" i="5"/>
  <c r="M70" i="5"/>
  <c r="N69" i="5"/>
  <c r="M69" i="5"/>
  <c r="N68" i="5"/>
  <c r="M68" i="5"/>
  <c r="N67" i="5"/>
  <c r="M67" i="5"/>
  <c r="N27" i="5"/>
  <c r="N26" i="5"/>
  <c r="N25" i="5"/>
  <c r="N24" i="5"/>
  <c r="N23" i="5"/>
  <c r="N22" i="5"/>
  <c r="N21" i="5"/>
  <c r="N20" i="5"/>
  <c r="N19" i="5"/>
  <c r="N18" i="5"/>
  <c r="N17" i="5"/>
  <c r="M18" i="5"/>
  <c r="M19" i="5"/>
  <c r="M20" i="5"/>
  <c r="M21" i="5"/>
  <c r="M22" i="5"/>
  <c r="M23" i="5"/>
  <c r="M24" i="5"/>
  <c r="M25" i="5"/>
  <c r="M26" i="5"/>
  <c r="M27" i="5"/>
  <c r="M17" i="5"/>
  <c r="K14" i="13"/>
  <c r="N38" i="13"/>
  <c r="M38" i="13"/>
  <c r="M33" i="13"/>
  <c r="L33" i="13"/>
  <c r="K28" i="13"/>
  <c r="J14" i="13"/>
  <c r="J17" i="13" s="1"/>
  <c r="E67" i="5"/>
  <c r="G67" i="5" s="1"/>
  <c r="E68" i="5"/>
  <c r="G68" i="5" s="1"/>
  <c r="E69" i="5"/>
  <c r="G69" i="5" s="1"/>
  <c r="E70" i="5"/>
  <c r="G70" i="5" s="1"/>
  <c r="E71" i="5"/>
  <c r="G71" i="5" s="1"/>
  <c r="E72" i="5"/>
  <c r="G72" i="5" s="1"/>
  <c r="E73" i="5"/>
  <c r="G73" i="5" s="1"/>
  <c r="E74" i="5"/>
  <c r="G74" i="5" s="1"/>
  <c r="E75" i="5"/>
  <c r="G75" i="5" s="1"/>
  <c r="E76" i="5"/>
  <c r="G76" i="5" s="1"/>
  <c r="E77" i="5"/>
  <c r="G77" i="5" s="1"/>
  <c r="E17" i="5"/>
  <c r="G17" i="5" s="1"/>
  <c r="E18" i="5"/>
  <c r="G18" i="5" s="1"/>
  <c r="E19" i="5"/>
  <c r="G19" i="5" s="1"/>
  <c r="E20" i="5"/>
  <c r="G20" i="5" s="1"/>
  <c r="E21" i="5"/>
  <c r="G21" i="5" s="1"/>
  <c r="E22" i="5"/>
  <c r="G22" i="5" s="1"/>
  <c r="E23" i="5"/>
  <c r="G23" i="5" s="1"/>
  <c r="E24" i="5"/>
  <c r="G24" i="5" s="1"/>
  <c r="E25" i="5"/>
  <c r="G25" i="5" s="1"/>
  <c r="E26" i="5"/>
  <c r="G26" i="5" s="1"/>
  <c r="E27" i="5"/>
  <c r="G27" i="5" s="1"/>
  <c r="D17" i="5"/>
  <c r="D18" i="5"/>
  <c r="D19" i="5"/>
  <c r="D20" i="5"/>
  <c r="D21" i="5"/>
  <c r="D22" i="5"/>
  <c r="D23" i="5"/>
  <c r="D24" i="5"/>
  <c r="D25" i="5"/>
  <c r="D26" i="5"/>
  <c r="D27" i="5"/>
  <c r="D67" i="5"/>
  <c r="D68" i="5"/>
  <c r="D69" i="5"/>
  <c r="D70" i="5"/>
  <c r="D71" i="5"/>
  <c r="D72" i="5"/>
  <c r="D73" i="5"/>
  <c r="D74" i="5"/>
  <c r="D75" i="5"/>
  <c r="D76" i="5"/>
  <c r="D77" i="5"/>
  <c r="B1269" i="17"/>
  <c r="M88" i="5"/>
  <c r="F87" i="5"/>
  <c r="E87" i="5"/>
  <c r="E86" i="5"/>
  <c r="G86" i="5" s="1"/>
  <c r="L83" i="5"/>
  <c r="G82" i="5"/>
  <c r="H83" i="5" s="1"/>
  <c r="M83" i="5" s="1"/>
  <c r="K78" i="5"/>
  <c r="J64" i="5"/>
  <c r="B57" i="5"/>
  <c r="F56" i="5"/>
  <c r="A54" i="5"/>
  <c r="A53" i="5"/>
  <c r="A52" i="5"/>
  <c r="A51" i="5"/>
  <c r="P82" i="4"/>
  <c r="N65" i="4"/>
  <c r="N77" i="4" s="1"/>
  <c r="C47" i="4"/>
  <c r="B47" i="4"/>
  <c r="L51" i="4" s="1"/>
  <c r="C5" i="3"/>
  <c r="H47" i="4" s="1"/>
  <c r="G42" i="4"/>
  <c r="G41" i="4"/>
  <c r="H290" i="5" l="1"/>
  <c r="H292" i="5" s="1"/>
  <c r="H340" i="5"/>
  <c r="H342" i="5" s="1"/>
  <c r="O280" i="4"/>
  <c r="K262" i="4"/>
  <c r="N457" i="4"/>
  <c r="N459" i="4"/>
  <c r="O237" i="4"/>
  <c r="K219" i="4"/>
  <c r="J169" i="5"/>
  <c r="G187" i="5"/>
  <c r="H188" i="5" s="1"/>
  <c r="N188" i="5" s="1"/>
  <c r="G440" i="5"/>
  <c r="G540" i="5"/>
  <c r="H541" i="5" s="1"/>
  <c r="G490" i="5"/>
  <c r="H491" i="5" s="1"/>
  <c r="H467" i="5" s="1"/>
  <c r="K467" i="5" s="1"/>
  <c r="J525" i="5"/>
  <c r="H591" i="5"/>
  <c r="H567" i="5" s="1"/>
  <c r="K567" i="5" s="1"/>
  <c r="J220" i="5"/>
  <c r="J528" i="5"/>
  <c r="N156" i="4"/>
  <c r="J369" i="5"/>
  <c r="J375" i="5"/>
  <c r="N334" i="4"/>
  <c r="N336" i="4"/>
  <c r="J170" i="5"/>
  <c r="J177" i="5"/>
  <c r="N160" i="4"/>
  <c r="J225" i="5"/>
  <c r="N158" i="4"/>
  <c r="J373" i="5"/>
  <c r="N162" i="4"/>
  <c r="J222" i="5"/>
  <c r="J523" i="5"/>
  <c r="J175" i="5"/>
  <c r="J374" i="5"/>
  <c r="J167" i="5"/>
  <c r="J174" i="5"/>
  <c r="J172" i="5"/>
  <c r="N114" i="4"/>
  <c r="N377" i="4"/>
  <c r="N416" i="4"/>
  <c r="J470" i="5"/>
  <c r="N373" i="4"/>
  <c r="N115" i="4"/>
  <c r="J121" i="5"/>
  <c r="J223" i="5"/>
  <c r="N379" i="4"/>
  <c r="J427" i="5"/>
  <c r="N418" i="4"/>
  <c r="J477" i="5"/>
  <c r="J526" i="5"/>
  <c r="J573" i="5"/>
  <c r="J580" i="5"/>
  <c r="N116" i="4"/>
  <c r="G388" i="5"/>
  <c r="H389" i="5" s="1"/>
  <c r="N422" i="4"/>
  <c r="G137" i="5"/>
  <c r="H138" i="5" s="1"/>
  <c r="N164" i="4"/>
  <c r="J217" i="5"/>
  <c r="J227" i="5"/>
  <c r="H441" i="5"/>
  <c r="J471" i="5"/>
  <c r="N461" i="4"/>
  <c r="J530" i="5"/>
  <c r="J428" i="5"/>
  <c r="J478" i="5"/>
  <c r="N463" i="4"/>
  <c r="J520" i="5"/>
  <c r="J122" i="5"/>
  <c r="J171" i="5"/>
  <c r="J224" i="5"/>
  <c r="J425" i="5"/>
  <c r="J475" i="5"/>
  <c r="N465" i="4"/>
  <c r="J527" i="5"/>
  <c r="J118" i="5"/>
  <c r="J125" i="5"/>
  <c r="J168" i="5"/>
  <c r="N328" i="4"/>
  <c r="J371" i="5"/>
  <c r="J578" i="5"/>
  <c r="J421" i="5"/>
  <c r="N330" i="4"/>
  <c r="J378" i="5"/>
  <c r="J422" i="5"/>
  <c r="J218" i="5"/>
  <c r="N332" i="4"/>
  <c r="J368" i="5"/>
  <c r="J575" i="5"/>
  <c r="G237" i="5"/>
  <c r="H238" i="5" s="1"/>
  <c r="N371" i="4"/>
  <c r="J423" i="5"/>
  <c r="N113" i="4"/>
  <c r="J124" i="5"/>
  <c r="N375" i="4"/>
  <c r="J420" i="5"/>
  <c r="J430" i="5"/>
  <c r="J480" i="5"/>
  <c r="L487" i="4"/>
  <c r="L481" i="4"/>
  <c r="L482" i="4"/>
  <c r="L483" i="4"/>
  <c r="L480" i="4"/>
  <c r="L484" i="4"/>
  <c r="L486" i="4"/>
  <c r="H434" i="4"/>
  <c r="L494" i="4"/>
  <c r="J570" i="5"/>
  <c r="N500" i="4"/>
  <c r="N502" i="4"/>
  <c r="N504" i="4"/>
  <c r="N506" i="4"/>
  <c r="N508" i="4"/>
  <c r="J577" i="5"/>
  <c r="L485" i="4"/>
  <c r="J571" i="5"/>
  <c r="N499" i="4"/>
  <c r="N501" i="4"/>
  <c r="N503" i="4"/>
  <c r="N505" i="4"/>
  <c r="N507" i="4"/>
  <c r="L488" i="4"/>
  <c r="J576" i="5"/>
  <c r="L489" i="4"/>
  <c r="L490" i="4"/>
  <c r="J574" i="5"/>
  <c r="L492" i="4"/>
  <c r="J572" i="5"/>
  <c r="L491" i="4"/>
  <c r="L437" i="4"/>
  <c r="L439" i="4"/>
  <c r="L440" i="4"/>
  <c r="L441" i="4"/>
  <c r="L443" i="4"/>
  <c r="L438" i="4"/>
  <c r="L444" i="4"/>
  <c r="L450" i="4"/>
  <c r="L451" i="4"/>
  <c r="H531" i="5"/>
  <c r="M531" i="5" s="1"/>
  <c r="L442" i="4"/>
  <c r="J521" i="5"/>
  <c r="L446" i="4"/>
  <c r="L445" i="4"/>
  <c r="L447" i="4"/>
  <c r="J524" i="5"/>
  <c r="N456" i="4"/>
  <c r="N458" i="4"/>
  <c r="N460" i="4"/>
  <c r="N462" i="4"/>
  <c r="N464" i="4"/>
  <c r="L448" i="4"/>
  <c r="J522" i="5"/>
  <c r="N420" i="4"/>
  <c r="N414" i="4"/>
  <c r="J473" i="5"/>
  <c r="L394" i="4"/>
  <c r="L395" i="4"/>
  <c r="L396" i="4"/>
  <c r="L397" i="4"/>
  <c r="L398" i="4"/>
  <c r="L399" i="4"/>
  <c r="L400" i="4"/>
  <c r="L403" i="4"/>
  <c r="L404" i="4"/>
  <c r="B459" i="5"/>
  <c r="L408" i="4"/>
  <c r="H481" i="5"/>
  <c r="M481" i="5" s="1"/>
  <c r="L401" i="4"/>
  <c r="N413" i="4"/>
  <c r="N415" i="4"/>
  <c r="N417" i="4"/>
  <c r="N419" i="4"/>
  <c r="N421" i="4"/>
  <c r="L402" i="4"/>
  <c r="J476" i="5"/>
  <c r="J474" i="5"/>
  <c r="B356" i="5"/>
  <c r="L405" i="4"/>
  <c r="L406" i="4"/>
  <c r="J472" i="5"/>
  <c r="L352" i="4"/>
  <c r="L353" i="4"/>
  <c r="L309" i="4"/>
  <c r="L354" i="4"/>
  <c r="L310" i="4"/>
  <c r="L355" i="4"/>
  <c r="L311" i="4"/>
  <c r="L357" i="4"/>
  <c r="L312" i="4"/>
  <c r="L361" i="4"/>
  <c r="L363" i="4"/>
  <c r="L316" i="4"/>
  <c r="L365" i="4"/>
  <c r="L313" i="4"/>
  <c r="H431" i="5"/>
  <c r="M431" i="5" s="1"/>
  <c r="B407" i="5"/>
  <c r="L182" i="4"/>
  <c r="B206" i="5"/>
  <c r="L322" i="4"/>
  <c r="L356" i="4"/>
  <c r="L179" i="4"/>
  <c r="L358" i="4"/>
  <c r="N370" i="4"/>
  <c r="N372" i="4"/>
  <c r="N374" i="4"/>
  <c r="N376" i="4"/>
  <c r="N378" i="4"/>
  <c r="L183" i="4"/>
  <c r="L185" i="4"/>
  <c r="L359" i="4"/>
  <c r="J426" i="5"/>
  <c r="L180" i="4"/>
  <c r="L181" i="4"/>
  <c r="L184" i="4"/>
  <c r="L186" i="4"/>
  <c r="L360" i="4"/>
  <c r="J424" i="5"/>
  <c r="L189" i="4"/>
  <c r="L362" i="4"/>
  <c r="H379" i="5"/>
  <c r="M379" i="5" s="1"/>
  <c r="L187" i="4"/>
  <c r="L314" i="4"/>
  <c r="J376" i="5"/>
  <c r="L146" i="4"/>
  <c r="L150" i="4"/>
  <c r="L188" i="4"/>
  <c r="L315" i="4"/>
  <c r="N327" i="4"/>
  <c r="N329" i="4"/>
  <c r="N331" i="4"/>
  <c r="N333" i="4"/>
  <c r="N335" i="4"/>
  <c r="B156" i="5"/>
  <c r="L193" i="4"/>
  <c r="L317" i="4"/>
  <c r="L138" i="4"/>
  <c r="L318" i="4"/>
  <c r="J372" i="5"/>
  <c r="L319" i="4"/>
  <c r="L137" i="4"/>
  <c r="L320" i="4"/>
  <c r="J370" i="5"/>
  <c r="L139" i="4"/>
  <c r="N208" i="4"/>
  <c r="N206" i="4"/>
  <c r="N204" i="4"/>
  <c r="N202" i="4"/>
  <c r="N198" i="4"/>
  <c r="N200" i="4"/>
  <c r="N205" i="4"/>
  <c r="N199" i="4"/>
  <c r="N207" i="4"/>
  <c r="H228" i="5"/>
  <c r="M228" i="5" s="1"/>
  <c r="N201" i="4"/>
  <c r="J219" i="5"/>
  <c r="J221" i="5"/>
  <c r="L190" i="4"/>
  <c r="L191" i="4"/>
  <c r="H178" i="5"/>
  <c r="M178" i="5" s="1"/>
  <c r="L136" i="4"/>
  <c r="L141" i="4"/>
  <c r="L143" i="4"/>
  <c r="N155" i="4"/>
  <c r="N157" i="4"/>
  <c r="N159" i="4"/>
  <c r="N161" i="4"/>
  <c r="N165" i="4"/>
  <c r="L144" i="4"/>
  <c r="J173" i="5"/>
  <c r="L140" i="4"/>
  <c r="L142" i="4"/>
  <c r="L145" i="4"/>
  <c r="L147" i="4"/>
  <c r="L148" i="4"/>
  <c r="J119" i="5"/>
  <c r="N117" i="4"/>
  <c r="J126" i="5"/>
  <c r="N118" i="4"/>
  <c r="J123" i="5"/>
  <c r="N119" i="4"/>
  <c r="J120" i="5"/>
  <c r="N120" i="4"/>
  <c r="J117" i="5"/>
  <c r="N112" i="4"/>
  <c r="N121" i="4"/>
  <c r="L95" i="4"/>
  <c r="L97" i="4"/>
  <c r="L94" i="4"/>
  <c r="L96" i="4"/>
  <c r="L98" i="4"/>
  <c r="L99" i="4"/>
  <c r="L100" i="4"/>
  <c r="L103" i="4"/>
  <c r="L105" i="4"/>
  <c r="L106" i="4"/>
  <c r="L107" i="4"/>
  <c r="H90" i="4"/>
  <c r="H128" i="5"/>
  <c r="M128" i="5" s="1"/>
  <c r="L93" i="4"/>
  <c r="L101" i="4"/>
  <c r="L102" i="4"/>
  <c r="J26" i="13"/>
  <c r="G87" i="5"/>
  <c r="H88" i="5" s="1"/>
  <c r="J25" i="13"/>
  <c r="J24" i="13"/>
  <c r="J23" i="13"/>
  <c r="J21" i="13"/>
  <c r="J22" i="13"/>
  <c r="J20" i="13"/>
  <c r="J27" i="13"/>
  <c r="J18" i="13"/>
  <c r="J19" i="13"/>
  <c r="N73" i="4"/>
  <c r="N75" i="4"/>
  <c r="N76" i="4"/>
  <c r="N78" i="4"/>
  <c r="N79" i="4"/>
  <c r="L59" i="4"/>
  <c r="L60" i="4"/>
  <c r="N69" i="4"/>
  <c r="N72" i="4"/>
  <c r="N70" i="4"/>
  <c r="N71" i="4"/>
  <c r="N74" i="4"/>
  <c r="H78" i="5"/>
  <c r="M78" i="5" s="1"/>
  <c r="L52" i="4"/>
  <c r="J75" i="5"/>
  <c r="L53" i="4"/>
  <c r="L54" i="4"/>
  <c r="L55" i="4"/>
  <c r="J72" i="5"/>
  <c r="B56" i="5"/>
  <c r="L56" i="4"/>
  <c r="J69" i="5"/>
  <c r="L57" i="4"/>
  <c r="L58" i="4"/>
  <c r="J76" i="5"/>
  <c r="J73" i="5"/>
  <c r="J70" i="5"/>
  <c r="J67" i="5"/>
  <c r="L63" i="4"/>
  <c r="L64" i="4"/>
  <c r="J77" i="5"/>
  <c r="J74" i="5"/>
  <c r="L61" i="4"/>
  <c r="L62" i="4"/>
  <c r="L50" i="4"/>
  <c r="J71" i="5"/>
  <c r="J68" i="5"/>
  <c r="N441" i="5" l="1"/>
  <c r="M581" i="5"/>
  <c r="J586" i="5"/>
  <c r="N591" i="5"/>
  <c r="H517" i="5"/>
  <c r="K517" i="5" s="1"/>
  <c r="N541" i="5"/>
  <c r="N491" i="5"/>
  <c r="N238" i="5"/>
  <c r="G212" i="5"/>
  <c r="H214" i="5" s="1"/>
  <c r="K214" i="5" s="1"/>
  <c r="G415" i="5"/>
  <c r="H417" i="5" s="1"/>
  <c r="K417" i="5" s="1"/>
  <c r="H164" i="5"/>
  <c r="K164" i="5" s="1"/>
  <c r="H365" i="5"/>
  <c r="K365" i="5" s="1"/>
  <c r="N389" i="5"/>
  <c r="H114" i="5"/>
  <c r="K114" i="5" s="1"/>
  <c r="N138" i="5"/>
  <c r="L495" i="4"/>
  <c r="O495" i="4" s="1"/>
  <c r="H595" i="5"/>
  <c r="L452" i="4"/>
  <c r="L409" i="4"/>
  <c r="K391" i="4" s="1"/>
  <c r="H493" i="5"/>
  <c r="H495" i="5" s="1"/>
  <c r="L366" i="4"/>
  <c r="L323" i="4"/>
  <c r="L194" i="4"/>
  <c r="L151" i="4"/>
  <c r="L108" i="4"/>
  <c r="H64" i="5"/>
  <c r="K64" i="5" s="1"/>
  <c r="N88" i="5"/>
  <c r="L65" i="4"/>
  <c r="H543" i="5" l="1"/>
  <c r="H545" i="5" s="1"/>
  <c r="H240" i="5"/>
  <c r="H242" i="5" s="1"/>
  <c r="H140" i="5"/>
  <c r="H142" i="5" s="1"/>
  <c r="H443" i="5"/>
  <c r="H445" i="5" s="1"/>
  <c r="H190" i="5"/>
  <c r="H192" i="5" s="1"/>
  <c r="H391" i="5"/>
  <c r="H393" i="5" s="1"/>
  <c r="H90" i="5"/>
  <c r="H92" i="5" s="1"/>
  <c r="K477" i="4"/>
  <c r="O452" i="4"/>
  <c r="K434" i="4"/>
  <c r="O409" i="4"/>
  <c r="O366" i="4"/>
  <c r="K348" i="4"/>
  <c r="O323" i="4"/>
  <c r="K305" i="4"/>
  <c r="O194" i="4"/>
  <c r="K176" i="4"/>
  <c r="K133" i="4"/>
  <c r="O151" i="4"/>
  <c r="O108" i="4"/>
  <c r="K90" i="4"/>
  <c r="K47" i="4"/>
  <c r="O65" i="4"/>
  <c r="P38" i="4"/>
  <c r="G43" i="14"/>
  <c r="G42" i="14"/>
  <c r="G41" i="14"/>
  <c r="B3" i="3"/>
  <c r="C4" i="3" l="1"/>
  <c r="B4" i="3"/>
  <c r="C4" i="14" l="1"/>
  <c r="P39" i="14"/>
  <c r="N22" i="14"/>
  <c r="N32" i="14" s="1"/>
  <c r="E49" i="13"/>
  <c r="E48" i="13"/>
  <c r="E47" i="13"/>
  <c r="E46" i="13"/>
  <c r="F37" i="13"/>
  <c r="E37" i="13"/>
  <c r="G37" i="13" s="1"/>
  <c r="E36" i="13"/>
  <c r="G36" i="13" s="1"/>
  <c r="H38" i="13" s="1"/>
  <c r="G32" i="13"/>
  <c r="H33" i="13" s="1"/>
  <c r="A4" i="13"/>
  <c r="A3" i="13"/>
  <c r="A2" i="13"/>
  <c r="A1" i="13"/>
  <c r="N22" i="4"/>
  <c r="A3" i="5"/>
  <c r="M38" i="5"/>
  <c r="L33" i="5"/>
  <c r="J14" i="5"/>
  <c r="K28" i="5"/>
  <c r="E49" i="5"/>
  <c r="E48" i="5"/>
  <c r="E47" i="5"/>
  <c r="E46" i="5"/>
  <c r="G36" i="5"/>
  <c r="G32" i="5"/>
  <c r="H33" i="5" s="1"/>
  <c r="M33" i="5" s="1"/>
  <c r="B7" i="5"/>
  <c r="A4" i="5"/>
  <c r="C4" i="4"/>
  <c r="B4" i="4"/>
  <c r="B1" i="3"/>
  <c r="L7" i="4" l="1"/>
  <c r="L21" i="4"/>
  <c r="L9" i="4"/>
  <c r="L20" i="4"/>
  <c r="L19" i="4"/>
  <c r="L18" i="4"/>
  <c r="L11" i="4"/>
  <c r="L17" i="4"/>
  <c r="L12" i="4"/>
  <c r="L16" i="4"/>
  <c r="L15" i="4"/>
  <c r="L10" i="4"/>
  <c r="L14" i="4"/>
  <c r="L13" i="4"/>
  <c r="L8" i="4"/>
  <c r="N32" i="4"/>
  <c r="H28" i="13"/>
  <c r="M28" i="13" s="1"/>
  <c r="J27" i="5"/>
  <c r="H4" i="14"/>
  <c r="J25" i="5"/>
  <c r="N33" i="4"/>
  <c r="H4" i="4"/>
  <c r="B4" i="14"/>
  <c r="N30" i="4"/>
  <c r="J19" i="5"/>
  <c r="J20" i="5"/>
  <c r="D244" i="4" s="1"/>
  <c r="E244" i="4" s="1"/>
  <c r="B6" i="13"/>
  <c r="B7" i="13"/>
  <c r="F6" i="13"/>
  <c r="G7" i="14"/>
  <c r="J17" i="5"/>
  <c r="J18" i="5"/>
  <c r="J21" i="5"/>
  <c r="J22" i="5"/>
  <c r="J23" i="5"/>
  <c r="J24" i="5"/>
  <c r="J26" i="5"/>
  <c r="N26" i="4"/>
  <c r="N34" i="4"/>
  <c r="N35" i="4"/>
  <c r="N36" i="4"/>
  <c r="N28" i="4"/>
  <c r="N27" i="4"/>
  <c r="N29" i="4"/>
  <c r="N31" i="4"/>
  <c r="N28" i="14"/>
  <c r="N34" i="14"/>
  <c r="N27" i="14"/>
  <c r="N29" i="14"/>
  <c r="N31" i="14"/>
  <c r="N33" i="14"/>
  <c r="N35" i="14"/>
  <c r="N26" i="14"/>
  <c r="N36" i="14"/>
  <c r="N30" i="14"/>
  <c r="G12" i="13"/>
  <c r="H14" i="13" s="1"/>
  <c r="B6" i="5"/>
  <c r="G37" i="5"/>
  <c r="H38" i="5" s="1"/>
  <c r="N38" i="5" s="1"/>
  <c r="F6" i="5"/>
  <c r="H28" i="5"/>
  <c r="M28" i="5" s="1"/>
  <c r="B284" i="4" l="1"/>
  <c r="A284" i="4" s="1"/>
  <c r="B294" i="4"/>
  <c r="P294" i="4" s="1"/>
  <c r="B288" i="4"/>
  <c r="P288" i="4" s="1"/>
  <c r="D284" i="4"/>
  <c r="E284" i="4" s="1"/>
  <c r="D292" i="4"/>
  <c r="E292" i="4" s="1"/>
  <c r="B293" i="4"/>
  <c r="C293" i="4" s="1"/>
  <c r="D288" i="4"/>
  <c r="E288" i="4" s="1"/>
  <c r="D291" i="4"/>
  <c r="E291" i="4" s="1"/>
  <c r="B243" i="4"/>
  <c r="C243" i="4" s="1"/>
  <c r="B286" i="4"/>
  <c r="B291" i="4"/>
  <c r="D286" i="4"/>
  <c r="E286" i="4" s="1"/>
  <c r="D290" i="4"/>
  <c r="E290" i="4" s="1"/>
  <c r="D246" i="4"/>
  <c r="E246" i="4" s="1"/>
  <c r="B290" i="4"/>
  <c r="B289" i="4"/>
  <c r="B285" i="4"/>
  <c r="B287" i="4"/>
  <c r="D285" i="4"/>
  <c r="E285" i="4" s="1"/>
  <c r="B292" i="4"/>
  <c r="D287" i="4"/>
  <c r="E287" i="4" s="1"/>
  <c r="D293" i="4"/>
  <c r="E293" i="4" s="1"/>
  <c r="D289" i="4"/>
  <c r="E289" i="4" s="1"/>
  <c r="D294" i="4"/>
  <c r="E294" i="4" s="1"/>
  <c r="D241" i="4"/>
  <c r="E241" i="4" s="1"/>
  <c r="B249" i="4"/>
  <c r="D242" i="4"/>
  <c r="E242" i="4" s="1"/>
  <c r="D250" i="4"/>
  <c r="E250" i="4" s="1"/>
  <c r="B247" i="4"/>
  <c r="B250" i="4"/>
  <c r="D245" i="4"/>
  <c r="E245" i="4" s="1"/>
  <c r="B248" i="4"/>
  <c r="B244" i="4"/>
  <c r="D247" i="4"/>
  <c r="E247" i="4" s="1"/>
  <c r="B246" i="4"/>
  <c r="B251" i="4"/>
  <c r="B242" i="4"/>
  <c r="D251" i="4"/>
  <c r="E251" i="4" s="1"/>
  <c r="D243" i="4"/>
  <c r="E243" i="4" s="1"/>
  <c r="B241" i="4"/>
  <c r="D249" i="4"/>
  <c r="E249" i="4" s="1"/>
  <c r="D248" i="4"/>
  <c r="E248" i="4" s="1"/>
  <c r="B245" i="4"/>
  <c r="B457" i="4"/>
  <c r="A457" i="4" s="1"/>
  <c r="D419" i="4"/>
  <c r="E419" i="4" s="1"/>
  <c r="D122" i="4"/>
  <c r="E122" i="4" s="1"/>
  <c r="B333" i="4"/>
  <c r="D155" i="4"/>
  <c r="E155" i="4" s="1"/>
  <c r="D329" i="4"/>
  <c r="E329" i="4" s="1"/>
  <c r="D198" i="4"/>
  <c r="E198" i="4" s="1"/>
  <c r="D506" i="4"/>
  <c r="E506" i="4" s="1"/>
  <c r="D416" i="4"/>
  <c r="E416" i="4" s="1"/>
  <c r="B414" i="4"/>
  <c r="B200" i="4"/>
  <c r="D371" i="4"/>
  <c r="E371" i="4" s="1"/>
  <c r="B464" i="4"/>
  <c r="D203" i="4"/>
  <c r="E203" i="4" s="1"/>
  <c r="D157" i="4"/>
  <c r="E157" i="4" s="1"/>
  <c r="B330" i="4"/>
  <c r="D374" i="4"/>
  <c r="E374" i="4" s="1"/>
  <c r="B378" i="4"/>
  <c r="D165" i="4"/>
  <c r="E165" i="4" s="1"/>
  <c r="D202" i="4"/>
  <c r="E202" i="4" s="1"/>
  <c r="D330" i="4"/>
  <c r="E330" i="4" s="1"/>
  <c r="D508" i="4"/>
  <c r="E508" i="4" s="1"/>
  <c r="B506" i="4"/>
  <c r="B201" i="4"/>
  <c r="D457" i="4"/>
  <c r="E457" i="4" s="1"/>
  <c r="D423" i="4"/>
  <c r="E423" i="4" s="1"/>
  <c r="B459" i="4"/>
  <c r="D507" i="4"/>
  <c r="E507" i="4" s="1"/>
  <c r="D379" i="4"/>
  <c r="E379" i="4" s="1"/>
  <c r="D114" i="4"/>
  <c r="E114" i="4" s="1"/>
  <c r="D160" i="4"/>
  <c r="E160" i="4" s="1"/>
  <c r="B155" i="4"/>
  <c r="D509" i="4"/>
  <c r="E509" i="4" s="1"/>
  <c r="B456" i="4"/>
  <c r="D417" i="4"/>
  <c r="E417" i="4" s="1"/>
  <c r="B501" i="4"/>
  <c r="D458" i="4"/>
  <c r="E458" i="4" s="1"/>
  <c r="B117" i="4"/>
  <c r="B334" i="4"/>
  <c r="D331" i="4"/>
  <c r="E331" i="4" s="1"/>
  <c r="D415" i="4"/>
  <c r="E415" i="4" s="1"/>
  <c r="B118" i="4"/>
  <c r="D112" i="4"/>
  <c r="E112" i="4" s="1"/>
  <c r="D334" i="4"/>
  <c r="E334" i="4" s="1"/>
  <c r="B380" i="4"/>
  <c r="B112" i="4"/>
  <c r="B121" i="4"/>
  <c r="D335" i="4"/>
  <c r="E335" i="4" s="1"/>
  <c r="B160" i="4"/>
  <c r="D463" i="4"/>
  <c r="E463" i="4" s="1"/>
  <c r="B328" i="4"/>
  <c r="B416" i="4"/>
  <c r="D118" i="4"/>
  <c r="E118" i="4" s="1"/>
  <c r="D208" i="4"/>
  <c r="E208" i="4" s="1"/>
  <c r="D502" i="4"/>
  <c r="E502" i="4" s="1"/>
  <c r="B379" i="4"/>
  <c r="D372" i="4"/>
  <c r="E372" i="4" s="1"/>
  <c r="D370" i="4"/>
  <c r="E370" i="4" s="1"/>
  <c r="D206" i="4"/>
  <c r="E206" i="4" s="1"/>
  <c r="B463" i="4"/>
  <c r="B115" i="4"/>
  <c r="B336" i="4"/>
  <c r="B377" i="4"/>
  <c r="D464" i="4"/>
  <c r="E464" i="4" s="1"/>
  <c r="D121" i="4"/>
  <c r="E121" i="4" s="1"/>
  <c r="B165" i="4"/>
  <c r="D332" i="4"/>
  <c r="E332" i="4" s="1"/>
  <c r="D336" i="4"/>
  <c r="E336" i="4" s="1"/>
  <c r="D375" i="4"/>
  <c r="E375" i="4" s="1"/>
  <c r="B503" i="4"/>
  <c r="D414" i="4"/>
  <c r="E414" i="4" s="1"/>
  <c r="D420" i="4"/>
  <c r="E420" i="4" s="1"/>
  <c r="D456" i="4"/>
  <c r="E456" i="4" s="1"/>
  <c r="D422" i="4"/>
  <c r="E422" i="4" s="1"/>
  <c r="D201" i="4"/>
  <c r="E201" i="4" s="1"/>
  <c r="B507" i="4"/>
  <c r="D327" i="4"/>
  <c r="E327" i="4" s="1"/>
  <c r="B376" i="4"/>
  <c r="B372" i="4"/>
  <c r="B508" i="4"/>
  <c r="D207" i="4"/>
  <c r="E207" i="4" s="1"/>
  <c r="B460" i="4"/>
  <c r="B413" i="4"/>
  <c r="B203" i="4"/>
  <c r="B207" i="4"/>
  <c r="B499" i="4"/>
  <c r="D421" i="4"/>
  <c r="E421" i="4" s="1"/>
  <c r="B113" i="4"/>
  <c r="D505" i="4"/>
  <c r="E505" i="4" s="1"/>
  <c r="B419" i="4"/>
  <c r="B417" i="4"/>
  <c r="D119" i="4"/>
  <c r="E119" i="4" s="1"/>
  <c r="B206" i="4"/>
  <c r="B418" i="4"/>
  <c r="D461" i="4"/>
  <c r="E461" i="4" s="1"/>
  <c r="B158" i="4"/>
  <c r="D504" i="4"/>
  <c r="E504" i="4" s="1"/>
  <c r="B420" i="4"/>
  <c r="D117" i="4"/>
  <c r="E117" i="4" s="1"/>
  <c r="B458" i="4"/>
  <c r="B502" i="4"/>
  <c r="D466" i="4"/>
  <c r="E466" i="4" s="1"/>
  <c r="B162" i="4"/>
  <c r="B120" i="4"/>
  <c r="D462" i="4"/>
  <c r="E462" i="4" s="1"/>
  <c r="B331" i="4"/>
  <c r="D333" i="4"/>
  <c r="E333" i="4" s="1"/>
  <c r="B156" i="4"/>
  <c r="B198" i="4"/>
  <c r="B119" i="4"/>
  <c r="B163" i="4"/>
  <c r="B122" i="4"/>
  <c r="B504" i="4"/>
  <c r="B500" i="4"/>
  <c r="B157" i="4"/>
  <c r="B116" i="4"/>
  <c r="B161" i="4"/>
  <c r="D373" i="4"/>
  <c r="E373" i="4" s="1"/>
  <c r="D164" i="4"/>
  <c r="E164" i="4" s="1"/>
  <c r="B465" i="4"/>
  <c r="B375" i="4"/>
  <c r="D459" i="4"/>
  <c r="E459" i="4" s="1"/>
  <c r="B466" i="4"/>
  <c r="D499" i="4"/>
  <c r="E499" i="4" s="1"/>
  <c r="B327" i="4"/>
  <c r="B370" i="4"/>
  <c r="B205" i="4"/>
  <c r="D163" i="4"/>
  <c r="E163" i="4" s="1"/>
  <c r="D120" i="4"/>
  <c r="E120" i="4" s="1"/>
  <c r="B164" i="4"/>
  <c r="D159" i="4"/>
  <c r="E159" i="4" s="1"/>
  <c r="B199" i="4"/>
  <c r="D204" i="4"/>
  <c r="E204" i="4" s="1"/>
  <c r="D113" i="4"/>
  <c r="E113" i="4" s="1"/>
  <c r="D158" i="4"/>
  <c r="E158" i="4" s="1"/>
  <c r="B114" i="4"/>
  <c r="B421" i="4"/>
  <c r="D418" i="4"/>
  <c r="E418" i="4" s="1"/>
  <c r="D200" i="4"/>
  <c r="E200" i="4" s="1"/>
  <c r="D205" i="4"/>
  <c r="E205" i="4" s="1"/>
  <c r="D378" i="4"/>
  <c r="E378" i="4" s="1"/>
  <c r="B202" i="4"/>
  <c r="D115" i="4"/>
  <c r="E115" i="4" s="1"/>
  <c r="D162" i="4"/>
  <c r="E162" i="4" s="1"/>
  <c r="B335" i="4"/>
  <c r="B373" i="4"/>
  <c r="D337" i="4"/>
  <c r="E337" i="4" s="1"/>
  <c r="D460" i="4"/>
  <c r="E460" i="4" s="1"/>
  <c r="D328" i="4"/>
  <c r="E328" i="4" s="1"/>
  <c r="D501" i="4"/>
  <c r="E501" i="4" s="1"/>
  <c r="B461" i="4"/>
  <c r="B505" i="4"/>
  <c r="B374" i="4"/>
  <c r="B332" i="4"/>
  <c r="B423" i="4"/>
  <c r="B462" i="4"/>
  <c r="B159" i="4"/>
  <c r="D161" i="4"/>
  <c r="E161" i="4" s="1"/>
  <c r="D380" i="4"/>
  <c r="E380" i="4" s="1"/>
  <c r="B371" i="4"/>
  <c r="B337" i="4"/>
  <c r="B208" i="4"/>
  <c r="B329" i="4"/>
  <c r="D377" i="4"/>
  <c r="E377" i="4" s="1"/>
  <c r="D156" i="4"/>
  <c r="E156" i="4" s="1"/>
  <c r="B422" i="4"/>
  <c r="D503" i="4"/>
  <c r="E503" i="4" s="1"/>
  <c r="B509" i="4"/>
  <c r="B415" i="4"/>
  <c r="D376" i="4"/>
  <c r="E376" i="4" s="1"/>
  <c r="D465" i="4"/>
  <c r="E465" i="4" s="1"/>
  <c r="D500" i="4"/>
  <c r="E500" i="4" s="1"/>
  <c r="D199" i="4"/>
  <c r="E199" i="4" s="1"/>
  <c r="B204" i="4"/>
  <c r="D413" i="4"/>
  <c r="E413" i="4" s="1"/>
  <c r="D116" i="4"/>
  <c r="E116" i="4" s="1"/>
  <c r="D79" i="4"/>
  <c r="E79" i="4" s="1"/>
  <c r="D70" i="4"/>
  <c r="E70" i="4" s="1"/>
  <c r="B28" i="4"/>
  <c r="D28" i="4"/>
  <c r="B76" i="4"/>
  <c r="D36" i="4"/>
  <c r="B36" i="4"/>
  <c r="D75" i="4"/>
  <c r="E75" i="4" s="1"/>
  <c r="B32" i="4"/>
  <c r="D32" i="4"/>
  <c r="D73" i="4"/>
  <c r="E73" i="4" s="1"/>
  <c r="D76" i="4"/>
  <c r="E76" i="4" s="1"/>
  <c r="B35" i="4"/>
  <c r="D35" i="4"/>
  <c r="B30" i="4"/>
  <c r="D30" i="4"/>
  <c r="D32" i="14"/>
  <c r="B34" i="4"/>
  <c r="D34" i="4"/>
  <c r="B32" i="14"/>
  <c r="P32" i="14" s="1"/>
  <c r="B79" i="4"/>
  <c r="B69" i="4"/>
  <c r="B74" i="4"/>
  <c r="B72" i="4"/>
  <c r="B73" i="4"/>
  <c r="D26" i="4"/>
  <c r="B26" i="4"/>
  <c r="B31" i="4"/>
  <c r="D31" i="4"/>
  <c r="B33" i="4"/>
  <c r="D33" i="4"/>
  <c r="D71" i="4"/>
  <c r="E71" i="4" s="1"/>
  <c r="D69" i="4"/>
  <c r="E69" i="4" s="1"/>
  <c r="B78" i="4"/>
  <c r="D77" i="4"/>
  <c r="E77" i="4" s="1"/>
  <c r="D78" i="4"/>
  <c r="E78" i="4" s="1"/>
  <c r="D74" i="4"/>
  <c r="E74" i="4" s="1"/>
  <c r="B77" i="4"/>
  <c r="D29" i="4"/>
  <c r="B29" i="4"/>
  <c r="B70" i="4"/>
  <c r="B71" i="4"/>
  <c r="B27" i="4"/>
  <c r="D27" i="4"/>
  <c r="B75" i="4"/>
  <c r="D72" i="4"/>
  <c r="E72" i="4" s="1"/>
  <c r="H40" i="13"/>
  <c r="H42" i="13" s="1"/>
  <c r="D30" i="14"/>
  <c r="B30" i="14"/>
  <c r="D28" i="14"/>
  <c r="B28" i="14"/>
  <c r="B26" i="14"/>
  <c r="D26" i="14"/>
  <c r="B33" i="14"/>
  <c r="D33" i="14"/>
  <c r="D31" i="14"/>
  <c r="B31" i="14"/>
  <c r="D27" i="14"/>
  <c r="B27" i="14"/>
  <c r="D34" i="14"/>
  <c r="B34" i="14"/>
  <c r="D36" i="14"/>
  <c r="B36" i="14"/>
  <c r="B35" i="14"/>
  <c r="D35" i="14"/>
  <c r="D29" i="14"/>
  <c r="B29" i="14"/>
  <c r="R4" i="3"/>
  <c r="L22" i="4"/>
  <c r="L21" i="14"/>
  <c r="L20" i="14"/>
  <c r="L11" i="14"/>
  <c r="L19" i="14"/>
  <c r="L18" i="14"/>
  <c r="L14" i="14"/>
  <c r="L10" i="14"/>
  <c r="L17" i="14"/>
  <c r="L15" i="14"/>
  <c r="L9" i="14"/>
  <c r="L16" i="14"/>
  <c r="L13" i="14"/>
  <c r="L12" i="14"/>
  <c r="L8" i="14"/>
  <c r="L7" i="14"/>
  <c r="H14" i="5"/>
  <c r="K14" i="5" s="1"/>
  <c r="O4" i="3" s="1"/>
  <c r="P284" i="4" l="1"/>
  <c r="Q284" i="4" s="1"/>
  <c r="C284" i="4"/>
  <c r="D487" i="17"/>
  <c r="F487" i="17" s="1"/>
  <c r="D306" i="17"/>
  <c r="F306" i="17" s="1"/>
  <c r="D500" i="17"/>
  <c r="F500" i="17" s="1"/>
  <c r="D351" i="17"/>
  <c r="F351" i="17" s="1"/>
  <c r="D454" i="17"/>
  <c r="F454" i="17" s="1"/>
  <c r="D811" i="17"/>
  <c r="F811" i="17" s="1"/>
  <c r="D956" i="17"/>
  <c r="F956" i="17" s="1"/>
  <c r="D102" i="17"/>
  <c r="F102" i="17" s="1"/>
  <c r="D1223" i="17"/>
  <c r="F1223" i="17" s="1"/>
  <c r="D231" i="17"/>
  <c r="F231" i="17" s="1"/>
  <c r="D380" i="17"/>
  <c r="F380" i="17" s="1"/>
  <c r="D186" i="17"/>
  <c r="F186" i="17" s="1"/>
  <c r="D1106" i="17"/>
  <c r="F1106" i="17" s="1"/>
  <c r="D823" i="17"/>
  <c r="F823" i="17" s="1"/>
  <c r="D758" i="17"/>
  <c r="F758" i="17" s="1"/>
  <c r="D1142" i="17"/>
  <c r="F1142" i="17" s="1"/>
  <c r="D522" i="17"/>
  <c r="F522" i="17" s="1"/>
  <c r="D581" i="17"/>
  <c r="F581" i="17" s="1"/>
  <c r="D542" i="17"/>
  <c r="F542" i="17" s="1"/>
  <c r="D589" i="17"/>
  <c r="F589" i="17" s="1"/>
  <c r="D481" i="17"/>
  <c r="F481" i="17" s="1"/>
  <c r="D208" i="17"/>
  <c r="F208" i="17" s="1"/>
  <c r="D694" i="17"/>
  <c r="F694" i="17" s="1"/>
  <c r="D1136" i="17"/>
  <c r="D693" i="17"/>
  <c r="F693" i="17" s="1"/>
  <c r="D1176" i="17"/>
  <c r="F1176" i="17" s="1"/>
  <c r="D1010" i="17"/>
  <c r="F1010" i="17" s="1"/>
  <c r="D1186" i="17"/>
  <c r="F1186" i="17" s="1"/>
  <c r="D880" i="17"/>
  <c r="F880" i="17" s="1"/>
  <c r="D540" i="17"/>
  <c r="F540" i="17" s="1"/>
  <c r="D448" i="17"/>
  <c r="F448" i="17" s="1"/>
  <c r="D195" i="17"/>
  <c r="F195" i="17" s="1"/>
  <c r="D393" i="17"/>
  <c r="F393" i="17" s="1"/>
  <c r="D571" i="17"/>
  <c r="D1262" i="17"/>
  <c r="F1262" i="17" s="1"/>
  <c r="D884" i="17"/>
  <c r="F884" i="17" s="1"/>
  <c r="D554" i="17"/>
  <c r="F554" i="17" s="1"/>
  <c r="D1243" i="17"/>
  <c r="F1243" i="17" s="1"/>
  <c r="D804" i="17"/>
  <c r="F804" i="17" s="1"/>
  <c r="D1040" i="17"/>
  <c r="F1040" i="17" s="1"/>
  <c r="D614" i="17"/>
  <c r="F614" i="17" s="1"/>
  <c r="D755" i="17"/>
  <c r="F755" i="17" s="1"/>
  <c r="D1095" i="17"/>
  <c r="F1095" i="17" s="1"/>
  <c r="D488" i="17"/>
  <c r="F488" i="17" s="1"/>
  <c r="D69" i="17"/>
  <c r="F69" i="17" s="1"/>
  <c r="D322" i="17"/>
  <c r="F322" i="17" s="1"/>
  <c r="D557" i="17"/>
  <c r="F557" i="17" s="1"/>
  <c r="D511" i="17"/>
  <c r="F511" i="17" s="1"/>
  <c r="D862" i="17"/>
  <c r="F862" i="17" s="1"/>
  <c r="D958" i="17"/>
  <c r="F958" i="17" s="1"/>
  <c r="D1037" i="17"/>
  <c r="F1037" i="17" s="1"/>
  <c r="D128" i="17"/>
  <c r="F128" i="17" s="1"/>
  <c r="D161" i="17"/>
  <c r="F161" i="17" s="1"/>
  <c r="D247" i="17"/>
  <c r="F247" i="17" s="1"/>
  <c r="D1055" i="17"/>
  <c r="F1055" i="17" s="1"/>
  <c r="D202" i="17"/>
  <c r="F202" i="17" s="1"/>
  <c r="D924" i="17"/>
  <c r="F924" i="17" s="1"/>
  <c r="D848" i="17"/>
  <c r="F848" i="17" s="1"/>
  <c r="D1104" i="17"/>
  <c r="F1104" i="17" s="1"/>
  <c r="D1179" i="17"/>
  <c r="F1179" i="17" s="1"/>
  <c r="D858" i="17"/>
  <c r="F858" i="17" s="1"/>
  <c r="D812" i="17"/>
  <c r="F812" i="17" s="1"/>
  <c r="D80" i="17"/>
  <c r="F80" i="17" s="1"/>
  <c r="D810" i="17"/>
  <c r="F810" i="17" s="1"/>
  <c r="D651" i="17"/>
  <c r="F651" i="17" s="1"/>
  <c r="D310" i="17"/>
  <c r="F310" i="17" s="1"/>
  <c r="D39" i="17"/>
  <c r="F39" i="17" s="1"/>
  <c r="D477" i="17"/>
  <c r="F477" i="17" s="1"/>
  <c r="D1201" i="17"/>
  <c r="F1201" i="17" s="1"/>
  <c r="D1204" i="17"/>
  <c r="F1204" i="17" s="1"/>
  <c r="D217" i="17"/>
  <c r="F217" i="17" s="1"/>
  <c r="D1033" i="17"/>
  <c r="F1033" i="17" s="1"/>
  <c r="D611" i="17"/>
  <c r="F611" i="17" s="1"/>
  <c r="D1007" i="17"/>
  <c r="F1007" i="17" s="1"/>
  <c r="D809" i="17"/>
  <c r="F809" i="17" s="1"/>
  <c r="D419" i="17"/>
  <c r="F419" i="17" s="1"/>
  <c r="D761" i="17"/>
  <c r="F761" i="17" s="1"/>
  <c r="D701" i="17"/>
  <c r="F701" i="17" s="1"/>
  <c r="D1035" i="17"/>
  <c r="F1035" i="17" s="1"/>
  <c r="D613" i="17"/>
  <c r="F613" i="17" s="1"/>
  <c r="D754" i="17"/>
  <c r="F754" i="17" s="1"/>
  <c r="D871" i="17"/>
  <c r="F871" i="17" s="1"/>
  <c r="D62" i="17"/>
  <c r="F62" i="17" s="1"/>
  <c r="D644" i="17"/>
  <c r="F644" i="17" s="1"/>
  <c r="D1124" i="17"/>
  <c r="F1124" i="17" s="1"/>
  <c r="D84" i="17"/>
  <c r="F84" i="17" s="1"/>
  <c r="D902" i="17"/>
  <c r="F902" i="17" s="1"/>
  <c r="D1060" i="17"/>
  <c r="F1060" i="17" s="1"/>
  <c r="D251" i="17"/>
  <c r="F251" i="17" s="1"/>
  <c r="D1044" i="17"/>
  <c r="F1044" i="17" s="1"/>
  <c r="D489" i="17"/>
  <c r="F489" i="17" s="1"/>
  <c r="D604" i="17"/>
  <c r="F604" i="17" s="1"/>
  <c r="D1215" i="17"/>
  <c r="F1215" i="17" s="1"/>
  <c r="D966" i="17"/>
  <c r="F966" i="17" s="1"/>
  <c r="D108" i="17"/>
  <c r="F108" i="17" s="1"/>
  <c r="D1167" i="17"/>
  <c r="F1167" i="17" s="1"/>
  <c r="D336" i="17"/>
  <c r="F336" i="17" s="1"/>
  <c r="D177" i="17"/>
  <c r="F177" i="17" s="1"/>
  <c r="D263" i="17"/>
  <c r="F263" i="17" s="1"/>
  <c r="D666" i="17"/>
  <c r="F666" i="17" s="1"/>
  <c r="D708" i="17"/>
  <c r="F708" i="17" s="1"/>
  <c r="D552" i="17"/>
  <c r="F552" i="17" s="1"/>
  <c r="D959" i="17"/>
  <c r="F959" i="17" s="1"/>
  <c r="D1140" i="17"/>
  <c r="F1140" i="17" s="1"/>
  <c r="D1198" i="17"/>
  <c r="F1198" i="17" s="1"/>
  <c r="D677" i="17"/>
  <c r="F677" i="17" s="1"/>
  <c r="D366" i="17"/>
  <c r="F366" i="17" s="1"/>
  <c r="D190" i="17"/>
  <c r="F190" i="17" s="1"/>
  <c r="D340" i="17"/>
  <c r="F340" i="17" s="1"/>
  <c r="D895" i="17"/>
  <c r="F895" i="17" s="1"/>
  <c r="D332" i="17"/>
  <c r="F332" i="17" s="1"/>
  <c r="D844" i="17"/>
  <c r="F844" i="17" s="1"/>
  <c r="D58" i="17"/>
  <c r="F58" i="17" s="1"/>
  <c r="D875" i="17"/>
  <c r="F875" i="17" s="1"/>
  <c r="D1259" i="17"/>
  <c r="F1259" i="17" s="1"/>
  <c r="D377" i="17"/>
  <c r="F377" i="17" s="1"/>
  <c r="D563" i="17"/>
  <c r="F563" i="17" s="1"/>
  <c r="D278" i="17"/>
  <c r="F278" i="17" s="1"/>
  <c r="D639" i="17"/>
  <c r="F639" i="17" s="1"/>
  <c r="D729" i="17"/>
  <c r="F729" i="17" s="1"/>
  <c r="D883" i="17"/>
  <c r="F883" i="17" s="1"/>
  <c r="D553" i="17"/>
  <c r="F553" i="17" s="1"/>
  <c r="D1242" i="17"/>
  <c r="F1242" i="17" s="1"/>
  <c r="D735" i="17"/>
  <c r="F735" i="17" s="1"/>
  <c r="D61" i="17"/>
  <c r="F61" i="17" s="1"/>
  <c r="D643" i="17"/>
  <c r="F643" i="17" s="1"/>
  <c r="D1123" i="17"/>
  <c r="F1123" i="17" s="1"/>
  <c r="D144" i="17"/>
  <c r="F144" i="17" s="1"/>
  <c r="D698" i="17"/>
  <c r="F698" i="17" s="1"/>
  <c r="D21" i="17"/>
  <c r="F21" i="17" s="1"/>
  <c r="D954" i="17"/>
  <c r="D935" i="17"/>
  <c r="F935" i="17" s="1"/>
  <c r="D1082" i="17"/>
  <c r="F1082" i="17" s="1"/>
  <c r="D674" i="17"/>
  <c r="F674" i="17" s="1"/>
  <c r="D633" i="17"/>
  <c r="F633" i="17" s="1"/>
  <c r="D731" i="17"/>
  <c r="F731" i="17" s="1"/>
  <c r="D982" i="17"/>
  <c r="F982" i="17" s="1"/>
  <c r="D326" i="17"/>
  <c r="F326" i="17" s="1"/>
  <c r="D97" i="17"/>
  <c r="F97" i="17" s="1"/>
  <c r="D387" i="17"/>
  <c r="F387" i="17" s="1"/>
  <c r="D713" i="17"/>
  <c r="F713" i="17" s="1"/>
  <c r="D423" i="17"/>
  <c r="F423" i="17" s="1"/>
  <c r="D364" i="17"/>
  <c r="F364" i="17" s="1"/>
  <c r="D654" i="17"/>
  <c r="F654" i="17" s="1"/>
  <c r="D1071" i="17"/>
  <c r="F1071" i="17" s="1"/>
  <c r="D31" i="17"/>
  <c r="F31" i="17" s="1"/>
  <c r="D1214" i="17"/>
  <c r="F1214" i="17" s="1"/>
  <c r="D137" i="17"/>
  <c r="F137" i="17" s="1"/>
  <c r="D570" i="17"/>
  <c r="F570" i="17" s="1"/>
  <c r="D583" i="17"/>
  <c r="F583" i="17" s="1"/>
  <c r="D887" i="17"/>
  <c r="F887" i="17" s="1"/>
  <c r="D8" i="17"/>
  <c r="F8" i="17" s="1"/>
  <c r="D619" i="17"/>
  <c r="F619" i="17" s="1"/>
  <c r="D1049" i="17"/>
  <c r="F1049" i="17" s="1"/>
  <c r="D243" i="17"/>
  <c r="F243" i="17" s="1"/>
  <c r="D157" i="17"/>
  <c r="F157" i="17" s="1"/>
  <c r="D386" i="17"/>
  <c r="F386" i="17" s="1"/>
  <c r="D667" i="17"/>
  <c r="F667" i="17" s="1"/>
  <c r="D95" i="17"/>
  <c r="F95" i="17" s="1"/>
  <c r="D209" i="17"/>
  <c r="F209" i="17" s="1"/>
  <c r="D695" i="17"/>
  <c r="F695" i="17" s="1"/>
  <c r="D872" i="17"/>
  <c r="F872" i="17" s="1"/>
  <c r="D1034" i="17"/>
  <c r="F1034" i="17" s="1"/>
  <c r="D612" i="17"/>
  <c r="F612" i="17" s="1"/>
  <c r="D753" i="17"/>
  <c r="F753" i="17" s="1"/>
  <c r="D868" i="17"/>
  <c r="F868" i="17" s="1"/>
  <c r="D288" i="17"/>
  <c r="F288" i="17" s="1"/>
  <c r="D697" i="17"/>
  <c r="F697" i="17" s="1"/>
  <c r="D20" i="17"/>
  <c r="F20" i="17" s="1"/>
  <c r="D46" i="17"/>
  <c r="F46" i="17" s="1"/>
  <c r="D314" i="17"/>
  <c r="F314" i="17" s="1"/>
  <c r="D820" i="17"/>
  <c r="F820" i="17" s="1"/>
  <c r="D43" i="17"/>
  <c r="F43" i="17" s="1"/>
  <c r="D779" i="17"/>
  <c r="F779" i="17" s="1"/>
  <c r="D912" i="17"/>
  <c r="F912" i="17" s="1"/>
  <c r="D685" i="17"/>
  <c r="D777" i="17"/>
  <c r="F777" i="17" s="1"/>
  <c r="D998" i="17"/>
  <c r="F998" i="17" s="1"/>
  <c r="D946" i="17"/>
  <c r="F946" i="17" s="1"/>
  <c r="D291" i="17"/>
  <c r="F291" i="17" s="1"/>
  <c r="D409" i="17"/>
  <c r="F409" i="17" s="1"/>
  <c r="D148" i="17"/>
  <c r="F148" i="17" s="1"/>
  <c r="D439" i="17"/>
  <c r="F439" i="17" s="1"/>
  <c r="D486" i="17"/>
  <c r="D556" i="17"/>
  <c r="F556" i="17" s="1"/>
  <c r="D940" i="17"/>
  <c r="F940" i="17" s="1"/>
  <c r="D1070" i="17"/>
  <c r="F1070" i="17" s="1"/>
  <c r="D50" i="17"/>
  <c r="F50" i="17" s="1"/>
  <c r="D720" i="17"/>
  <c r="F720" i="17" s="1"/>
  <c r="D77" i="17"/>
  <c r="F77" i="17" s="1"/>
  <c r="D524" i="17"/>
  <c r="F524" i="17" s="1"/>
  <c r="D474" i="17"/>
  <c r="F474" i="17" s="1"/>
  <c r="D1032" i="17"/>
  <c r="D123" i="17"/>
  <c r="F123" i="17" s="1"/>
  <c r="D932" i="17"/>
  <c r="F932" i="17" s="1"/>
  <c r="D1077" i="17"/>
  <c r="F1077" i="17" s="1"/>
  <c r="D265" i="17"/>
  <c r="F265" i="17" s="1"/>
  <c r="D555" i="17"/>
  <c r="F555" i="17" s="1"/>
  <c r="D476" i="17"/>
  <c r="F476" i="17" s="1"/>
  <c r="D617" i="17"/>
  <c r="F617" i="17" s="1"/>
  <c r="D1088" i="17"/>
  <c r="F1088" i="17" s="1"/>
  <c r="D311" i="17"/>
  <c r="F311" i="17" s="1"/>
  <c r="D817" i="17"/>
  <c r="F817" i="17" s="1"/>
  <c r="D1119" i="17"/>
  <c r="F1119" i="17" s="1"/>
  <c r="D279" i="17"/>
  <c r="F279" i="17" s="1"/>
  <c r="D640" i="17"/>
  <c r="F640" i="17" s="1"/>
  <c r="D1105" i="17"/>
  <c r="F1105" i="17" s="1"/>
  <c r="D641" i="17"/>
  <c r="F641" i="17" s="1"/>
  <c r="D313" i="17"/>
  <c r="F313" i="17" s="1"/>
  <c r="D819" i="17"/>
  <c r="F819" i="17" s="1"/>
  <c r="D42" i="17"/>
  <c r="F42" i="17" s="1"/>
  <c r="D1185" i="17"/>
  <c r="F1185" i="17" s="1"/>
  <c r="D472" i="17"/>
  <c r="F472" i="17" s="1"/>
  <c r="D852" i="17"/>
  <c r="F852" i="17" s="1"/>
  <c r="D135" i="17"/>
  <c r="F135" i="17" s="1"/>
  <c r="D169" i="17"/>
  <c r="F169" i="17" s="1"/>
  <c r="D482" i="17"/>
  <c r="F482" i="17" s="1"/>
  <c r="D74" i="17"/>
  <c r="D937" i="17"/>
  <c r="F937" i="17" s="1"/>
  <c r="D702" i="17"/>
  <c r="F702" i="17" s="1"/>
  <c r="D1252" i="17"/>
  <c r="F1252" i="17" s="1"/>
  <c r="D1014" i="17"/>
  <c r="F1014" i="17" s="1"/>
  <c r="D307" i="17"/>
  <c r="F307" i="17" s="1"/>
  <c r="D501" i="17"/>
  <c r="F501" i="17" s="1"/>
  <c r="D354" i="17"/>
  <c r="F354" i="17" s="1"/>
  <c r="D455" i="17"/>
  <c r="F455" i="17" s="1"/>
  <c r="D957" i="17"/>
  <c r="F957" i="17" s="1"/>
  <c r="D103" i="17"/>
  <c r="F103" i="17" s="1"/>
  <c r="D1224" i="17"/>
  <c r="F1224" i="17" s="1"/>
  <c r="D232" i="17"/>
  <c r="F232" i="17" s="1"/>
  <c r="D381" i="17"/>
  <c r="F381" i="17" s="1"/>
  <c r="D764" i="17"/>
  <c r="F764" i="17" s="1"/>
  <c r="D13" i="17"/>
  <c r="F13" i="17" s="1"/>
  <c r="D32" i="17"/>
  <c r="F32" i="17" s="1"/>
  <c r="D1159" i="17"/>
  <c r="F1159" i="17" s="1"/>
  <c r="D225" i="17"/>
  <c r="F225" i="17" s="1"/>
  <c r="D1098" i="17"/>
  <c r="F1098" i="17" s="1"/>
  <c r="D1157" i="17"/>
  <c r="F1157" i="17" s="1"/>
  <c r="D428" i="17"/>
  <c r="F428" i="17" s="1"/>
  <c r="D742" i="17"/>
  <c r="F742" i="17" s="1"/>
  <c r="D730" i="17"/>
  <c r="F730" i="17" s="1"/>
  <c r="D826" i="17"/>
  <c r="F826" i="17" s="1"/>
  <c r="D219" i="17"/>
  <c r="F219" i="17" s="1"/>
  <c r="D333" i="17"/>
  <c r="F333" i="17" s="1"/>
  <c r="D845" i="17"/>
  <c r="F845" i="17" s="1"/>
  <c r="D1260" i="17"/>
  <c r="F1260" i="17" s="1"/>
  <c r="D282" i="17"/>
  <c r="F282" i="17" s="1"/>
  <c r="D696" i="17"/>
  <c r="F696" i="17" s="1"/>
  <c r="D19" i="17"/>
  <c r="F19" i="17" s="1"/>
  <c r="D1208" i="17"/>
  <c r="F1208" i="17" s="1"/>
  <c r="D471" i="17"/>
  <c r="F471" i="17" s="1"/>
  <c r="D851" i="17"/>
  <c r="F851" i="17" s="1"/>
  <c r="D134" i="17"/>
  <c r="F134" i="17" s="1"/>
  <c r="D995" i="17"/>
  <c r="F995" i="17" s="1"/>
  <c r="D901" i="17"/>
  <c r="F901" i="17" s="1"/>
  <c r="D1058" i="17"/>
  <c r="F1058" i="17" s="1"/>
  <c r="D250" i="17"/>
  <c r="F250" i="17" s="1"/>
  <c r="D51" i="17"/>
  <c r="F51" i="17" s="1"/>
  <c r="D669" i="17"/>
  <c r="F669" i="17" s="1"/>
  <c r="D782" i="17"/>
  <c r="F782" i="17" s="1"/>
  <c r="D866" i="17"/>
  <c r="F866" i="17" s="1"/>
  <c r="D565" i="17"/>
  <c r="F565" i="17" s="1"/>
  <c r="D584" i="17"/>
  <c r="F584" i="17" s="1"/>
  <c r="D397" i="17"/>
  <c r="F397" i="17" s="1"/>
  <c r="D625" i="17"/>
  <c r="F625" i="17" s="1"/>
  <c r="D1184" i="17"/>
  <c r="F1184" i="17" s="1"/>
  <c r="D234" i="17"/>
  <c r="F234" i="17" s="1"/>
  <c r="D744" i="17"/>
  <c r="F744" i="17" s="1"/>
  <c r="D837" i="17"/>
  <c r="F837" i="17" s="1"/>
  <c r="D907" i="17"/>
  <c r="F907" i="17" s="1"/>
  <c r="D1061" i="17"/>
  <c r="F1061" i="17" s="1"/>
  <c r="D254" i="17"/>
  <c r="F254" i="17" s="1"/>
  <c r="D1216" i="17"/>
  <c r="F1216" i="17" s="1"/>
  <c r="D1232" i="17"/>
  <c r="F1232" i="17" s="1"/>
  <c r="D444" i="17"/>
  <c r="F444" i="17" s="1"/>
  <c r="D1162" i="17"/>
  <c r="F1162" i="17" s="1"/>
  <c r="D636" i="17"/>
  <c r="F636" i="17" s="1"/>
  <c r="D795" i="17"/>
  <c r="F795" i="17" s="1"/>
  <c r="D576" i="17"/>
  <c r="F576" i="17" s="1"/>
  <c r="D980" i="17"/>
  <c r="F980" i="17" s="1"/>
  <c r="D301" i="17"/>
  <c r="F301" i="17" s="1"/>
  <c r="D1066" i="17"/>
  <c r="F1066" i="17" s="1"/>
  <c r="D721" i="17"/>
  <c r="F721" i="17" s="1"/>
  <c r="D321" i="17"/>
  <c r="F321" i="17" s="1"/>
  <c r="D181" i="17"/>
  <c r="F181" i="17" s="1"/>
  <c r="D34" i="17"/>
  <c r="F34" i="17" s="1"/>
  <c r="D1150" i="17"/>
  <c r="F1150" i="17" s="1"/>
  <c r="D258" i="17"/>
  <c r="F258" i="17" s="1"/>
  <c r="D997" i="17"/>
  <c r="F997" i="17" s="1"/>
  <c r="D1218" i="17"/>
  <c r="F1218" i="17" s="1"/>
  <c r="D1188" i="17"/>
  <c r="F1188" i="17" s="1"/>
  <c r="D963" i="17"/>
  <c r="F963" i="17" s="1"/>
  <c r="D237" i="17"/>
  <c r="F237" i="17" s="1"/>
  <c r="D172" i="17"/>
  <c r="F172" i="17" s="1"/>
  <c r="D257" i="17"/>
  <c r="F257" i="17" s="1"/>
  <c r="D300" i="17"/>
  <c r="F300" i="17" s="1"/>
  <c r="D1051" i="17"/>
  <c r="F1051" i="17" s="1"/>
  <c r="D535" i="17"/>
  <c r="F535" i="17" s="1"/>
  <c r="D359" i="17"/>
  <c r="F359" i="17" s="1"/>
  <c r="D441" i="17"/>
  <c r="F441" i="17" s="1"/>
  <c r="D184" i="17"/>
  <c r="F184" i="17" s="1"/>
  <c r="D1100" i="17"/>
  <c r="F1100" i="17" s="1"/>
  <c r="D821" i="17"/>
  <c r="F821" i="17" s="1"/>
  <c r="D756" i="17"/>
  <c r="F756" i="17" s="1"/>
  <c r="D1122" i="17"/>
  <c r="F1122" i="17" s="1"/>
  <c r="D70" i="17"/>
  <c r="F70" i="17" s="1"/>
  <c r="D558" i="17"/>
  <c r="D402" i="17"/>
  <c r="F402" i="17" s="1"/>
  <c r="D863" i="17"/>
  <c r="F863" i="17" s="1"/>
  <c r="D1039" i="17"/>
  <c r="F1039" i="17" s="1"/>
  <c r="D1038" i="17"/>
  <c r="F1038" i="17" s="1"/>
  <c r="D210" i="17"/>
  <c r="F210" i="17" s="1"/>
  <c r="D162" i="17"/>
  <c r="F162" i="17" s="1"/>
  <c r="D248" i="17"/>
  <c r="F248" i="17" s="1"/>
  <c r="D567" i="17"/>
  <c r="F567" i="17" s="1"/>
  <c r="D492" i="17"/>
  <c r="F492" i="17" s="1"/>
  <c r="D679" i="17"/>
  <c r="F679" i="17" s="1"/>
  <c r="D850" i="17"/>
  <c r="F850" i="17" s="1"/>
  <c r="D65" i="17"/>
  <c r="F65" i="17" s="1"/>
  <c r="D372" i="17"/>
  <c r="F372" i="17" s="1"/>
  <c r="D905" i="17"/>
  <c r="F905" i="17" s="1"/>
  <c r="D1247" i="17"/>
  <c r="F1247" i="17" s="1"/>
  <c r="D447" i="17"/>
  <c r="F447" i="17" s="1"/>
  <c r="D752" i="17"/>
  <c r="F752" i="17" s="1"/>
  <c r="D989" i="17"/>
  <c r="F989" i="17" s="1"/>
  <c r="D1084" i="17"/>
  <c r="F1084" i="17" s="1"/>
  <c r="D628" i="17"/>
  <c r="F628" i="17" s="1"/>
  <c r="D889" i="17"/>
  <c r="F889" i="17" s="1"/>
  <c r="D1057" i="17"/>
  <c r="D1120" i="17"/>
  <c r="F1120" i="17" s="1"/>
  <c r="D312" i="17"/>
  <c r="F312" i="17" s="1"/>
  <c r="D818" i="17"/>
  <c r="F818" i="17" s="1"/>
  <c r="D41" i="17"/>
  <c r="F41" i="17" s="1"/>
  <c r="D1020" i="17"/>
  <c r="F1020" i="17" s="1"/>
  <c r="D900" i="17"/>
  <c r="F900" i="17" s="1"/>
  <c r="D1059" i="17"/>
  <c r="F1059" i="17" s="1"/>
  <c r="D249" i="17"/>
  <c r="F249" i="17" s="1"/>
  <c r="D1047" i="17"/>
  <c r="F1047" i="17" s="1"/>
  <c r="D934" i="17"/>
  <c r="F934" i="17" s="1"/>
  <c r="D1081" i="17"/>
  <c r="F1081" i="17" s="1"/>
  <c r="D269" i="17"/>
  <c r="F269" i="17" s="1"/>
  <c r="D68" i="17"/>
  <c r="F68" i="17" s="1"/>
  <c r="D4" i="17"/>
  <c r="F4" i="17" s="1"/>
  <c r="D142" i="17"/>
  <c r="F142" i="17" s="1"/>
  <c r="D973" i="17"/>
  <c r="F973" i="17" s="1"/>
  <c r="D82" i="17"/>
  <c r="F82" i="17" s="1"/>
  <c r="D367" i="17"/>
  <c r="F367" i="17" s="1"/>
  <c r="D499" i="17"/>
  <c r="F499" i="17" s="1"/>
  <c r="D772" i="17"/>
  <c r="F772" i="17" s="1"/>
  <c r="D1264" i="17"/>
  <c r="F1264" i="17" s="1"/>
  <c r="D457" i="17"/>
  <c r="F457" i="17" s="1"/>
  <c r="D26" i="17"/>
  <c r="F26" i="17" s="1"/>
  <c r="D1228" i="17"/>
  <c r="F1228" i="17" s="1"/>
  <c r="D953" i="17"/>
  <c r="F953" i="17" s="1"/>
  <c r="D1083" i="17"/>
  <c r="F1083" i="17" s="1"/>
  <c r="D273" i="17"/>
  <c r="F273" i="17" s="1"/>
  <c r="D647" i="17"/>
  <c r="F647" i="17" s="1"/>
  <c r="D173" i="17"/>
  <c r="F173" i="17" s="1"/>
  <c r="D463" i="17"/>
  <c r="F463" i="17" s="1"/>
  <c r="D206" i="17"/>
  <c r="F206" i="17" s="1"/>
  <c r="D691" i="17"/>
  <c r="F691" i="17" s="1"/>
  <c r="D1134" i="17"/>
  <c r="F1134" i="17" s="1"/>
  <c r="D649" i="17"/>
  <c r="F649" i="17" s="1"/>
  <c r="D214" i="17"/>
  <c r="F214" i="17" s="1"/>
  <c r="D1230" i="17"/>
  <c r="F1230" i="17" s="1"/>
  <c r="D660" i="17"/>
  <c r="F660" i="17" s="1"/>
  <c r="D54" i="17"/>
  <c r="F54" i="17" s="1"/>
  <c r="D1001" i="17"/>
  <c r="F1001" i="17" s="1"/>
  <c r="D461" i="17"/>
  <c r="F461" i="17" s="1"/>
  <c r="D56" i="17"/>
  <c r="F56" i="17" s="1"/>
  <c r="D1112" i="17"/>
  <c r="F1112" i="17" s="1"/>
  <c r="D543" i="17"/>
  <c r="F543" i="17" s="1"/>
  <c r="D616" i="17"/>
  <c r="F616" i="17" s="1"/>
  <c r="D383" i="17"/>
  <c r="F383" i="17" s="1"/>
  <c r="D607" i="17"/>
  <c r="F607" i="17" s="1"/>
  <c r="D200" i="17"/>
  <c r="F200" i="17" s="1"/>
  <c r="D922" i="17"/>
  <c r="F922" i="17" s="1"/>
  <c r="D846" i="17"/>
  <c r="F846" i="17" s="1"/>
  <c r="D1102" i="17"/>
  <c r="F1102" i="17" s="1"/>
  <c r="D1177" i="17"/>
  <c r="F1177" i="17" s="1"/>
  <c r="D179" i="17"/>
  <c r="F179" i="17" s="1"/>
  <c r="D490" i="17"/>
  <c r="F490" i="17" s="1"/>
  <c r="D605" i="17"/>
  <c r="F605" i="17" s="1"/>
  <c r="D547" i="17"/>
  <c r="F547" i="17" s="1"/>
  <c r="D967" i="17"/>
  <c r="F967" i="17" s="1"/>
  <c r="D293" i="17"/>
  <c r="F293" i="17" s="1"/>
  <c r="D1168" i="17"/>
  <c r="F1168" i="17" s="1"/>
  <c r="D344" i="17"/>
  <c r="F344" i="17" s="1"/>
  <c r="D178" i="17"/>
  <c r="F178" i="17" s="1"/>
  <c r="D264" i="17"/>
  <c r="F264" i="17" s="1"/>
  <c r="D475" i="17"/>
  <c r="F475" i="17" s="1"/>
  <c r="D859" i="17"/>
  <c r="F859" i="17" s="1"/>
  <c r="D281" i="17"/>
  <c r="F281" i="17" s="1"/>
  <c r="D404" i="17"/>
  <c r="F404" i="17" s="1"/>
  <c r="D650" i="17"/>
  <c r="F650" i="17" s="1"/>
  <c r="D283" i="17"/>
  <c r="F283" i="17" s="1"/>
  <c r="D468" i="17"/>
  <c r="F468" i="17" s="1"/>
  <c r="D798" i="17"/>
  <c r="F798" i="17" s="1"/>
  <c r="D1180" i="17"/>
  <c r="F1180" i="17" s="1"/>
  <c r="D167" i="17"/>
  <c r="F167" i="17" s="1"/>
  <c r="D1068" i="17"/>
  <c r="F1068" i="17" s="1"/>
  <c r="D928" i="17"/>
  <c r="F928" i="17" s="1"/>
  <c r="D1076" i="17"/>
  <c r="F1076" i="17" s="1"/>
  <c r="D573" i="17"/>
  <c r="F573" i="17" s="1"/>
  <c r="D334" i="17"/>
  <c r="F334" i="17" s="1"/>
  <c r="D849" i="17"/>
  <c r="F849" i="17" s="1"/>
  <c r="D60" i="17"/>
  <c r="F60" i="17" s="1"/>
  <c r="D608" i="17"/>
  <c r="F608" i="17" s="1"/>
  <c r="D930" i="17"/>
  <c r="F930" i="17" s="1"/>
  <c r="D1080" i="17"/>
  <c r="F1080" i="17" s="1"/>
  <c r="D268" i="17"/>
  <c r="F268" i="17" s="1"/>
  <c r="D98" i="17"/>
  <c r="F98" i="17" s="1"/>
  <c r="D1110" i="17"/>
  <c r="F1110" i="17" s="1"/>
  <c r="D1220" i="17"/>
  <c r="F1220" i="17" s="1"/>
  <c r="D432" i="17"/>
  <c r="F432" i="17" s="1"/>
  <c r="D673" i="17"/>
  <c r="F673" i="17" s="1"/>
  <c r="D125" i="17"/>
  <c r="F125" i="17" s="1"/>
  <c r="D348" i="17"/>
  <c r="F348" i="17" s="1"/>
  <c r="D992" i="17"/>
  <c r="F992" i="17" s="1"/>
  <c r="D585" i="17"/>
  <c r="F585" i="17" s="1"/>
  <c r="D888" i="17"/>
  <c r="F888" i="17" s="1"/>
  <c r="D592" i="17"/>
  <c r="F592" i="17" s="1"/>
  <c r="D1267" i="17"/>
  <c r="F1267" i="17" s="1"/>
  <c r="D280" i="17"/>
  <c r="F280" i="17" s="1"/>
  <c r="D1013" i="17"/>
  <c r="F1013" i="17" s="1"/>
  <c r="D1062" i="17"/>
  <c r="F1062" i="17" s="1"/>
  <c r="D626" i="17"/>
  <c r="F626" i="17" s="1"/>
  <c r="D1087" i="17"/>
  <c r="F1087" i="17" s="1"/>
  <c r="D1227" i="17"/>
  <c r="F1227" i="17" s="1"/>
  <c r="D436" i="17"/>
  <c r="F436" i="17" s="1"/>
  <c r="D896" i="17"/>
  <c r="F896" i="17" s="1"/>
  <c r="D962" i="17"/>
  <c r="F962" i="17" s="1"/>
  <c r="D304" i="17"/>
  <c r="F304" i="17" s="1"/>
  <c r="D814" i="17"/>
  <c r="F814" i="17" s="1"/>
  <c r="D37" i="17"/>
  <c r="F37" i="17" s="1"/>
  <c r="D390" i="17"/>
  <c r="F390" i="17" s="1"/>
  <c r="D1132" i="17"/>
  <c r="F1132" i="17" s="1"/>
  <c r="D53" i="17"/>
  <c r="F53" i="17" s="1"/>
  <c r="D603" i="17"/>
  <c r="F603" i="17" s="1"/>
  <c r="D722" i="17"/>
  <c r="F722" i="17" s="1"/>
  <c r="D1195" i="17"/>
  <c r="F1195" i="17" s="1"/>
  <c r="D1018" i="17"/>
  <c r="F1018" i="17" s="1"/>
  <c r="D276" i="17"/>
  <c r="F276" i="17" s="1"/>
  <c r="D919" i="17"/>
  <c r="F919" i="17" s="1"/>
  <c r="D996" i="17"/>
  <c r="F996" i="17" s="1"/>
  <c r="D787" i="17"/>
  <c r="F787" i="17" s="1"/>
  <c r="D132" i="17"/>
  <c r="F132" i="17" s="1"/>
  <c r="D839" i="17"/>
  <c r="F839" i="17" s="1"/>
  <c r="D1209" i="17"/>
  <c r="F1209" i="17" s="1"/>
  <c r="D964" i="17"/>
  <c r="F964" i="17" s="1"/>
  <c r="D793" i="17"/>
  <c r="F793" i="17" s="1"/>
  <c r="D164" i="17"/>
  <c r="F164" i="17" s="1"/>
  <c r="D451" i="17"/>
  <c r="F451" i="17" s="1"/>
  <c r="D352" i="17"/>
  <c r="F352" i="17" s="1"/>
  <c r="D403" i="17"/>
  <c r="F403" i="17" s="1"/>
  <c r="D950" i="17"/>
  <c r="F950" i="17" s="1"/>
  <c r="D1129" i="17"/>
  <c r="F1129" i="17" s="1"/>
  <c r="D706" i="17"/>
  <c r="F706" i="17" s="1"/>
  <c r="D947" i="17"/>
  <c r="F947" i="17" s="1"/>
  <c r="D1135" i="17"/>
  <c r="F1135" i="17" s="1"/>
  <c r="D1196" i="17"/>
  <c r="F1196" i="17" s="1"/>
  <c r="D675" i="17"/>
  <c r="F675" i="17" s="1"/>
  <c r="D808" i="17"/>
  <c r="F808" i="17" s="1"/>
  <c r="D634" i="17"/>
  <c r="F634" i="17" s="1"/>
  <c r="D732" i="17"/>
  <c r="F732" i="17" s="1"/>
  <c r="D983" i="17"/>
  <c r="F983" i="17" s="1"/>
  <c r="D835" i="17"/>
  <c r="F835" i="17" s="1"/>
  <c r="D107" i="17"/>
  <c r="F107" i="17" s="1"/>
  <c r="D388" i="17"/>
  <c r="F388" i="17" s="1"/>
  <c r="D656" i="17"/>
  <c r="F656" i="17" s="1"/>
  <c r="D424" i="17"/>
  <c r="F424" i="17" s="1"/>
  <c r="D211" i="17"/>
  <c r="F211" i="17" s="1"/>
  <c r="D79" i="17"/>
  <c r="F79" i="17" s="1"/>
  <c r="D860" i="17"/>
  <c r="F860" i="17" s="1"/>
  <c r="D302" i="17"/>
  <c r="F302" i="17" s="1"/>
  <c r="D829" i="17"/>
  <c r="D1248" i="17"/>
  <c r="F1248" i="17" s="1"/>
  <c r="D115" i="17"/>
  <c r="F115" i="17" s="1"/>
  <c r="D965" i="17"/>
  <c r="F965" i="17" s="1"/>
  <c r="D1139" i="17"/>
  <c r="F1139" i="17" s="1"/>
  <c r="D1202" i="17"/>
  <c r="F1202" i="17" s="1"/>
  <c r="D876" i="17"/>
  <c r="F876" i="17" s="1"/>
  <c r="D146" i="17"/>
  <c r="F146" i="17" s="1"/>
  <c r="D1099" i="17"/>
  <c r="F1099" i="17" s="1"/>
  <c r="D1191" i="17"/>
  <c r="F1191" i="17" s="1"/>
  <c r="D1121" i="17"/>
  <c r="F1121" i="17" s="1"/>
  <c r="D899" i="17"/>
  <c r="F899" i="17" s="1"/>
  <c r="D1056" i="17"/>
  <c r="F1056" i="17" s="1"/>
  <c r="D245" i="17"/>
  <c r="F245" i="17" s="1"/>
  <c r="D595" i="17"/>
  <c r="F595" i="17" s="1"/>
  <c r="D1109" i="17"/>
  <c r="F1109" i="17" s="1"/>
  <c r="D1219" i="17"/>
  <c r="F1219" i="17" s="1"/>
  <c r="D431" i="17"/>
  <c r="F431" i="17" s="1"/>
  <c r="D879" i="17"/>
  <c r="F879" i="17" s="1"/>
  <c r="D480" i="17"/>
  <c r="F480" i="17" s="1"/>
  <c r="D73" i="17"/>
  <c r="F73" i="17" s="1"/>
  <c r="D1011" i="17"/>
  <c r="F1011" i="17" s="1"/>
  <c r="D1042" i="17"/>
  <c r="F1042" i="17" s="1"/>
  <c r="D760" i="17"/>
  <c r="F760" i="17" s="1"/>
  <c r="D773" i="17"/>
  <c r="F773" i="17" s="1"/>
  <c r="D1163" i="17"/>
  <c r="F1163" i="17" s="1"/>
  <c r="D229" i="17"/>
  <c r="F229" i="17" s="1"/>
  <c r="D176" i="17"/>
  <c r="F176" i="17" s="1"/>
  <c r="D262" i="17"/>
  <c r="F262" i="17" s="1"/>
  <c r="D484" i="17"/>
  <c r="F484" i="17" s="1"/>
  <c r="D707" i="17"/>
  <c r="F707" i="17" s="1"/>
  <c r="D551" i="17"/>
  <c r="F551" i="17" s="1"/>
  <c r="D948" i="17"/>
  <c r="F948" i="17" s="1"/>
  <c r="D1138" i="17"/>
  <c r="F1138" i="17" s="1"/>
  <c r="D1197" i="17"/>
  <c r="F1197" i="17" s="1"/>
  <c r="D676" i="17"/>
  <c r="F676" i="17" s="1"/>
  <c r="D635" i="17"/>
  <c r="F635" i="17" s="1"/>
  <c r="D734" i="17"/>
  <c r="F734" i="17" s="1"/>
  <c r="D984" i="17"/>
  <c r="F984" i="17" s="1"/>
  <c r="D915" i="17"/>
  <c r="F915" i="17" s="1"/>
  <c r="D138" i="17"/>
  <c r="F138" i="17" s="1"/>
  <c r="D525" i="17"/>
  <c r="F525" i="17" s="1"/>
  <c r="D933" i="17"/>
  <c r="F933" i="17" s="1"/>
  <c r="D766" i="17"/>
  <c r="F766" i="17" s="1"/>
  <c r="D539" i="17"/>
  <c r="F539" i="17" s="1"/>
  <c r="D1240" i="17"/>
  <c r="F1240" i="17" s="1"/>
  <c r="D1200" i="17"/>
  <c r="F1200" i="17" s="1"/>
  <c r="D969" i="17"/>
  <c r="F969" i="17" s="1"/>
  <c r="D1203" i="17"/>
  <c r="F1203" i="17" s="1"/>
  <c r="D1145" i="17"/>
  <c r="F1145" i="17" s="1"/>
  <c r="D770" i="17"/>
  <c r="F770" i="17" s="1"/>
  <c r="D228" i="17"/>
  <c r="F228" i="17" s="1"/>
  <c r="D1241" i="17"/>
  <c r="F1241" i="17" s="1"/>
  <c r="D857" i="17"/>
  <c r="F857" i="17" s="1"/>
  <c r="D1250" i="17"/>
  <c r="F1250" i="17" s="1"/>
  <c r="D1237" i="17"/>
  <c r="F1237" i="17" s="1"/>
  <c r="D663" i="17"/>
  <c r="F663" i="17" s="1"/>
  <c r="D185" i="17"/>
  <c r="F185" i="17" s="1"/>
  <c r="D778" i="17"/>
  <c r="F778" i="17" s="1"/>
  <c r="D131" i="17"/>
  <c r="F131" i="17" s="1"/>
  <c r="D512" i="17"/>
  <c r="F512" i="17" s="1"/>
  <c r="D569" i="17"/>
  <c r="F569" i="17" s="1"/>
  <c r="D180" i="17"/>
  <c r="F180" i="17" s="1"/>
  <c r="D391" i="17"/>
  <c r="F391" i="17" s="1"/>
  <c r="D59" i="17"/>
  <c r="F59" i="17" s="1"/>
  <c r="D1265" i="17"/>
  <c r="F1265" i="17" s="1"/>
  <c r="D116" i="17"/>
  <c r="F116" i="17" s="1"/>
  <c r="D1075" i="17"/>
  <c r="F1075" i="17" s="1"/>
  <c r="D716" i="17"/>
  <c r="F716" i="17" s="1"/>
  <c r="D401" i="17"/>
  <c r="F401" i="17" s="1"/>
  <c r="D885" i="17"/>
  <c r="F885" i="17" s="1"/>
  <c r="D972" i="17"/>
  <c r="F972" i="17" s="1"/>
  <c r="D580" i="17"/>
  <c r="F580" i="17" s="1"/>
  <c r="D270" i="17"/>
  <c r="F270" i="17" s="1"/>
  <c r="D317" i="17"/>
  <c r="F317" i="17" s="1"/>
  <c r="D936" i="17"/>
  <c r="F936" i="17" s="1"/>
  <c r="D143" i="17"/>
  <c r="F143" i="17" s="1"/>
  <c r="D33" i="17"/>
  <c r="F33" i="17" s="1"/>
  <c r="D320" i="17"/>
  <c r="F320" i="17" s="1"/>
  <c r="D298" i="17"/>
  <c r="F298" i="17" s="1"/>
  <c r="D7" i="17"/>
  <c r="F7" i="17" s="1"/>
  <c r="D624" i="17"/>
  <c r="F624" i="17" s="1"/>
  <c r="D303" i="17"/>
  <c r="F303" i="17" s="1"/>
  <c r="D1079" i="17"/>
  <c r="F1079" i="17" s="1"/>
  <c r="D1003" i="17"/>
  <c r="F1003" i="17" s="1"/>
  <c r="D1217" i="17"/>
  <c r="F1217" i="17" s="1"/>
  <c r="D154" i="17"/>
  <c r="F154" i="17" s="1"/>
  <c r="D618" i="17"/>
  <c r="F618" i="17" s="1"/>
  <c r="D985" i="17"/>
  <c r="F985" i="17" s="1"/>
  <c r="D216" i="17"/>
  <c r="F216" i="17" s="1"/>
  <c r="D784" i="17"/>
  <c r="F784" i="17" s="1"/>
  <c r="D854" i="17"/>
  <c r="F854" i="17" s="1"/>
  <c r="D226" i="17"/>
  <c r="F226" i="17" s="1"/>
  <c r="D955" i="17"/>
  <c r="F955" i="17" s="1"/>
  <c r="D786" i="17"/>
  <c r="F786" i="17" s="1"/>
  <c r="D747" i="17"/>
  <c r="F747" i="17" s="1"/>
  <c r="D843" i="17"/>
  <c r="F843" i="17" s="1"/>
  <c r="D466" i="17"/>
  <c r="F466" i="17" s="1"/>
  <c r="D1025" i="17"/>
  <c r="F1025" i="17" s="1"/>
  <c r="D494" i="17"/>
  <c r="F494" i="17" s="1"/>
  <c r="D1173" i="17"/>
  <c r="F1173" i="17" s="1"/>
  <c r="D1043" i="17"/>
  <c r="F1043" i="17" s="1"/>
  <c r="D496" i="17"/>
  <c r="F496" i="17" s="1"/>
  <c r="D218" i="17"/>
  <c r="F218" i="17" s="1"/>
  <c r="D774" i="17"/>
  <c r="F774" i="17" s="1"/>
  <c r="D1154" i="17"/>
  <c r="F1154" i="17" s="1"/>
  <c r="D1114" i="17"/>
  <c r="F1114" i="17" s="1"/>
  <c r="D398" i="17"/>
  <c r="F398" i="17" s="1"/>
  <c r="D564" i="17"/>
  <c r="F564" i="17" s="1"/>
  <c r="D399" i="17"/>
  <c r="F399" i="17" s="1"/>
  <c r="D1067" i="17"/>
  <c r="F1067" i="17" s="1"/>
  <c r="D92" i="17"/>
  <c r="F92" i="17" s="1"/>
  <c r="D99" i="17"/>
  <c r="F99" i="17" s="1"/>
  <c r="D1152" i="17"/>
  <c r="F1152" i="17" s="1"/>
  <c r="D1096" i="17"/>
  <c r="F1096" i="17" s="1"/>
  <c r="D574" i="17"/>
  <c r="F574" i="17" s="1"/>
  <c r="D575" i="17"/>
  <c r="F575" i="17" s="1"/>
  <c r="D1164" i="17"/>
  <c r="F1164" i="17" s="1"/>
  <c r="D1026" i="17"/>
  <c r="F1026" i="17" s="1"/>
  <c r="D986" i="17"/>
  <c r="F986" i="17" s="1"/>
  <c r="D360" i="17"/>
  <c r="F360" i="17" s="1"/>
  <c r="D338" i="17"/>
  <c r="F338" i="17" s="1"/>
  <c r="D151" i="17"/>
  <c r="F151" i="17" s="1"/>
  <c r="D328" i="17"/>
  <c r="F328" i="17" s="1"/>
  <c r="D646" i="17"/>
  <c r="F646" i="17" s="1"/>
  <c r="D637" i="17"/>
  <c r="F637" i="17" s="1"/>
  <c r="D446" i="17"/>
  <c r="F446" i="17" s="1"/>
  <c r="D882" i="17"/>
  <c r="F882" i="17" s="1"/>
  <c r="D780" i="17"/>
  <c r="F780" i="17" s="1"/>
  <c r="D299" i="17"/>
  <c r="F299" i="17" s="1"/>
  <c r="D373" i="17"/>
  <c r="F373" i="17" s="1"/>
  <c r="D1257" i="17"/>
  <c r="F1257" i="17" s="1"/>
  <c r="D1151" i="17"/>
  <c r="F1151" i="17" s="1"/>
  <c r="D1097" i="17"/>
  <c r="F1097" i="17" s="1"/>
  <c r="D769" i="17"/>
  <c r="F769" i="17" s="1"/>
  <c r="D1182" i="17"/>
  <c r="F1182" i="17" s="1"/>
  <c r="D86" i="17"/>
  <c r="F86" i="17" s="1"/>
  <c r="D994" i="17"/>
  <c r="F994" i="17" s="1"/>
  <c r="D709" i="17"/>
  <c r="F709" i="17" s="1"/>
  <c r="D911" i="17"/>
  <c r="F911" i="17" s="1"/>
  <c r="D833" i="17"/>
  <c r="F833" i="17" s="1"/>
  <c r="D63" i="17"/>
  <c r="F63" i="17" s="1"/>
  <c r="D870" i="17"/>
  <c r="F870" i="17" s="1"/>
  <c r="D668" i="17"/>
  <c r="F668" i="17" s="1"/>
  <c r="D945" i="17"/>
  <c r="F945" i="17" s="1"/>
  <c r="D596" i="17"/>
  <c r="D1239" i="17"/>
  <c r="F1239" i="17" s="1"/>
  <c r="D606" i="17"/>
  <c r="F606" i="17" s="1"/>
  <c r="D120" i="17"/>
  <c r="F120" i="17" s="1"/>
  <c r="D717" i="17"/>
  <c r="F717" i="17" s="1"/>
  <c r="D759" i="17"/>
  <c r="F759" i="17" s="1"/>
  <c r="D67" i="17"/>
  <c r="F67" i="17" s="1"/>
  <c r="D55" i="17"/>
  <c r="F55" i="17" s="1"/>
  <c r="D241" i="17"/>
  <c r="F241" i="17" s="1"/>
  <c r="D590" i="17"/>
  <c r="F590" i="17" s="1"/>
  <c r="D1065" i="17"/>
  <c r="F1065" i="17" s="1"/>
  <c r="D1169" i="17"/>
  <c r="F1169" i="17" s="1"/>
  <c r="D1090" i="17"/>
  <c r="F1090" i="17" s="1"/>
  <c r="D315" i="17"/>
  <c r="F315" i="17" s="1"/>
  <c r="D1146" i="17"/>
  <c r="F1146" i="17" s="1"/>
  <c r="D690" i="17"/>
  <c r="F690" i="17" s="1"/>
  <c r="D726" i="17"/>
  <c r="F726" i="17" s="1"/>
  <c r="D597" i="17"/>
  <c r="F597" i="17" s="1"/>
  <c r="D920" i="17"/>
  <c r="F920" i="17" s="1"/>
  <c r="D497" i="17"/>
  <c r="F497" i="17" s="1"/>
  <c r="D274" i="17"/>
  <c r="F274" i="17" s="1"/>
  <c r="D498" i="17"/>
  <c r="F498" i="17" s="1"/>
  <c r="D112" i="17"/>
  <c r="F112" i="17" s="1"/>
  <c r="D944" i="17"/>
  <c r="F944" i="17" s="1"/>
  <c r="D331" i="17"/>
  <c r="F331" i="17" s="1"/>
  <c r="D534" i="17"/>
  <c r="F534" i="17" s="1"/>
  <c r="D361" i="17"/>
  <c r="F361" i="17" s="1"/>
  <c r="D518" i="17"/>
  <c r="F518" i="17" s="1"/>
  <c r="D147" i="17"/>
  <c r="F147" i="17" s="1"/>
  <c r="D201" i="17"/>
  <c r="F201" i="17" s="1"/>
  <c r="D1253" i="17"/>
  <c r="F1253" i="17" s="1"/>
  <c r="D76" i="17"/>
  <c r="F76" i="17" s="1"/>
  <c r="D548" i="17"/>
  <c r="F548" i="17" s="1"/>
  <c r="D523" i="17"/>
  <c r="F523" i="17" s="1"/>
  <c r="D196" i="17"/>
  <c r="F196" i="17" s="1"/>
  <c r="D417" i="17"/>
  <c r="F417" i="17" s="1"/>
  <c r="D266" i="17"/>
  <c r="F266" i="17" s="1"/>
  <c r="D458" i="17"/>
  <c r="F458" i="17" s="1"/>
  <c r="D400" i="17"/>
  <c r="F400" i="17" s="1"/>
  <c r="D1192" i="17"/>
  <c r="F1192" i="17" s="1"/>
  <c r="D671" i="17"/>
  <c r="F671" i="17" s="1"/>
  <c r="D620" i="17"/>
  <c r="F620" i="17" s="1"/>
  <c r="D655" i="17"/>
  <c r="F655" i="17" s="1"/>
  <c r="D991" i="17"/>
  <c r="F991" i="17" s="1"/>
  <c r="D615" i="17"/>
  <c r="F615" i="17" s="1"/>
  <c r="D433" i="17"/>
  <c r="F433" i="17" s="1"/>
  <c r="D350" i="17"/>
  <c r="F350" i="17" s="1"/>
  <c r="D909" i="17"/>
  <c r="F909" i="17" s="1"/>
  <c r="D329" i="17"/>
  <c r="F329" i="17" s="1"/>
  <c r="D648" i="17"/>
  <c r="F648" i="17" s="1"/>
  <c r="D213" i="17"/>
  <c r="F213" i="17" s="1"/>
  <c r="D221" i="17"/>
  <c r="F221" i="17" s="1"/>
  <c r="D1005" i="17"/>
  <c r="F1005" i="17" s="1"/>
  <c r="D339" i="17"/>
  <c r="F339" i="17" s="1"/>
  <c r="D544" i="17"/>
  <c r="F544" i="17" s="1"/>
  <c r="D1131" i="17"/>
  <c r="F1131" i="17" s="1"/>
  <c r="D1160" i="17"/>
  <c r="F1160" i="17" s="1"/>
  <c r="D182" i="17"/>
  <c r="F182" i="17" s="1"/>
  <c r="D737" i="17"/>
  <c r="F737" i="17" s="1"/>
  <c r="D90" i="17"/>
  <c r="F90" i="17" s="1"/>
  <c r="D609" i="17"/>
  <c r="F609" i="17" s="1"/>
  <c r="D1158" i="17"/>
  <c r="F1158" i="17" s="1"/>
  <c r="D371" i="17"/>
  <c r="F371" i="17" s="1"/>
  <c r="D1021" i="17"/>
  <c r="F1021" i="17" s="1"/>
  <c r="D842" i="17"/>
  <c r="F842" i="17" s="1"/>
  <c r="D1229" i="17"/>
  <c r="F1229" i="17" s="1"/>
  <c r="D560" i="17"/>
  <c r="F560" i="17" s="1"/>
  <c r="D805" i="17"/>
  <c r="F805" i="17" s="1"/>
  <c r="D765" i="17"/>
  <c r="F765" i="17" s="1"/>
  <c r="D881" i="17"/>
  <c r="F881" i="17" s="1"/>
  <c r="D785" i="17"/>
  <c r="F785" i="17" s="1"/>
  <c r="D64" i="17"/>
  <c r="F64" i="17" s="1"/>
  <c r="D1029" i="17"/>
  <c r="F1029" i="17" s="1"/>
  <c r="D736" i="17"/>
  <c r="F736" i="17" s="1"/>
  <c r="D715" i="17"/>
  <c r="F715" i="17" s="1"/>
  <c r="D295" i="17"/>
  <c r="F295" i="17" s="1"/>
  <c r="D1170" i="17"/>
  <c r="F1170" i="17" s="1"/>
  <c r="D975" i="17"/>
  <c r="F975" i="17" s="1"/>
  <c r="D587" i="17"/>
  <c r="F587" i="17" s="1"/>
  <c r="D1231" i="17"/>
  <c r="F1231" i="17" s="1"/>
  <c r="D952" i="17"/>
  <c r="F952" i="17" s="1"/>
  <c r="D29" i="17"/>
  <c r="F29" i="17" s="1"/>
  <c r="D1238" i="17"/>
  <c r="F1238" i="17" s="1"/>
  <c r="D757" i="17"/>
  <c r="F757" i="17" s="1"/>
  <c r="D292" i="17"/>
  <c r="F292" i="17" s="1"/>
  <c r="D799" i="17"/>
  <c r="F799" i="17" s="1"/>
  <c r="D16" i="17"/>
  <c r="F16" i="17" s="1"/>
  <c r="D318" i="17"/>
  <c r="F318" i="17" s="1"/>
  <c r="D602" i="17"/>
  <c r="F602" i="17" s="1"/>
  <c r="D429" i="17"/>
  <c r="F429" i="17" s="1"/>
  <c r="D790" i="17"/>
  <c r="F790" i="17" s="1"/>
  <c r="D40" i="17"/>
  <c r="F40" i="17" s="1"/>
  <c r="D159" i="17"/>
  <c r="F159" i="17" s="1"/>
  <c r="D71" i="17"/>
  <c r="F71" i="17" s="1"/>
  <c r="D762" i="17"/>
  <c r="F762" i="17" s="1"/>
  <c r="D3" i="17"/>
  <c r="F3" i="17" s="1"/>
  <c r="D658" i="17"/>
  <c r="F658" i="17" s="1"/>
  <c r="D659" i="17"/>
  <c r="F659" i="17" s="1"/>
  <c r="D452" i="17"/>
  <c r="F452" i="17" s="1"/>
  <c r="D949" i="17"/>
  <c r="F949" i="17" s="1"/>
  <c r="D470" i="17"/>
  <c r="F470" i="17" s="1"/>
  <c r="D296" i="17"/>
  <c r="F296" i="17" s="1"/>
  <c r="D508" i="17"/>
  <c r="F508" i="17" s="1"/>
  <c r="D369" i="17"/>
  <c r="F369" i="17" s="1"/>
  <c r="D743" i="17"/>
  <c r="F743" i="17" s="1"/>
  <c r="D577" i="17"/>
  <c r="F577" i="17" s="1"/>
  <c r="D153" i="17"/>
  <c r="F153" i="17" s="1"/>
  <c r="D897" i="17"/>
  <c r="F897" i="17" s="1"/>
  <c r="D427" i="17"/>
  <c r="F427" i="17" s="1"/>
  <c r="D533" i="17"/>
  <c r="F533" i="17" s="1"/>
  <c r="D645" i="17"/>
  <c r="F645" i="17" s="1"/>
  <c r="D260" i="17"/>
  <c r="F260" i="17" s="1"/>
  <c r="D931" i="17"/>
  <c r="F931" i="17" s="1"/>
  <c r="D374" i="17"/>
  <c r="F374" i="17" s="1"/>
  <c r="D327" i="17"/>
  <c r="F327" i="17" s="1"/>
  <c r="D631" i="17"/>
  <c r="F631" i="17" s="1"/>
  <c r="D1041" i="17"/>
  <c r="F1041" i="17" s="1"/>
  <c r="D443" i="17"/>
  <c r="F443" i="17" s="1"/>
  <c r="D376" i="17"/>
  <c r="F376" i="17" s="1"/>
  <c r="D394" i="17"/>
  <c r="F394" i="17" s="1"/>
  <c r="D599" i="17"/>
  <c r="F599" i="17" s="1"/>
  <c r="D1210" i="17"/>
  <c r="F1210" i="17" s="1"/>
  <c r="D365" i="17"/>
  <c r="F365" i="17" s="1"/>
  <c r="D867" i="17"/>
  <c r="F867" i="17" s="1"/>
  <c r="D412" i="17"/>
  <c r="F412" i="17" s="1"/>
  <c r="D1016" i="17"/>
  <c r="F1016" i="17" s="1"/>
  <c r="D467" i="17"/>
  <c r="F467" i="17" s="1"/>
  <c r="D275" i="17"/>
  <c r="F275" i="17" s="1"/>
  <c r="D345" i="17"/>
  <c r="F345" i="17" s="1"/>
  <c r="D890" i="17"/>
  <c r="F890" i="17" s="1"/>
  <c r="D1149" i="17"/>
  <c r="F1149" i="17" s="1"/>
  <c r="D1036" i="17"/>
  <c r="F1036" i="17" s="1"/>
  <c r="D48" i="17"/>
  <c r="F48" i="17" s="1"/>
  <c r="D519" i="17"/>
  <c r="F519" i="17" s="1"/>
  <c r="D1103" i="17"/>
  <c r="F1103" i="17" s="1"/>
  <c r="D308" i="17"/>
  <c r="F308" i="17" s="1"/>
  <c r="D741" i="17"/>
  <c r="F741" i="17" s="1"/>
  <c r="D678" i="17"/>
  <c r="F678" i="17" s="1"/>
  <c r="D335" i="17"/>
  <c r="F335" i="17" s="1"/>
  <c r="D638" i="17"/>
  <c r="F638" i="17" s="1"/>
  <c r="D469" i="17"/>
  <c r="F469" i="17" s="1"/>
  <c r="D236" i="17"/>
  <c r="F236" i="17" s="1"/>
  <c r="D244" i="17"/>
  <c r="F244" i="17" s="1"/>
  <c r="D285" i="17"/>
  <c r="F285" i="17" s="1"/>
  <c r="D197" i="17"/>
  <c r="F197" i="17" s="1"/>
  <c r="D450" i="17"/>
  <c r="F450" i="17" s="1"/>
  <c r="D124" i="17"/>
  <c r="F124" i="17" s="1"/>
  <c r="D515" i="17"/>
  <c r="F515" i="17" s="1"/>
  <c r="D699" i="17"/>
  <c r="F699" i="17" s="1"/>
  <c r="D1143" i="17"/>
  <c r="F1143" i="17" s="1"/>
  <c r="D520" i="17"/>
  <c r="D670" i="17"/>
  <c r="F670" i="17" s="1"/>
  <c r="D1126" i="17"/>
  <c r="F1126" i="17" s="1"/>
  <c r="D904" i="17"/>
  <c r="F904" i="17" s="1"/>
  <c r="D370" i="17"/>
  <c r="F370" i="17" s="1"/>
  <c r="D255" i="17"/>
  <c r="F255" i="17" s="1"/>
  <c r="D406" i="17"/>
  <c r="F406" i="17" s="1"/>
  <c r="D789" i="17"/>
  <c r="F789" i="17" s="1"/>
  <c r="D926" i="17"/>
  <c r="F926" i="17" s="1"/>
  <c r="D362" i="17"/>
  <c r="F362" i="17" s="1"/>
  <c r="D1194" i="17"/>
  <c r="F1194" i="17" s="1"/>
  <c r="D117" i="17"/>
  <c r="F117" i="17" s="1"/>
  <c r="D800" i="17"/>
  <c r="F800" i="17" s="1"/>
  <c r="D1166" i="17"/>
  <c r="F1166" i="17" s="1"/>
  <c r="D28" i="17"/>
  <c r="F28" i="17" s="1"/>
  <c r="D449" i="17"/>
  <c r="F449" i="17" s="1"/>
  <c r="D536" i="17"/>
  <c r="F536" i="17" s="1"/>
  <c r="D723" i="17"/>
  <c r="F723" i="17" s="1"/>
  <c r="D987" i="17"/>
  <c r="F987" i="17" s="1"/>
  <c r="D893" i="17"/>
  <c r="F893" i="17" s="1"/>
  <c r="D1006" i="17"/>
  <c r="F1006" i="17" s="1"/>
  <c r="D168" i="17"/>
  <c r="F168" i="17" s="1"/>
  <c r="D1004" i="17"/>
  <c r="F1004" i="17" s="1"/>
  <c r="D1117" i="17"/>
  <c r="F1117" i="17" s="1"/>
  <c r="D976" i="17"/>
  <c r="F976" i="17" s="1"/>
  <c r="D688" i="17"/>
  <c r="F688" i="17" s="1"/>
  <c r="D355" i="17"/>
  <c r="F355" i="17" s="1"/>
  <c r="D87" i="17"/>
  <c r="F87" i="17" s="1"/>
  <c r="D426" i="17"/>
  <c r="F426" i="17" s="1"/>
  <c r="D96" i="17"/>
  <c r="F96" i="17" s="1"/>
  <c r="D230" i="17"/>
  <c r="F230" i="17" s="1"/>
  <c r="D913" i="17"/>
  <c r="F913" i="17" s="1"/>
  <c r="D30" i="17"/>
  <c r="F30" i="17" s="1"/>
  <c r="D325" i="17"/>
  <c r="F325" i="17" s="1"/>
  <c r="D440" i="17"/>
  <c r="F440" i="17" s="1"/>
  <c r="D78" i="17"/>
  <c r="F78" i="17" s="1"/>
  <c r="D156" i="17"/>
  <c r="F156" i="17" s="1"/>
  <c r="D988" i="17"/>
  <c r="F988" i="17" s="1"/>
  <c r="D704" i="17"/>
  <c r="F704" i="17" s="1"/>
  <c r="D1024" i="17"/>
  <c r="F1024" i="17" s="1"/>
  <c r="D139" i="17"/>
  <c r="F139" i="17" s="1"/>
  <c r="D1234" i="17"/>
  <c r="F1234" i="17" s="1"/>
  <c r="D861" i="17"/>
  <c r="F861" i="17" s="1"/>
  <c r="D253" i="17"/>
  <c r="F253" i="17" s="1"/>
  <c r="D824" i="17"/>
  <c r="F824" i="17" s="1"/>
  <c r="D1183" i="17"/>
  <c r="F1183" i="17" s="1"/>
  <c r="D733" i="17"/>
  <c r="F733" i="17" s="1"/>
  <c r="D5" i="17"/>
  <c r="F5" i="17" s="1"/>
  <c r="D23" i="17"/>
  <c r="F23" i="17" s="1"/>
  <c r="D1174" i="17"/>
  <c r="F1174" i="17" s="1"/>
  <c r="D683" i="17"/>
  <c r="F683" i="17" s="1"/>
  <c r="D566" i="17"/>
  <c r="F566" i="17" s="1"/>
  <c r="D504" i="17"/>
  <c r="F504" i="17" s="1"/>
  <c r="D1128" i="17"/>
  <c r="F1128" i="17" s="1"/>
  <c r="D1052" i="17"/>
  <c r="F1052" i="17" s="1"/>
  <c r="D506" i="17"/>
  <c r="F506" i="17" s="1"/>
  <c r="D1255" i="17"/>
  <c r="F1255" i="17" s="1"/>
  <c r="D224" i="17"/>
  <c r="F224" i="17" s="1"/>
  <c r="D803" i="17"/>
  <c r="D562" i="17"/>
  <c r="F562" i="17" s="1"/>
  <c r="D898" i="17"/>
  <c r="F898" i="17" s="1"/>
  <c r="D630" i="17"/>
  <c r="F630" i="17" s="1"/>
  <c r="D94" i="17"/>
  <c r="F94" i="17" s="1"/>
  <c r="D1113" i="17"/>
  <c r="F1113" i="17" s="1"/>
  <c r="D1249" i="17"/>
  <c r="F1249" i="17" s="1"/>
  <c r="D878" i="17"/>
  <c r="F878" i="17" s="1"/>
  <c r="D853" i="17"/>
  <c r="F853" i="17" s="1"/>
  <c r="D680" i="17"/>
  <c r="F680" i="17" s="1"/>
  <c r="D9" i="17"/>
  <c r="F9" i="17" s="1"/>
  <c r="D261" i="17"/>
  <c r="F261" i="17" s="1"/>
  <c r="D925" i="17"/>
  <c r="F925" i="17" s="1"/>
  <c r="D621" i="17"/>
  <c r="F621" i="17" s="1"/>
  <c r="D330" i="17"/>
  <c r="F330" i="17" s="1"/>
  <c r="D347" i="17"/>
  <c r="F347" i="17" s="1"/>
  <c r="D728" i="17"/>
  <c r="F728" i="17" s="1"/>
  <c r="D205" i="17"/>
  <c r="F205" i="17" s="1"/>
  <c r="D109" i="17"/>
  <c r="F109" i="17" s="1"/>
  <c r="D290" i="17"/>
  <c r="F290" i="17" s="1"/>
  <c r="D246" i="17"/>
  <c r="F246" i="17" s="1"/>
  <c r="D938" i="17"/>
  <c r="F938" i="17" s="1"/>
  <c r="D49" i="17"/>
  <c r="F49" i="17" s="1"/>
  <c r="D491" i="17"/>
  <c r="F491" i="17" s="1"/>
  <c r="D456" i="17"/>
  <c r="F456" i="17" s="1"/>
  <c r="D188" i="17"/>
  <c r="F188" i="17" s="1"/>
  <c r="D908" i="17"/>
  <c r="F908" i="17" s="1"/>
  <c r="D827" i="17"/>
  <c r="D1118" i="17"/>
  <c r="F1118" i="17" s="1"/>
  <c r="D18" i="17"/>
  <c r="F18" i="17" s="1"/>
  <c r="D89" i="17"/>
  <c r="F89" i="17" s="1"/>
  <c r="D341" i="17"/>
  <c r="F341" i="17" s="1"/>
  <c r="D479" i="17"/>
  <c r="D971" i="17"/>
  <c r="F971" i="17" s="1"/>
  <c r="D395" i="17"/>
  <c r="F395" i="17" s="1"/>
  <c r="D1207" i="17"/>
  <c r="F1207" i="17" s="1"/>
  <c r="D856" i="17"/>
  <c r="F856" i="17" s="1"/>
  <c r="D1205" i="17"/>
  <c r="F1205" i="17" s="1"/>
  <c r="D212" i="17"/>
  <c r="F212" i="17" s="1"/>
  <c r="D126" i="17"/>
  <c r="F126" i="17" s="1"/>
  <c r="D45" i="17"/>
  <c r="F45" i="17" s="1"/>
  <c r="D6" i="17"/>
  <c r="F6" i="17" s="1"/>
  <c r="D1064" i="17"/>
  <c r="F1064" i="17" s="1"/>
  <c r="D88" i="17"/>
  <c r="F88" i="17" s="1"/>
  <c r="D594" i="17"/>
  <c r="F594" i="17" s="1"/>
  <c r="D25" i="17"/>
  <c r="F25" i="17" s="1"/>
  <c r="D106" i="17"/>
  <c r="F106" i="17" s="1"/>
  <c r="D714" i="17"/>
  <c r="F714" i="17" s="1"/>
  <c r="D725" i="17"/>
  <c r="F725" i="17" s="1"/>
  <c r="D389" i="17"/>
  <c r="F389" i="17" s="1"/>
  <c r="D749" i="17"/>
  <c r="F749" i="17" s="1"/>
  <c r="D175" i="17"/>
  <c r="F175" i="17" s="1"/>
  <c r="D105" i="17"/>
  <c r="F105" i="17" s="1"/>
  <c r="D1027" i="17"/>
  <c r="F1027" i="17" s="1"/>
  <c r="D712" i="17"/>
  <c r="F712" i="17" s="1"/>
  <c r="D750" i="17"/>
  <c r="F750" i="17" s="1"/>
  <c r="D916" i="17"/>
  <c r="F916" i="17" s="1"/>
  <c r="D416" i="17"/>
  <c r="F416" i="17" s="1"/>
  <c r="D150" i="17"/>
  <c r="F150" i="17" s="1"/>
  <c r="D801" i="17"/>
  <c r="F801" i="17" s="1"/>
  <c r="D118" i="17"/>
  <c r="F118" i="17" s="1"/>
  <c r="D629" i="17"/>
  <c r="F629" i="17" s="1"/>
  <c r="D942" i="17"/>
  <c r="F942" i="17" s="1"/>
  <c r="D943" i="17"/>
  <c r="F943" i="17" s="1"/>
  <c r="D223" i="17"/>
  <c r="F223" i="17" s="1"/>
  <c r="D415" i="17"/>
  <c r="F415" i="17" s="1"/>
  <c r="D545" i="17"/>
  <c r="F545" i="17" s="1"/>
  <c r="D910" i="17"/>
  <c r="F910" i="17" s="1"/>
  <c r="D894" i="17"/>
  <c r="F894" i="17" s="1"/>
  <c r="D776" i="17"/>
  <c r="F776" i="17" s="1"/>
  <c r="D1187" i="17"/>
  <c r="F1187" i="17" s="1"/>
  <c r="D941" i="17"/>
  <c r="F941" i="17" s="1"/>
  <c r="D238" i="17"/>
  <c r="F238" i="17" s="1"/>
  <c r="D682" i="17"/>
  <c r="F682" i="17" s="1"/>
  <c r="D748" i="17"/>
  <c r="F748" i="17" s="1"/>
  <c r="D767" i="17"/>
  <c r="F767" i="17" s="1"/>
  <c r="D796" i="17"/>
  <c r="F796" i="17" s="1"/>
  <c r="D892" i="17"/>
  <c r="F892" i="17" s="1"/>
  <c r="D1074" i="17"/>
  <c r="F1074" i="17" s="1"/>
  <c r="D1017" i="17"/>
  <c r="D170" i="17"/>
  <c r="F170" i="17" s="1"/>
  <c r="D414" i="17"/>
  <c r="F414" i="17" s="1"/>
  <c r="D600" i="17"/>
  <c r="F600" i="17" s="1"/>
  <c r="D1190" i="17"/>
  <c r="F1190" i="17" s="1"/>
  <c r="D855" i="17"/>
  <c r="F855" i="17" s="1"/>
  <c r="D114" i="17"/>
  <c r="F114" i="17" s="1"/>
  <c r="D1156" i="17"/>
  <c r="F1156" i="17" s="1"/>
  <c r="D977" i="17"/>
  <c r="F977" i="17" s="1"/>
  <c r="D918" i="17"/>
  <c r="F918" i="17" s="1"/>
  <c r="D1094" i="17"/>
  <c r="F1094" i="17" s="1"/>
  <c r="D797" i="17"/>
  <c r="F797" i="17" s="1"/>
  <c r="D141" i="17"/>
  <c r="F141" i="17" s="1"/>
  <c r="D825" i="17"/>
  <c r="F825" i="17" s="1"/>
  <c r="D951" i="17"/>
  <c r="F951" i="17" s="1"/>
  <c r="D505" i="17"/>
  <c r="F505" i="17" s="1"/>
  <c r="D684" i="17"/>
  <c r="F684" i="17" s="1"/>
  <c r="D1073" i="17"/>
  <c r="F1073" i="17" s="1"/>
  <c r="D791" i="17"/>
  <c r="F791" i="17" s="1"/>
  <c r="D1213" i="17"/>
  <c r="F1213" i="17" s="1"/>
  <c r="D14" i="17"/>
  <c r="F14" i="17" s="1"/>
  <c r="D970" i="17"/>
  <c r="F970" i="17" s="1"/>
  <c r="D1245" i="17"/>
  <c r="F1245" i="17" s="1"/>
  <c r="D788" i="17"/>
  <c r="F788" i="17" s="1"/>
  <c r="D517" i="17"/>
  <c r="F517" i="17" s="1"/>
  <c r="D152" i="17"/>
  <c r="F152" i="17" s="1"/>
  <c r="D57" i="17"/>
  <c r="F57" i="17" s="1"/>
  <c r="D703" i="17"/>
  <c r="F703" i="17" s="1"/>
  <c r="D1023" i="17"/>
  <c r="F1023" i="17" s="1"/>
  <c r="D420" i="17"/>
  <c r="F420" i="17" s="1"/>
  <c r="D514" i="17"/>
  <c r="F514" i="17" s="1"/>
  <c r="D869" i="17"/>
  <c r="F869" i="17" s="1"/>
  <c r="D632" i="17"/>
  <c r="F632" i="17" s="1"/>
  <c r="D745" i="17"/>
  <c r="F745" i="17" s="1"/>
  <c r="D85" i="17"/>
  <c r="F85" i="17" s="1"/>
  <c r="D681" i="17"/>
  <c r="F681" i="17" s="1"/>
  <c r="D687" i="17"/>
  <c r="F687" i="17" s="1"/>
  <c r="D478" i="17"/>
  <c r="F478" i="17" s="1"/>
  <c r="D672" i="17"/>
  <c r="F672" i="17" s="1"/>
  <c r="D1206" i="17"/>
  <c r="F1206" i="17" s="1"/>
  <c r="D297" i="17"/>
  <c r="F297" i="17" s="1"/>
  <c r="D1155" i="17"/>
  <c r="F1155" i="17" s="1"/>
  <c r="D445" i="17"/>
  <c r="F445" i="17" s="1"/>
  <c r="D921" i="17"/>
  <c r="F921" i="17" s="1"/>
  <c r="D1069" i="17"/>
  <c r="F1069" i="17" s="1"/>
  <c r="D284" i="17"/>
  <c r="F284" i="17" s="1"/>
  <c r="D1235" i="17"/>
  <c r="F1235" i="17" s="1"/>
  <c r="D136" i="17"/>
  <c r="F136" i="17" s="1"/>
  <c r="D516" i="17"/>
  <c r="F516" i="17" s="1"/>
  <c r="D1053" i="17"/>
  <c r="F1053" i="17" s="1"/>
  <c r="D1256" i="17"/>
  <c r="F1256" i="17" s="1"/>
  <c r="D601" i="17"/>
  <c r="F601" i="17" s="1"/>
  <c r="D652" i="17"/>
  <c r="F652" i="17" s="1"/>
  <c r="D422" i="17"/>
  <c r="F422" i="17" s="1"/>
  <c r="D1101" i="17"/>
  <c r="F1101" i="17" s="1"/>
  <c r="D999" i="17"/>
  <c r="F999" i="17" s="1"/>
  <c r="D914" i="17"/>
  <c r="F914" i="17" s="1"/>
  <c r="D864" i="17"/>
  <c r="F864" i="17" s="1"/>
  <c r="D189" i="17"/>
  <c r="F189" i="17" s="1"/>
  <c r="D1054" i="17"/>
  <c r="F1054" i="17" s="1"/>
  <c r="D546" i="17"/>
  <c r="F546" i="17" s="1"/>
  <c r="D832" i="17"/>
  <c r="F832" i="17" s="1"/>
  <c r="D194" i="17"/>
  <c r="F194" i="17" s="1"/>
  <c r="D407" i="17"/>
  <c r="F407" i="17" s="1"/>
  <c r="D510" i="17"/>
  <c r="F510" i="17" s="1"/>
  <c r="D990" i="17"/>
  <c r="F990" i="17" s="1"/>
  <c r="D421" i="17"/>
  <c r="F421" i="17" s="1"/>
  <c r="D199" i="17"/>
  <c r="F199" i="17" s="1"/>
  <c r="D1221" i="17"/>
  <c r="F1221" i="17" s="1"/>
  <c r="D1263" i="17"/>
  <c r="F1263" i="17" s="1"/>
  <c r="D405" i="17"/>
  <c r="F405" i="17" s="1"/>
  <c r="D353" i="17"/>
  <c r="F353" i="17" s="1"/>
  <c r="D233" i="17"/>
  <c r="F233" i="17" s="1"/>
  <c r="D368" i="17"/>
  <c r="F368" i="17" s="1"/>
  <c r="D532" i="17"/>
  <c r="F532" i="17" s="1"/>
  <c r="D83" i="17"/>
  <c r="F83" i="17" s="1"/>
  <c r="D627" i="17"/>
  <c r="F627" i="17" s="1"/>
  <c r="D47" i="17"/>
  <c r="F47" i="17" s="1"/>
  <c r="D802" i="17"/>
  <c r="F802" i="17" s="1"/>
  <c r="D15" i="17"/>
  <c r="F15" i="17" s="1"/>
  <c r="D1153" i="17"/>
  <c r="F1153" i="17" s="1"/>
  <c r="D459" i="17"/>
  <c r="F459" i="17" s="1"/>
  <c r="D1199" i="17"/>
  <c r="F1199" i="17" s="1"/>
  <c r="D692" i="17"/>
  <c r="F692" i="17" s="1"/>
  <c r="D538" i="17"/>
  <c r="F538" i="17" s="1"/>
  <c r="D171" i="17"/>
  <c r="F171" i="17" s="1"/>
  <c r="D375" i="17"/>
  <c r="F375" i="17" s="1"/>
  <c r="D537" i="17"/>
  <c r="F537" i="17" s="1"/>
  <c r="D464" i="17"/>
  <c r="F464" i="17" s="1"/>
  <c r="D462" i="17"/>
  <c r="F462" i="17" s="1"/>
  <c r="D413" i="17"/>
  <c r="F413" i="17" s="1"/>
  <c r="D27" i="17"/>
  <c r="F27" i="17" s="1"/>
  <c r="D815" i="17"/>
  <c r="F815" i="17" s="1"/>
  <c r="D442" i="17"/>
  <c r="F442" i="17" s="1"/>
  <c r="D794" i="17"/>
  <c r="F794" i="17" s="1"/>
  <c r="D192" i="17"/>
  <c r="F192" i="17" s="1"/>
  <c r="D411" i="17"/>
  <c r="F411" i="17" s="1"/>
  <c r="D689" i="17"/>
  <c r="F689" i="17" s="1"/>
  <c r="D1165" i="17"/>
  <c r="F1165" i="17" s="1"/>
  <c r="D792" i="17"/>
  <c r="F792" i="17" s="1"/>
  <c r="D127" i="17"/>
  <c r="F127" i="17" s="1"/>
  <c r="D502" i="17"/>
  <c r="F502" i="17" s="1"/>
  <c r="D828" i="17"/>
  <c r="F828" i="17" s="1"/>
  <c r="D346" i="17"/>
  <c r="F346" i="17" s="1"/>
  <c r="D783" i="17"/>
  <c r="F783" i="17" s="1"/>
  <c r="D434" i="17"/>
  <c r="F434" i="17" s="1"/>
  <c r="D836" i="17"/>
  <c r="F836" i="17" s="1"/>
  <c r="D727" i="17"/>
  <c r="F727" i="17" s="1"/>
  <c r="D738" i="17"/>
  <c r="F738" i="17" s="1"/>
  <c r="D1115" i="17"/>
  <c r="F1115" i="17" s="1"/>
  <c r="D379" i="17"/>
  <c r="F379" i="17" s="1"/>
  <c r="D193" i="17"/>
  <c r="F193" i="17" s="1"/>
  <c r="D929" i="17"/>
  <c r="F929" i="17" s="1"/>
  <c r="D343" i="17"/>
  <c r="F343" i="17" s="1"/>
  <c r="D81" i="17"/>
  <c r="F81" i="17" s="1"/>
  <c r="D1046" i="17"/>
  <c r="F1046" i="17" s="1"/>
  <c r="D36" i="17"/>
  <c r="F36" i="17" s="1"/>
  <c r="D978" i="17"/>
  <c r="F978" i="17" s="1"/>
  <c r="D662" i="17"/>
  <c r="F662" i="17" s="1"/>
  <c r="D1211" i="17"/>
  <c r="F1211" i="17" s="1"/>
  <c r="D408" i="17"/>
  <c r="F408" i="17" s="1"/>
  <c r="D1108" i="17"/>
  <c r="F1108" i="17" s="1"/>
  <c r="D1008" i="17"/>
  <c r="F1008" i="17" s="1"/>
  <c r="D1012" i="17"/>
  <c r="F1012" i="17" s="1"/>
  <c r="D705" i="17"/>
  <c r="F705" i="17" s="1"/>
  <c r="D1030" i="17"/>
  <c r="F1030" i="17" s="1"/>
  <c r="D256" i="17"/>
  <c r="F256" i="17" s="1"/>
  <c r="D38" i="17"/>
  <c r="F38" i="17" s="1"/>
  <c r="D822" i="17"/>
  <c r="F822" i="17" s="1"/>
  <c r="D1031" i="17"/>
  <c r="F1031" i="17" s="1"/>
  <c r="D163" i="17"/>
  <c r="F163" i="17" s="1"/>
  <c r="D1125" i="17"/>
  <c r="F1125" i="17" s="1"/>
  <c r="D974" i="17"/>
  <c r="F974" i="17" s="1"/>
  <c r="D240" i="17"/>
  <c r="F240" i="17" s="1"/>
  <c r="D1189" i="17"/>
  <c r="F1189" i="17" s="1"/>
  <c r="D110" i="17"/>
  <c r="F110" i="17" s="1"/>
  <c r="D75" i="17"/>
  <c r="F75" i="17" s="1"/>
  <c r="D227" i="17"/>
  <c r="F227" i="17" s="1"/>
  <c r="D342" i="17"/>
  <c r="F342" i="17" s="1"/>
  <c r="D917" i="17"/>
  <c r="F917" i="17" s="1"/>
  <c r="D438" i="17"/>
  <c r="F438" i="17" s="1"/>
  <c r="D923" i="17"/>
  <c r="F923" i="17" s="1"/>
  <c r="D1015" i="17"/>
  <c r="F1015" i="17" s="1"/>
  <c r="D939" i="17"/>
  <c r="F939" i="17" s="1"/>
  <c r="D968" i="17"/>
  <c r="F968" i="17" s="1"/>
  <c r="D582" i="17"/>
  <c r="F582" i="17" s="1"/>
  <c r="D1089" i="17"/>
  <c r="F1089" i="17" s="1"/>
  <c r="D740" i="17"/>
  <c r="F740" i="17" s="1"/>
  <c r="D473" i="17"/>
  <c r="F473" i="17" s="1"/>
  <c r="D806" i="17"/>
  <c r="F806" i="17" s="1"/>
  <c r="D529" i="17"/>
  <c r="F529" i="17" s="1"/>
  <c r="D267" i="17"/>
  <c r="F267" i="17" s="1"/>
  <c r="D111" i="17"/>
  <c r="F111" i="17" s="1"/>
  <c r="D1181" i="17"/>
  <c r="F1181" i="17" s="1"/>
  <c r="D572" i="17"/>
  <c r="F572" i="17" s="1"/>
  <c r="D1236" i="17"/>
  <c r="F1236" i="17" s="1"/>
  <c r="D165" i="17"/>
  <c r="F165" i="17" s="1"/>
  <c r="D378" i="17"/>
  <c r="F378" i="17" s="1"/>
  <c r="D593" i="17"/>
  <c r="F593" i="17" s="1"/>
  <c r="D657" i="17"/>
  <c r="F657" i="17" s="1"/>
  <c r="D252" i="17"/>
  <c r="F252" i="17" s="1"/>
  <c r="D503" i="17"/>
  <c r="F503" i="17" s="1"/>
  <c r="D24" i="17"/>
  <c r="F24" i="17" s="1"/>
  <c r="D586" i="17"/>
  <c r="F586" i="17" s="1"/>
  <c r="D235" i="17"/>
  <c r="F235" i="17" s="1"/>
  <c r="D768" i="17"/>
  <c r="F768" i="17" s="1"/>
  <c r="D830" i="17"/>
  <c r="F830" i="17" s="1"/>
  <c r="D531" i="17"/>
  <c r="F531" i="17" s="1"/>
  <c r="D239" i="17"/>
  <c r="F239" i="17" s="1"/>
  <c r="D220" i="17"/>
  <c r="F220" i="17" s="1"/>
  <c r="D718" i="17"/>
  <c r="F718" i="17" s="1"/>
  <c r="D1009" i="17"/>
  <c r="F1009" i="17" s="1"/>
  <c r="D1133" i="17"/>
  <c r="F1133" i="17" s="1"/>
  <c r="D155" i="17"/>
  <c r="F155" i="17" s="1"/>
  <c r="D187" i="17"/>
  <c r="F187" i="17" s="1"/>
  <c r="D453" i="17"/>
  <c r="F453" i="17" s="1"/>
  <c r="D1130" i="17"/>
  <c r="F1130" i="17" s="1"/>
  <c r="D719" i="17"/>
  <c r="F719" i="17" s="1"/>
  <c r="D294" i="17"/>
  <c r="F294" i="17" s="1"/>
  <c r="D1078" i="17"/>
  <c r="F1078" i="17" s="1"/>
  <c r="D437" i="17"/>
  <c r="F437" i="17" s="1"/>
  <c r="D623" i="17"/>
  <c r="F623" i="17" s="1"/>
  <c r="D1085" i="17"/>
  <c r="F1085" i="17" s="1"/>
  <c r="D1254" i="17"/>
  <c r="F1254" i="17" s="1"/>
  <c r="D568" i="17"/>
  <c r="F568" i="17" s="1"/>
  <c r="D66" i="17"/>
  <c r="F66" i="17" s="1"/>
  <c r="D242" i="17"/>
  <c r="F242" i="17" s="1"/>
  <c r="D1111" i="17"/>
  <c r="F1111" i="17" s="1"/>
  <c r="D1212" i="17"/>
  <c r="F1212" i="17" s="1"/>
  <c r="D1141" i="17"/>
  <c r="F1141" i="17" s="1"/>
  <c r="D410" i="17"/>
  <c r="F410" i="17" s="1"/>
  <c r="D1000" i="17"/>
  <c r="F1000" i="17" s="1"/>
  <c r="D324" i="17"/>
  <c r="F324" i="17" s="1"/>
  <c r="D17" i="17"/>
  <c r="F17" i="17" s="1"/>
  <c r="D751" i="17"/>
  <c r="F751" i="17" s="1"/>
  <c r="D1022" i="17"/>
  <c r="F1022" i="17" s="1"/>
  <c r="D906" i="17"/>
  <c r="F906" i="17" s="1"/>
  <c r="D384" i="17"/>
  <c r="F384" i="17" s="1"/>
  <c r="D430" i="17"/>
  <c r="F430" i="17" s="1"/>
  <c r="D122" i="17"/>
  <c r="F122" i="17" s="1"/>
  <c r="D158" i="17"/>
  <c r="F158" i="17" s="1"/>
  <c r="D287" i="17"/>
  <c r="F287" i="17" s="1"/>
  <c r="D886" i="17"/>
  <c r="F886" i="17" s="1"/>
  <c r="D622" i="17"/>
  <c r="F622" i="17" s="1"/>
  <c r="D665" i="17"/>
  <c r="F665" i="17" s="1"/>
  <c r="D526" i="17"/>
  <c r="F526" i="17" s="1"/>
  <c r="D700" i="17"/>
  <c r="F700" i="17" s="1"/>
  <c r="D271" i="17"/>
  <c r="F271" i="17" s="1"/>
  <c r="D1226" i="17"/>
  <c r="F1226" i="17" s="1"/>
  <c r="D435" i="17"/>
  <c r="F435" i="17" s="1"/>
  <c r="D35" i="17"/>
  <c r="F35" i="17" s="1"/>
  <c r="D739" i="17"/>
  <c r="F739" i="17" s="1"/>
  <c r="D831" i="17"/>
  <c r="F831" i="17" s="1"/>
  <c r="D191" i="17"/>
  <c r="F191" i="17" s="1"/>
  <c r="D1048" i="17"/>
  <c r="F1048" i="17" s="1"/>
  <c r="D530" i="17"/>
  <c r="F530" i="17" s="1"/>
  <c r="D1178" i="17"/>
  <c r="F1178" i="17" s="1"/>
  <c r="D203" i="17"/>
  <c r="F203" i="17" s="1"/>
  <c r="D356" i="17"/>
  <c r="F356" i="17" s="1"/>
  <c r="D204" i="17"/>
  <c r="F204" i="17" s="1"/>
  <c r="D686" i="17"/>
  <c r="F686" i="17" s="1"/>
  <c r="D775" i="17"/>
  <c r="F775" i="17" s="1"/>
  <c r="D183" i="17"/>
  <c r="F183" i="17" s="1"/>
  <c r="D1137" i="17"/>
  <c r="F1137" i="17" s="1"/>
  <c r="D610" i="17"/>
  <c r="F610" i="17" s="1"/>
  <c r="D1063" i="17"/>
  <c r="F1063" i="17" s="1"/>
  <c r="D1116" i="17"/>
  <c r="F1116" i="17" s="1"/>
  <c r="D392" i="17"/>
  <c r="F392" i="17" s="1"/>
  <c r="D877" i="17"/>
  <c r="F877" i="17" s="1"/>
  <c r="D460" i="17"/>
  <c r="F460" i="17" s="1"/>
  <c r="D91" i="17"/>
  <c r="F91" i="17" s="1"/>
  <c r="D781" i="17"/>
  <c r="F781" i="17" s="1"/>
  <c r="D113" i="17"/>
  <c r="F113" i="17" s="1"/>
  <c r="D961" i="17"/>
  <c r="F961" i="17" s="1"/>
  <c r="D1086" i="17"/>
  <c r="D11" i="17"/>
  <c r="F11" i="17" s="1"/>
  <c r="D847" i="17"/>
  <c r="F847" i="17" s="1"/>
  <c r="D507" i="17"/>
  <c r="F507" i="17" s="1"/>
  <c r="D710" i="17"/>
  <c r="F710" i="17" s="1"/>
  <c r="D309" i="17"/>
  <c r="F309" i="17" s="1"/>
  <c r="D561" i="17"/>
  <c r="F561" i="17" s="1"/>
  <c r="D1171" i="17"/>
  <c r="F1171" i="17" s="1"/>
  <c r="D1175" i="17"/>
  <c r="F1175" i="17" s="1"/>
  <c r="D1127" i="17"/>
  <c r="F1127" i="17" s="1"/>
  <c r="D418" i="17"/>
  <c r="F418" i="17" s="1"/>
  <c r="D363" i="17"/>
  <c r="F363" i="17" s="1"/>
  <c r="D1261" i="17"/>
  <c r="F1261" i="17" s="1"/>
  <c r="D286" i="17"/>
  <c r="F286" i="17" s="1"/>
  <c r="D763" i="17"/>
  <c r="F763" i="17" s="1"/>
  <c r="D1172" i="17"/>
  <c r="F1172" i="17" s="1"/>
  <c r="D22" i="17"/>
  <c r="F22" i="17" s="1"/>
  <c r="D382" i="17"/>
  <c r="F382" i="17" s="1"/>
  <c r="D316" i="17"/>
  <c r="F316" i="17" s="1"/>
  <c r="D1225" i="17"/>
  <c r="F1225" i="17" s="1"/>
  <c r="D993" i="17"/>
  <c r="F993" i="17" s="1"/>
  <c r="D1266" i="17"/>
  <c r="F1266" i="17" s="1"/>
  <c r="D133" i="17"/>
  <c r="F133" i="17" s="1"/>
  <c r="D319" i="17"/>
  <c r="F319" i="17" s="1"/>
  <c r="D145" i="17"/>
  <c r="F145" i="17" s="1"/>
  <c r="D1028" i="17"/>
  <c r="F1028" i="17" s="1"/>
  <c r="D813" i="17"/>
  <c r="D259" i="17"/>
  <c r="F259" i="17" s="1"/>
  <c r="D579" i="17"/>
  <c r="F579" i="17" s="1"/>
  <c r="D1233" i="17"/>
  <c r="F1233" i="17" s="1"/>
  <c r="D207" i="17"/>
  <c r="F207" i="17" s="1"/>
  <c r="D215" i="17"/>
  <c r="F215" i="17" s="1"/>
  <c r="D1019" i="17"/>
  <c r="F1019" i="17" s="1"/>
  <c r="D979" i="17"/>
  <c r="F979" i="17" s="1"/>
  <c r="D588" i="17"/>
  <c r="F588" i="17" s="1"/>
  <c r="D711" i="17"/>
  <c r="F711" i="17" s="1"/>
  <c r="D724" i="17"/>
  <c r="F724" i="17" s="1"/>
  <c r="D1246" i="17"/>
  <c r="F1246" i="17" s="1"/>
  <c r="D1050" i="17"/>
  <c r="F1050" i="17" s="1"/>
  <c r="D277" i="17"/>
  <c r="F277" i="17" s="1"/>
  <c r="D465" i="17"/>
  <c r="F465" i="17" s="1"/>
  <c r="D874" i="17"/>
  <c r="F874" i="17" s="1"/>
  <c r="D591" i="17"/>
  <c r="F591" i="17" s="1"/>
  <c r="D1193" i="17"/>
  <c r="F1193" i="17" s="1"/>
  <c r="D903" i="17"/>
  <c r="F903" i="17" s="1"/>
  <c r="D52" i="17"/>
  <c r="F52" i="17" s="1"/>
  <c r="D1222" i="17"/>
  <c r="F1222" i="17" s="1"/>
  <c r="D1072" i="17"/>
  <c r="F1072" i="17" s="1"/>
  <c r="D72" i="17"/>
  <c r="D149" i="17"/>
  <c r="F149" i="17" s="1"/>
  <c r="D1107" i="17"/>
  <c r="F1107" i="17" s="1"/>
  <c r="D385" i="17"/>
  <c r="F385" i="17" s="1"/>
  <c r="D119" i="17"/>
  <c r="F119" i="17" s="1"/>
  <c r="D1258" i="17"/>
  <c r="F1258" i="17" s="1"/>
  <c r="D272" i="17"/>
  <c r="F272" i="17" s="1"/>
  <c r="D1251" i="17"/>
  <c r="F1251" i="17" s="1"/>
  <c r="D358" i="17"/>
  <c r="F358" i="17" s="1"/>
  <c r="D140" i="17"/>
  <c r="F140" i="17" s="1"/>
  <c r="D198" i="17"/>
  <c r="F198" i="17" s="1"/>
  <c r="D1244" i="17"/>
  <c r="F1244" i="17" s="1"/>
  <c r="D396" i="17"/>
  <c r="F396" i="17" s="1"/>
  <c r="D44" i="17"/>
  <c r="F44" i="17" s="1"/>
  <c r="D664" i="17"/>
  <c r="F664" i="17" s="1"/>
  <c r="D493" i="17"/>
  <c r="F493" i="17" s="1"/>
  <c r="D166" i="17"/>
  <c r="F166" i="17" s="1"/>
  <c r="D642" i="17"/>
  <c r="F642" i="17" s="1"/>
  <c r="D10" i="17"/>
  <c r="D495" i="17"/>
  <c r="F495" i="17" s="1"/>
  <c r="D357" i="17"/>
  <c r="F357" i="17" s="1"/>
  <c r="D1161" i="17"/>
  <c r="F1161" i="17" s="1"/>
  <c r="D841" i="17"/>
  <c r="F841" i="17" s="1"/>
  <c r="D425" i="17"/>
  <c r="F425" i="17" s="1"/>
  <c r="D927" i="17"/>
  <c r="F927" i="17" s="1"/>
  <c r="D174" i="17"/>
  <c r="F174" i="17" s="1"/>
  <c r="D305" i="17"/>
  <c r="F305" i="17" s="1"/>
  <c r="D661" i="17"/>
  <c r="F661" i="17" s="1"/>
  <c r="D840" i="17"/>
  <c r="F840" i="17" s="1"/>
  <c r="D1147" i="17"/>
  <c r="F1147" i="17" s="1"/>
  <c r="D838" i="17"/>
  <c r="F838" i="17" s="1"/>
  <c r="D1148" i="17"/>
  <c r="F1148" i="17" s="1"/>
  <c r="D746" i="17"/>
  <c r="F746" i="17" s="1"/>
  <c r="D93" i="17"/>
  <c r="F93" i="17" s="1"/>
  <c r="D100" i="17"/>
  <c r="F100" i="17" s="1"/>
  <c r="D528" i="17"/>
  <c r="F528" i="17" s="1"/>
  <c r="D1002" i="17"/>
  <c r="F1002" i="17" s="1"/>
  <c r="D222" i="17"/>
  <c r="F222" i="17" s="1"/>
  <c r="D527" i="17"/>
  <c r="F527" i="17" s="1"/>
  <c r="D960" i="17"/>
  <c r="D160" i="17"/>
  <c r="F160" i="17" s="1"/>
  <c r="D865" i="17"/>
  <c r="F865" i="17" s="1"/>
  <c r="D981" i="17"/>
  <c r="F981" i="17" s="1"/>
  <c r="D598" i="17"/>
  <c r="F598" i="17" s="1"/>
  <c r="C294" i="4"/>
  <c r="P293" i="4"/>
  <c r="Q293" i="4" s="1"/>
  <c r="A294" i="4"/>
  <c r="C288" i="4"/>
  <c r="A288" i="4"/>
  <c r="Q288" i="4"/>
  <c r="A293" i="4"/>
  <c r="P286" i="4"/>
  <c r="Q286" i="4" s="1"/>
  <c r="C286" i="4"/>
  <c r="A286" i="4"/>
  <c r="P292" i="4"/>
  <c r="Q292" i="4" s="1"/>
  <c r="A292" i="4"/>
  <c r="C292" i="4"/>
  <c r="P243" i="4"/>
  <c r="Q243" i="4" s="1"/>
  <c r="Q294" i="4"/>
  <c r="A290" i="4"/>
  <c r="P290" i="4"/>
  <c r="Q290" i="4" s="1"/>
  <c r="C290" i="4"/>
  <c r="P291" i="4"/>
  <c r="Q291" i="4" s="1"/>
  <c r="A291" i="4"/>
  <c r="C291" i="4"/>
  <c r="D549" i="17" s="1"/>
  <c r="F549" i="17" s="1"/>
  <c r="P287" i="4"/>
  <c r="Q287" i="4" s="1"/>
  <c r="C287" i="4"/>
  <c r="A287" i="4"/>
  <c r="A285" i="4"/>
  <c r="P285" i="4"/>
  <c r="Q285" i="4" s="1"/>
  <c r="C285" i="4"/>
  <c r="A289" i="4"/>
  <c r="P289" i="4"/>
  <c r="Q289" i="4" s="1"/>
  <c r="C289" i="4"/>
  <c r="A243" i="4"/>
  <c r="C244" i="4"/>
  <c r="P244" i="4"/>
  <c r="Q244" i="4" s="1"/>
  <c r="A244" i="4"/>
  <c r="C245" i="4"/>
  <c r="A245" i="4"/>
  <c r="P245" i="4"/>
  <c r="Q245" i="4" s="1"/>
  <c r="C249" i="4"/>
  <c r="A249" i="4"/>
  <c r="P249" i="4"/>
  <c r="Q249" i="4" s="1"/>
  <c r="C248" i="4"/>
  <c r="P248" i="4"/>
  <c r="Q248" i="4" s="1"/>
  <c r="A248" i="4"/>
  <c r="C241" i="4"/>
  <c r="D1091" i="17" s="1"/>
  <c r="A241" i="4"/>
  <c r="P241" i="4"/>
  <c r="Q241" i="4" s="1"/>
  <c r="C242" i="4"/>
  <c r="P242" i="4"/>
  <c r="Q242" i="4" s="1"/>
  <c r="A242" i="4"/>
  <c r="C246" i="4"/>
  <c r="P246" i="4"/>
  <c r="Q246" i="4" s="1"/>
  <c r="A246" i="4"/>
  <c r="C250" i="4"/>
  <c r="P250" i="4"/>
  <c r="Q250" i="4" s="1"/>
  <c r="A250" i="4"/>
  <c r="C247" i="4"/>
  <c r="A247" i="4"/>
  <c r="P247" i="4"/>
  <c r="Q247" i="4" s="1"/>
  <c r="A251" i="4"/>
  <c r="C251" i="4"/>
  <c r="P251" i="4"/>
  <c r="Q251" i="4" s="1"/>
  <c r="P457" i="4"/>
  <c r="Q457" i="4" s="1"/>
  <c r="C457" i="4"/>
  <c r="D873" i="17" s="1"/>
  <c r="P204" i="4"/>
  <c r="Q204" i="4" s="1"/>
  <c r="C204" i="4"/>
  <c r="A204" i="4"/>
  <c r="C159" i="4"/>
  <c r="P159" i="4"/>
  <c r="Q159" i="4" s="1"/>
  <c r="A159" i="4"/>
  <c r="P327" i="4"/>
  <c r="Q327" i="4" s="1"/>
  <c r="C327" i="4"/>
  <c r="A327" i="4"/>
  <c r="C198" i="4"/>
  <c r="A198" i="4"/>
  <c r="P198" i="4"/>
  <c r="Q198" i="4" s="1"/>
  <c r="P206" i="4"/>
  <c r="Q206" i="4" s="1"/>
  <c r="C206" i="4"/>
  <c r="A206" i="4"/>
  <c r="C115" i="4"/>
  <c r="A115" i="4"/>
  <c r="P115" i="4"/>
  <c r="Q115" i="4" s="1"/>
  <c r="A380" i="4"/>
  <c r="P380" i="4"/>
  <c r="Q380" i="4" s="1"/>
  <c r="C380" i="4"/>
  <c r="C464" i="4"/>
  <c r="P464" i="4"/>
  <c r="Q464" i="4" s="1"/>
  <c r="A464" i="4"/>
  <c r="A462" i="4"/>
  <c r="P462" i="4"/>
  <c r="Q462" i="4" s="1"/>
  <c r="C462" i="4"/>
  <c r="A156" i="4"/>
  <c r="P156" i="4"/>
  <c r="Q156" i="4" s="1"/>
  <c r="C156" i="4"/>
  <c r="P507" i="4"/>
  <c r="Q507" i="4" s="1"/>
  <c r="A507" i="4"/>
  <c r="C507" i="4"/>
  <c r="C463" i="4"/>
  <c r="P463" i="4"/>
  <c r="Q463" i="4" s="1"/>
  <c r="A463" i="4"/>
  <c r="P336" i="4"/>
  <c r="Q336" i="4" s="1"/>
  <c r="C336" i="4"/>
  <c r="A336" i="4"/>
  <c r="C417" i="4"/>
  <c r="A417" i="4"/>
  <c r="P417" i="4"/>
  <c r="Q417" i="4" s="1"/>
  <c r="A332" i="4"/>
  <c r="P332" i="4"/>
  <c r="Q332" i="4" s="1"/>
  <c r="C332" i="4"/>
  <c r="C331" i="4"/>
  <c r="P331" i="4"/>
  <c r="Q331" i="4" s="1"/>
  <c r="A331" i="4"/>
  <c r="P419" i="4"/>
  <c r="Q419" i="4" s="1"/>
  <c r="C419" i="4"/>
  <c r="A419" i="4"/>
  <c r="A118" i="4"/>
  <c r="P118" i="4"/>
  <c r="Q118" i="4" s="1"/>
  <c r="C118" i="4"/>
  <c r="C414" i="4"/>
  <c r="P414" i="4"/>
  <c r="Q414" i="4" s="1"/>
  <c r="A414" i="4"/>
  <c r="A459" i="4"/>
  <c r="P459" i="4"/>
  <c r="Q459" i="4" s="1"/>
  <c r="C459" i="4"/>
  <c r="A415" i="4"/>
  <c r="P415" i="4"/>
  <c r="Q415" i="4" s="1"/>
  <c r="C415" i="4"/>
  <c r="D1144" i="17" s="1"/>
  <c r="A374" i="4"/>
  <c r="C374" i="4"/>
  <c r="P374" i="4"/>
  <c r="Q374" i="4" s="1"/>
  <c r="P421" i="4"/>
  <c r="Q421" i="4" s="1"/>
  <c r="C421" i="4"/>
  <c r="A421" i="4"/>
  <c r="C375" i="4"/>
  <c r="A375" i="4"/>
  <c r="P375" i="4"/>
  <c r="Q375" i="4" s="1"/>
  <c r="P112" i="4"/>
  <c r="Q112" i="4" s="1"/>
  <c r="C112" i="4"/>
  <c r="A112" i="4"/>
  <c r="C200" i="4"/>
  <c r="A200" i="4"/>
  <c r="P200" i="4"/>
  <c r="Q200" i="4" s="1"/>
  <c r="C509" i="4"/>
  <c r="A509" i="4"/>
  <c r="P509" i="4"/>
  <c r="Q509" i="4" s="1"/>
  <c r="C505" i="4"/>
  <c r="A505" i="4"/>
  <c r="P505" i="4"/>
  <c r="Q505" i="4" s="1"/>
  <c r="P114" i="4"/>
  <c r="Q114" i="4" s="1"/>
  <c r="A114" i="4"/>
  <c r="C114" i="4"/>
  <c r="P465" i="4"/>
  <c r="Q465" i="4" s="1"/>
  <c r="C465" i="4"/>
  <c r="A465" i="4"/>
  <c r="C120" i="4"/>
  <c r="P120" i="4"/>
  <c r="Q120" i="4" s="1"/>
  <c r="A120" i="4"/>
  <c r="P113" i="4"/>
  <c r="Q113" i="4" s="1"/>
  <c r="C113" i="4"/>
  <c r="A113" i="4"/>
  <c r="C379" i="4"/>
  <c r="A379" i="4"/>
  <c r="P379" i="4"/>
  <c r="Q379" i="4" s="1"/>
  <c r="C201" i="4"/>
  <c r="A201" i="4"/>
  <c r="P201" i="4"/>
  <c r="Q201" i="4" s="1"/>
  <c r="C423" i="4"/>
  <c r="P423" i="4"/>
  <c r="Q423" i="4" s="1"/>
  <c r="A423" i="4"/>
  <c r="C461" i="4"/>
  <c r="A461" i="4"/>
  <c r="P461" i="4"/>
  <c r="Q461" i="4" s="1"/>
  <c r="C162" i="4"/>
  <c r="A162" i="4"/>
  <c r="P162" i="4"/>
  <c r="Q162" i="4" s="1"/>
  <c r="P334" i="4"/>
  <c r="Q334" i="4" s="1"/>
  <c r="A334" i="4"/>
  <c r="C334" i="4"/>
  <c r="C506" i="4"/>
  <c r="P506" i="4"/>
  <c r="Q506" i="4" s="1"/>
  <c r="A506" i="4"/>
  <c r="P499" i="4"/>
  <c r="Q499" i="4" s="1"/>
  <c r="C499" i="4"/>
  <c r="A499" i="4"/>
  <c r="P503" i="4"/>
  <c r="Q503" i="4" s="1"/>
  <c r="C503" i="4"/>
  <c r="D807" i="17" s="1"/>
  <c r="F807" i="17" s="1"/>
  <c r="A503" i="4"/>
  <c r="A117" i="4"/>
  <c r="P117" i="4"/>
  <c r="Q117" i="4" s="1"/>
  <c r="C117" i="4"/>
  <c r="P370" i="4"/>
  <c r="Q370" i="4" s="1"/>
  <c r="A370" i="4"/>
  <c r="C370" i="4"/>
  <c r="A466" i="4"/>
  <c r="P466" i="4"/>
  <c r="Q466" i="4" s="1"/>
  <c r="C466" i="4"/>
  <c r="A161" i="4"/>
  <c r="C161" i="4"/>
  <c r="P161" i="4"/>
  <c r="Q161" i="4" s="1"/>
  <c r="C502" i="4"/>
  <c r="A502" i="4"/>
  <c r="P502" i="4"/>
  <c r="Q502" i="4" s="1"/>
  <c r="C207" i="4"/>
  <c r="P207" i="4"/>
  <c r="Q207" i="4" s="1"/>
  <c r="A207" i="4"/>
  <c r="P376" i="4"/>
  <c r="Q376" i="4" s="1"/>
  <c r="A376" i="4"/>
  <c r="C376" i="4"/>
  <c r="C199" i="4"/>
  <c r="P199" i="4"/>
  <c r="Q199" i="4" s="1"/>
  <c r="A199" i="4"/>
  <c r="C116" i="4"/>
  <c r="A116" i="4"/>
  <c r="P116" i="4"/>
  <c r="Q116" i="4" s="1"/>
  <c r="A458" i="4"/>
  <c r="P458" i="4"/>
  <c r="Q458" i="4" s="1"/>
  <c r="C458" i="4"/>
  <c r="C203" i="4"/>
  <c r="A203" i="4"/>
  <c r="P203" i="4"/>
  <c r="Q203" i="4" s="1"/>
  <c r="A416" i="4"/>
  <c r="C416" i="4"/>
  <c r="P416" i="4"/>
  <c r="Q416" i="4" s="1"/>
  <c r="C501" i="4"/>
  <c r="D323" i="17" s="1"/>
  <c r="P501" i="4"/>
  <c r="Q501" i="4" s="1"/>
  <c r="A501" i="4"/>
  <c r="C333" i="4"/>
  <c r="P333" i="4"/>
  <c r="Q333" i="4" s="1"/>
  <c r="A333" i="4"/>
  <c r="C329" i="4"/>
  <c r="A329" i="4"/>
  <c r="P329" i="4"/>
  <c r="Q329" i="4" s="1"/>
  <c r="C157" i="4"/>
  <c r="P157" i="4"/>
  <c r="Q157" i="4" s="1"/>
  <c r="A157" i="4"/>
  <c r="A413" i="4"/>
  <c r="P413" i="4"/>
  <c r="Q413" i="4" s="1"/>
  <c r="C413" i="4"/>
  <c r="P328" i="4"/>
  <c r="Q328" i="4" s="1"/>
  <c r="C328" i="4"/>
  <c r="A328" i="4"/>
  <c r="P202" i="4"/>
  <c r="Q202" i="4" s="1"/>
  <c r="C202" i="4"/>
  <c r="A202" i="4"/>
  <c r="P208" i="4"/>
  <c r="Q208" i="4" s="1"/>
  <c r="C208" i="4"/>
  <c r="A208" i="4"/>
  <c r="C373" i="4"/>
  <c r="P373" i="4"/>
  <c r="Q373" i="4" s="1"/>
  <c r="A373" i="4"/>
  <c r="P164" i="4"/>
  <c r="Q164" i="4" s="1"/>
  <c r="A164" i="4"/>
  <c r="C164" i="4"/>
  <c r="C500" i="4"/>
  <c r="A500" i="4"/>
  <c r="P500" i="4"/>
  <c r="Q500" i="4" s="1"/>
  <c r="A420" i="4"/>
  <c r="C420" i="4"/>
  <c r="P420" i="4"/>
  <c r="Q420" i="4" s="1"/>
  <c r="P460" i="4"/>
  <c r="Q460" i="4" s="1"/>
  <c r="A460" i="4"/>
  <c r="C460" i="4"/>
  <c r="A165" i="4"/>
  <c r="C165" i="4"/>
  <c r="P165" i="4"/>
  <c r="Q165" i="4" s="1"/>
  <c r="P456" i="4"/>
  <c r="Q456" i="4" s="1"/>
  <c r="A456" i="4"/>
  <c r="C456" i="4"/>
  <c r="C378" i="4"/>
  <c r="P378" i="4"/>
  <c r="Q378" i="4" s="1"/>
  <c r="A378" i="4"/>
  <c r="A418" i="4"/>
  <c r="P418" i="4"/>
  <c r="Q418" i="4" s="1"/>
  <c r="C418" i="4"/>
  <c r="C337" i="4"/>
  <c r="A337" i="4"/>
  <c r="P337" i="4"/>
  <c r="Q337" i="4" s="1"/>
  <c r="C335" i="4"/>
  <c r="A335" i="4"/>
  <c r="P335" i="4"/>
  <c r="Q335" i="4" s="1"/>
  <c r="C504" i="4"/>
  <c r="A504" i="4"/>
  <c r="P504" i="4"/>
  <c r="Q504" i="4" s="1"/>
  <c r="C160" i="4"/>
  <c r="A160" i="4"/>
  <c r="P160" i="4"/>
  <c r="Q160" i="4" s="1"/>
  <c r="A422" i="4"/>
  <c r="P422" i="4"/>
  <c r="Q422" i="4" s="1"/>
  <c r="C422" i="4"/>
  <c r="C371" i="4"/>
  <c r="D1093" i="17" s="1"/>
  <c r="P371" i="4"/>
  <c r="Q371" i="4" s="1"/>
  <c r="A371" i="4"/>
  <c r="C158" i="4"/>
  <c r="P158" i="4"/>
  <c r="Q158" i="4" s="1"/>
  <c r="A158" i="4"/>
  <c r="P155" i="4"/>
  <c r="Q155" i="4" s="1"/>
  <c r="A155" i="4"/>
  <c r="C155" i="4"/>
  <c r="P330" i="4"/>
  <c r="Q330" i="4" s="1"/>
  <c r="A330" i="4"/>
  <c r="C330" i="4"/>
  <c r="P119" i="4"/>
  <c r="Q119" i="4" s="1"/>
  <c r="C119" i="4"/>
  <c r="A119" i="4"/>
  <c r="A122" i="4"/>
  <c r="C122" i="4"/>
  <c r="P122" i="4"/>
  <c r="Q122" i="4" s="1"/>
  <c r="C508" i="4"/>
  <c r="A508" i="4"/>
  <c r="P508" i="4"/>
  <c r="Q508" i="4" s="1"/>
  <c r="C205" i="4"/>
  <c r="A205" i="4"/>
  <c r="P205" i="4"/>
  <c r="Q205" i="4" s="1"/>
  <c r="C163" i="4"/>
  <c r="P163" i="4"/>
  <c r="Q163" i="4" s="1"/>
  <c r="A163" i="4"/>
  <c r="C372" i="4"/>
  <c r="A372" i="4"/>
  <c r="P372" i="4"/>
  <c r="Q372" i="4" s="1"/>
  <c r="C377" i="4"/>
  <c r="A377" i="4"/>
  <c r="P377" i="4"/>
  <c r="Q377" i="4" s="1"/>
  <c r="C121" i="4"/>
  <c r="P121" i="4"/>
  <c r="Q121" i="4" s="1"/>
  <c r="A121" i="4"/>
  <c r="F571" i="17"/>
  <c r="F1032" i="17"/>
  <c r="A32" i="14"/>
  <c r="C32" i="14"/>
  <c r="C73" i="4"/>
  <c r="D2" i="17" s="1"/>
  <c r="P73" i="4"/>
  <c r="Q73" i="4" s="1"/>
  <c r="A73" i="4"/>
  <c r="A75" i="4"/>
  <c r="P75" i="4"/>
  <c r="Q75" i="4" s="1"/>
  <c r="C75" i="4"/>
  <c r="C70" i="4"/>
  <c r="D521" i="17" s="1"/>
  <c r="A70" i="4"/>
  <c r="P70" i="4"/>
  <c r="Q70" i="4" s="1"/>
  <c r="C79" i="4"/>
  <c r="P79" i="4"/>
  <c r="Q79" i="4" s="1"/>
  <c r="A79" i="4"/>
  <c r="C28" i="4"/>
  <c r="P28" i="4"/>
  <c r="A28" i="4"/>
  <c r="A26" i="4"/>
  <c r="P26" i="4"/>
  <c r="C26" i="4"/>
  <c r="C72" i="4"/>
  <c r="P72" i="4"/>
  <c r="Q72" i="4" s="1"/>
  <c r="A72" i="4"/>
  <c r="C77" i="4"/>
  <c r="P77" i="4"/>
  <c r="Q77" i="4" s="1"/>
  <c r="A77" i="4"/>
  <c r="A74" i="4"/>
  <c r="P74" i="4"/>
  <c r="Q74" i="4" s="1"/>
  <c r="C74" i="4"/>
  <c r="C35" i="4"/>
  <c r="A35" i="4"/>
  <c r="P35" i="4"/>
  <c r="C30" i="4"/>
  <c r="P30" i="4"/>
  <c r="A30" i="4"/>
  <c r="C29" i="4"/>
  <c r="P29" i="4"/>
  <c r="A29" i="4"/>
  <c r="A78" i="4"/>
  <c r="P78" i="4"/>
  <c r="Q78" i="4" s="1"/>
  <c r="C78" i="4"/>
  <c r="C32" i="4"/>
  <c r="A32" i="4"/>
  <c r="P32" i="4"/>
  <c r="C27" i="4"/>
  <c r="A27" i="4"/>
  <c r="P27" i="4"/>
  <c r="C69" i="4"/>
  <c r="A69" i="4"/>
  <c r="P69" i="4"/>
  <c r="Q69" i="4" s="1"/>
  <c r="C34" i="4"/>
  <c r="A34" i="4"/>
  <c r="P34" i="4"/>
  <c r="C36" i="4"/>
  <c r="A36" i="4"/>
  <c r="P36" i="4"/>
  <c r="A76" i="4"/>
  <c r="C76" i="4"/>
  <c r="P76" i="4"/>
  <c r="Q76" i="4" s="1"/>
  <c r="C31" i="4"/>
  <c r="P31" i="4"/>
  <c r="A31" i="4"/>
  <c r="C71" i="4"/>
  <c r="D541" i="17" s="1"/>
  <c r="P71" i="4"/>
  <c r="Q71" i="4" s="1"/>
  <c r="A71" i="4"/>
  <c r="C33" i="4"/>
  <c r="P33" i="4"/>
  <c r="A33" i="4"/>
  <c r="P33" i="14"/>
  <c r="C33" i="14"/>
  <c r="A33" i="14"/>
  <c r="C34" i="14"/>
  <c r="A34" i="14"/>
  <c r="P34" i="14"/>
  <c r="C26" i="14"/>
  <c r="A26" i="14"/>
  <c r="P26" i="14"/>
  <c r="C29" i="14"/>
  <c r="P29" i="14"/>
  <c r="A29" i="14"/>
  <c r="C27" i="14"/>
  <c r="P27" i="14"/>
  <c r="A27" i="14"/>
  <c r="C28" i="14"/>
  <c r="P28" i="14"/>
  <c r="A28" i="14"/>
  <c r="C36" i="14"/>
  <c r="P36" i="14"/>
  <c r="A36" i="14"/>
  <c r="C31" i="14"/>
  <c r="P31" i="14"/>
  <c r="A31" i="14"/>
  <c r="A30" i="14"/>
  <c r="P30" i="14"/>
  <c r="C30" i="14"/>
  <c r="A35" i="14"/>
  <c r="P35" i="14"/>
  <c r="C35" i="14"/>
  <c r="O22" i="4"/>
  <c r="F4" i="3" s="1"/>
  <c r="H40" i="5"/>
  <c r="H42" i="5" s="1"/>
  <c r="L22" i="14"/>
  <c r="O22" i="14" s="1"/>
  <c r="K4" i="4"/>
  <c r="E30" i="4" s="1"/>
  <c r="H4" i="3" l="1"/>
  <c r="J4" i="3"/>
  <c r="D129" i="17"/>
  <c r="F129" i="17" s="1"/>
  <c r="F653" i="17"/>
  <c r="D513" i="17"/>
  <c r="F513" i="17" s="1"/>
  <c r="D485" i="17"/>
  <c r="F485" i="17" s="1"/>
  <c r="F813" i="17"/>
  <c r="F827" i="17"/>
  <c r="D12" i="17"/>
  <c r="F12" i="17" s="1"/>
  <c r="D771" i="17"/>
  <c r="F72" i="17"/>
  <c r="D289" i="17"/>
  <c r="F289" i="17" s="1"/>
  <c r="D337" i="17"/>
  <c r="F337" i="17" s="1"/>
  <c r="D578" i="17"/>
  <c r="F578" i="17" s="1"/>
  <c r="D834" i="17"/>
  <c r="D1045" i="17"/>
  <c r="F1045" i="17" s="1"/>
  <c r="D130" i="17"/>
  <c r="F130" i="17" s="1"/>
  <c r="D483" i="17"/>
  <c r="F483" i="17" s="1"/>
  <c r="D101" i="17"/>
  <c r="F101" i="17" s="1"/>
  <c r="D349" i="17"/>
  <c r="F349" i="17" s="1"/>
  <c r="D891" i="17"/>
  <c r="F891" i="17" s="1"/>
  <c r="D121" i="17"/>
  <c r="F121" i="17" s="1"/>
  <c r="D550" i="17"/>
  <c r="F550" i="17" s="1"/>
  <c r="F323" i="17"/>
  <c r="F873" i="17"/>
  <c r="D1092" i="17"/>
  <c r="F1144" i="17"/>
  <c r="D559" i="17"/>
  <c r="F559" i="17" s="1"/>
  <c r="Q297" i="4"/>
  <c r="B11" i="3"/>
  <c r="F11" i="3" s="1"/>
  <c r="Q254" i="4"/>
  <c r="B10" i="3"/>
  <c r="F1091" i="17"/>
  <c r="F74" i="17"/>
  <c r="F104" i="17"/>
  <c r="Q383" i="4"/>
  <c r="Q426" i="4"/>
  <c r="Q512" i="4"/>
  <c r="Q168" i="4"/>
  <c r="Q469" i="4"/>
  <c r="Q211" i="4"/>
  <c r="Q125" i="4"/>
  <c r="Q340" i="4"/>
  <c r="B18" i="3"/>
  <c r="F18" i="3" s="1"/>
  <c r="B17" i="3"/>
  <c r="F17" i="3" s="1"/>
  <c r="B15" i="3"/>
  <c r="F15" i="3" s="1"/>
  <c r="B13" i="3"/>
  <c r="F13" i="3" s="1"/>
  <c r="B12" i="3"/>
  <c r="F12" i="3" s="1"/>
  <c r="B9" i="3"/>
  <c r="F9" i="3" s="1"/>
  <c r="B8" i="3"/>
  <c r="F8" i="3" s="1"/>
  <c r="B7" i="3"/>
  <c r="F7" i="3" s="1"/>
  <c r="F2" i="17"/>
  <c r="F1093" i="17"/>
  <c r="Q82" i="4"/>
  <c r="B5" i="3"/>
  <c r="F5" i="3" s="1"/>
  <c r="E31" i="4"/>
  <c r="F520" i="17" s="1"/>
  <c r="E29" i="4"/>
  <c r="E32" i="4"/>
  <c r="E35" i="4"/>
  <c r="E26" i="4"/>
  <c r="D509" i="17" s="1"/>
  <c r="E28" i="4"/>
  <c r="F541" i="17" s="1"/>
  <c r="E36" i="4"/>
  <c r="F1017" i="17" s="1"/>
  <c r="E33" i="4"/>
  <c r="F10" i="17" s="1"/>
  <c r="E34" i="4"/>
  <c r="E27" i="4"/>
  <c r="F521" i="17" s="1"/>
  <c r="K4" i="14"/>
  <c r="H15" i="3" l="1"/>
  <c r="H14" i="3" s="1"/>
  <c r="J15" i="3"/>
  <c r="J14" i="3" s="1"/>
  <c r="H18" i="3"/>
  <c r="J18" i="3"/>
  <c r="H11" i="3"/>
  <c r="J11" i="3"/>
  <c r="H17" i="3"/>
  <c r="J17" i="3"/>
  <c r="H12" i="3"/>
  <c r="J12" i="3"/>
  <c r="H13" i="3"/>
  <c r="J13" i="3"/>
  <c r="H5" i="3"/>
  <c r="H3" i="3" s="1"/>
  <c r="J5" i="3"/>
  <c r="J3" i="3" s="1"/>
  <c r="H7" i="3"/>
  <c r="J7" i="3"/>
  <c r="H8" i="3"/>
  <c r="J8" i="3"/>
  <c r="H9" i="3"/>
  <c r="J9" i="3"/>
  <c r="F834" i="17"/>
  <c r="D816" i="17"/>
  <c r="F816" i="17" s="1"/>
  <c r="F509" i="17"/>
  <c r="O11" i="3"/>
  <c r="W11" i="3"/>
  <c r="R11" i="3"/>
  <c r="Z11" i="3" s="1"/>
  <c r="F10" i="3"/>
  <c r="R10" i="3"/>
  <c r="W10" i="3"/>
  <c r="O10" i="3"/>
  <c r="F771" i="17"/>
  <c r="F479" i="17"/>
  <c r="O18" i="3"/>
  <c r="R18" i="3"/>
  <c r="Z18" i="3" s="1"/>
  <c r="W18" i="3"/>
  <c r="R17" i="3"/>
  <c r="O17" i="3"/>
  <c r="W17" i="3"/>
  <c r="O15" i="3"/>
  <c r="W15" i="3"/>
  <c r="R15" i="3"/>
  <c r="O13" i="3"/>
  <c r="W13" i="3"/>
  <c r="R13" i="3"/>
  <c r="Z13" i="3" s="1"/>
  <c r="O12" i="3"/>
  <c r="W12" i="3"/>
  <c r="R12" i="3"/>
  <c r="O9" i="3"/>
  <c r="R9" i="3"/>
  <c r="W9" i="3"/>
  <c r="O8" i="3"/>
  <c r="R8" i="3"/>
  <c r="W8" i="3"/>
  <c r="W7" i="3"/>
  <c r="O7" i="3"/>
  <c r="R7" i="3"/>
  <c r="R5" i="3"/>
  <c r="W5" i="3"/>
  <c r="E32" i="14"/>
  <c r="Q32" i="14" s="1"/>
  <c r="E33" i="14"/>
  <c r="Q33" i="14" s="1"/>
  <c r="E26" i="14"/>
  <c r="Q26" i="14" s="1"/>
  <c r="E27" i="14"/>
  <c r="Q27" i="14" s="1"/>
  <c r="E30" i="14"/>
  <c r="Q30" i="14" s="1"/>
  <c r="E36" i="14"/>
  <c r="Q36" i="14" s="1"/>
  <c r="E28" i="14"/>
  <c r="Q28" i="14" s="1"/>
  <c r="E34" i="14"/>
  <c r="Q34" i="14" s="1"/>
  <c r="E35" i="14"/>
  <c r="Q35" i="14" s="1"/>
  <c r="E29" i="14"/>
  <c r="Q29" i="14" s="1"/>
  <c r="E31" i="14"/>
  <c r="Q31" i="14" s="1"/>
  <c r="Z4" i="3"/>
  <c r="O5" i="3"/>
  <c r="T4" i="3"/>
  <c r="H5" i="5"/>
  <c r="F558" i="17"/>
  <c r="F486" i="17"/>
  <c r="F829" i="17"/>
  <c r="F960" i="17"/>
  <c r="F954" i="17"/>
  <c r="F1086" i="17"/>
  <c r="F803" i="17"/>
  <c r="F1057" i="17"/>
  <c r="F1136" i="17"/>
  <c r="F685" i="17"/>
  <c r="F596" i="17"/>
  <c r="Q35" i="4"/>
  <c r="Q29" i="4"/>
  <c r="Q34" i="4"/>
  <c r="Q33" i="4"/>
  <c r="Q31" i="4"/>
  <c r="Q30" i="4"/>
  <c r="Q26" i="4"/>
  <c r="Q32" i="4"/>
  <c r="Q28" i="4"/>
  <c r="Q27" i="4"/>
  <c r="Q36" i="4"/>
  <c r="H16" i="3" l="1"/>
  <c r="J16" i="3"/>
  <c r="H10" i="3"/>
  <c r="H6" i="3" s="1"/>
  <c r="J10" i="3"/>
  <c r="J6" i="3" s="1"/>
  <c r="J19" i="3" s="1"/>
  <c r="J24" i="3" s="1"/>
  <c r="Z10" i="3"/>
  <c r="T11" i="3"/>
  <c r="H305" i="5"/>
  <c r="T10" i="3"/>
  <c r="H255" i="5"/>
  <c r="T18" i="3"/>
  <c r="H558" i="5"/>
  <c r="T17" i="3"/>
  <c r="Z17" i="3"/>
  <c r="H508" i="5"/>
  <c r="Z15" i="3"/>
  <c r="H458" i="5"/>
  <c r="T15" i="3"/>
  <c r="Z12" i="3"/>
  <c r="T13" i="3"/>
  <c r="H406" i="5"/>
  <c r="Z9" i="3"/>
  <c r="T12" i="3"/>
  <c r="H355" i="5"/>
  <c r="Z8" i="3"/>
  <c r="T9" i="3"/>
  <c r="H205" i="5"/>
  <c r="T8" i="3"/>
  <c r="H155" i="5"/>
  <c r="Z7" i="3"/>
  <c r="T7" i="3"/>
  <c r="H105" i="5"/>
  <c r="L21" i="5"/>
  <c r="L20" i="5"/>
  <c r="L27" i="5"/>
  <c r="L19" i="5"/>
  <c r="L26" i="5"/>
  <c r="L18" i="5"/>
  <c r="L23" i="5"/>
  <c r="L25" i="5"/>
  <c r="L17" i="5"/>
  <c r="L24" i="5"/>
  <c r="L22" i="5"/>
  <c r="Q39" i="14"/>
  <c r="F1269" i="17"/>
  <c r="Z5" i="3"/>
  <c r="T5" i="3"/>
  <c r="H55" i="5"/>
  <c r="Q38" i="4"/>
  <c r="W4" i="3" s="1"/>
  <c r="W19" i="3" s="1"/>
  <c r="H5" i="13"/>
  <c r="H19" i="3" l="1"/>
  <c r="H24" i="3" s="1"/>
  <c r="H26" i="3" s="1"/>
  <c r="J27" i="3"/>
  <c r="J28" i="3" s="1"/>
  <c r="J26" i="3"/>
  <c r="J25" i="3"/>
  <c r="L323" i="5"/>
  <c r="L326" i="5"/>
  <c r="L327" i="5"/>
  <c r="L320" i="5"/>
  <c r="L317" i="5"/>
  <c r="L325" i="5"/>
  <c r="L321" i="5"/>
  <c r="L318" i="5"/>
  <c r="L322" i="5"/>
  <c r="L324" i="5"/>
  <c r="L319" i="5"/>
  <c r="L273" i="5"/>
  <c r="L277" i="5"/>
  <c r="L268" i="5"/>
  <c r="L271" i="5"/>
  <c r="L272" i="5"/>
  <c r="L269" i="5"/>
  <c r="L267" i="5"/>
  <c r="L270" i="5"/>
  <c r="L274" i="5"/>
  <c r="L275" i="5"/>
  <c r="L276" i="5"/>
  <c r="Z19" i="3"/>
  <c r="T19" i="3"/>
  <c r="L580" i="5"/>
  <c r="L573" i="5"/>
  <c r="L574" i="5"/>
  <c r="L572" i="5"/>
  <c r="L576" i="5"/>
  <c r="L579" i="5"/>
  <c r="L578" i="5"/>
  <c r="L575" i="5"/>
  <c r="L577" i="5"/>
  <c r="L570" i="5"/>
  <c r="L571" i="5"/>
  <c r="L520" i="5"/>
  <c r="L525" i="5"/>
  <c r="L530" i="5"/>
  <c r="L523" i="5"/>
  <c r="L521" i="5"/>
  <c r="L522" i="5"/>
  <c r="L524" i="5"/>
  <c r="L527" i="5"/>
  <c r="L528" i="5"/>
  <c r="L526" i="5"/>
  <c r="L529" i="5"/>
  <c r="L479" i="5"/>
  <c r="L470" i="5"/>
  <c r="L474" i="5"/>
  <c r="L480" i="5"/>
  <c r="L477" i="5"/>
  <c r="L471" i="5"/>
  <c r="L476" i="5"/>
  <c r="L478" i="5"/>
  <c r="L473" i="5"/>
  <c r="L475" i="5"/>
  <c r="L472" i="5"/>
  <c r="L424" i="5"/>
  <c r="L428" i="5"/>
  <c r="L423" i="5"/>
  <c r="L429" i="5"/>
  <c r="L420" i="5"/>
  <c r="L427" i="5"/>
  <c r="L425" i="5"/>
  <c r="L430" i="5"/>
  <c r="L426" i="5"/>
  <c r="L421" i="5"/>
  <c r="L422" i="5"/>
  <c r="L373" i="5"/>
  <c r="L368" i="5"/>
  <c r="L369" i="5"/>
  <c r="L376" i="5"/>
  <c r="L371" i="5"/>
  <c r="L378" i="5"/>
  <c r="L375" i="5"/>
  <c r="L372" i="5"/>
  <c r="L370" i="5"/>
  <c r="L377" i="5"/>
  <c r="L374" i="5"/>
  <c r="L226" i="5"/>
  <c r="L224" i="5"/>
  <c r="L222" i="5"/>
  <c r="L218" i="5"/>
  <c r="L219" i="5"/>
  <c r="L225" i="5"/>
  <c r="L223" i="5"/>
  <c r="L217" i="5"/>
  <c r="L221" i="5"/>
  <c r="L227" i="5"/>
  <c r="L220" i="5"/>
  <c r="L171" i="5"/>
  <c r="L170" i="5"/>
  <c r="L172" i="5"/>
  <c r="L177" i="5"/>
  <c r="L169" i="5"/>
  <c r="L175" i="5"/>
  <c r="L176" i="5"/>
  <c r="L174" i="5"/>
  <c r="L167" i="5"/>
  <c r="L168" i="5"/>
  <c r="L173" i="5"/>
  <c r="L127" i="5"/>
  <c r="L117" i="5"/>
  <c r="L121" i="5"/>
  <c r="L118" i="5"/>
  <c r="L125" i="5"/>
  <c r="L126" i="5"/>
  <c r="L122" i="5"/>
  <c r="L123" i="5"/>
  <c r="L124" i="5"/>
  <c r="L119" i="5"/>
  <c r="L120" i="5"/>
  <c r="L21" i="13"/>
  <c r="L26" i="13"/>
  <c r="L18" i="13"/>
  <c r="L23" i="13"/>
  <c r="L20" i="13"/>
  <c r="L25" i="13"/>
  <c r="L17" i="13"/>
  <c r="L22" i="13"/>
  <c r="L27" i="13"/>
  <c r="L19" i="13"/>
  <c r="L24" i="13"/>
  <c r="L75" i="5"/>
  <c r="L67" i="5"/>
  <c r="L72" i="5"/>
  <c r="L77" i="5"/>
  <c r="L69" i="5"/>
  <c r="L74" i="5"/>
  <c r="L71" i="5"/>
  <c r="L76" i="5"/>
  <c r="L68" i="5"/>
  <c r="L73" i="5"/>
  <c r="L70" i="5"/>
  <c r="L28" i="5"/>
  <c r="L24" i="3" l="1"/>
  <c r="H27" i="3"/>
  <c r="H28" i="3" s="1"/>
  <c r="H25" i="3"/>
  <c r="H29" i="3" s="1"/>
  <c r="H31" i="3" s="1"/>
  <c r="L34" i="3" s="1"/>
  <c r="J29" i="3"/>
  <c r="J31" i="3" s="1"/>
  <c r="L33" i="3" s="1"/>
  <c r="L328" i="5"/>
  <c r="V11" i="3" s="1"/>
  <c r="L278" i="5"/>
  <c r="V10" i="3" s="1"/>
  <c r="L581" i="5"/>
  <c r="V18" i="3" s="1"/>
  <c r="L531" i="5"/>
  <c r="V17" i="3" s="1"/>
  <c r="L481" i="5"/>
  <c r="V15" i="3" s="1"/>
  <c r="L431" i="5"/>
  <c r="V13" i="3" s="1"/>
  <c r="L379" i="5"/>
  <c r="V12" i="3" s="1"/>
  <c r="L228" i="5"/>
  <c r="V9" i="3" s="1"/>
  <c r="L178" i="5"/>
  <c r="V8" i="3" s="1"/>
  <c r="L128" i="5"/>
  <c r="V7" i="3" s="1"/>
  <c r="Q4" i="3"/>
  <c r="V4" i="3"/>
  <c r="L28" i="13"/>
  <c r="L78" i="5"/>
  <c r="L35" i="3" l="1"/>
  <c r="Q10" i="3"/>
  <c r="Y10" i="3" s="1"/>
  <c r="AA10" i="3" s="1"/>
  <c r="Q11" i="3"/>
  <c r="Q18" i="3"/>
  <c r="Y18" i="3" s="1"/>
  <c r="AA18" i="3" s="1"/>
  <c r="Q17" i="3"/>
  <c r="Q15" i="3"/>
  <c r="Q13" i="3"/>
  <c r="Y13" i="3" s="1"/>
  <c r="AA13" i="3" s="1"/>
  <c r="Q12" i="3"/>
  <c r="Q7" i="3"/>
  <c r="S7" i="3" s="1"/>
  <c r="L7" i="3" s="1"/>
  <c r="Q9" i="3"/>
  <c r="Q8" i="3"/>
  <c r="Q5" i="3"/>
  <c r="V5" i="3"/>
  <c r="Y4" i="3"/>
  <c r="Y11" i="3" l="1"/>
  <c r="AA11" i="3" s="1"/>
  <c r="S11" i="3"/>
  <c r="L11" i="3" s="1"/>
  <c r="S10" i="3"/>
  <c r="L10" i="3" s="1"/>
  <c r="AA4" i="3"/>
  <c r="V19" i="3"/>
  <c r="S18" i="3"/>
  <c r="L18" i="3" s="1"/>
  <c r="Y17" i="3"/>
  <c r="AA17" i="3" s="1"/>
  <c r="S17" i="3"/>
  <c r="L17" i="3" s="1"/>
  <c r="Y15" i="3"/>
  <c r="AA15" i="3" s="1"/>
  <c r="S15" i="3"/>
  <c r="L15" i="3" s="1"/>
  <c r="L14" i="3" s="1"/>
  <c r="S13" i="3"/>
  <c r="L13" i="3" s="1"/>
  <c r="Y7" i="3"/>
  <c r="AA7" i="3" s="1"/>
  <c r="Y12" i="3"/>
  <c r="AA12" i="3" s="1"/>
  <c r="S12" i="3"/>
  <c r="L12" i="3" s="1"/>
  <c r="Y9" i="3"/>
  <c r="AA9" i="3" s="1"/>
  <c r="S9" i="3"/>
  <c r="L9" i="3" s="1"/>
  <c r="Y8" i="3"/>
  <c r="AA8" i="3" s="1"/>
  <c r="S8" i="3"/>
  <c r="L8" i="3" s="1"/>
  <c r="S4" i="3"/>
  <c r="Y5" i="3"/>
  <c r="AA5" i="3" s="1"/>
  <c r="S5" i="3"/>
  <c r="L6" i="3" l="1"/>
  <c r="L16" i="3"/>
  <c r="Y19" i="3"/>
  <c r="AA19" i="3"/>
  <c r="L5" i="3"/>
  <c r="L26" i="3" l="1"/>
  <c r="L25" i="3"/>
  <c r="L27" i="3"/>
  <c r="L28" i="3" s="1"/>
  <c r="L29" i="3" l="1"/>
  <c r="L31" i="3" s="1"/>
  <c r="L4" i="3" l="1"/>
  <c r="L3" i="3" s="1"/>
  <c r="L19" i="3" s="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3">
    <bk>
      <extLst>
        <ext uri="{3e2802c4-a4d2-4d8b-9148-e3be6c30e623}">
          <xlrd:rvb i="0"/>
        </ext>
      </extLst>
    </bk>
    <bk>
      <extLst>
        <ext uri="{3e2802c4-a4d2-4d8b-9148-e3be6c30e623}">
          <xlrd:rvb i="1"/>
        </ext>
      </extLst>
    </bk>
    <bk>
      <extLst>
        <ext uri="{3e2802c4-a4d2-4d8b-9148-e3be6c30e623}">
          <xlrd:rvb i="2"/>
        </ext>
      </extLst>
    </bk>
  </futureMetadata>
  <valueMetadata count="3">
    <bk>
      <rc t="1" v="0"/>
    </bk>
    <bk>
      <rc t="1" v="1"/>
    </bk>
    <bk>
      <rc t="1" v="2"/>
    </bk>
  </valueMetadata>
</metadata>
</file>

<file path=xl/sharedStrings.xml><?xml version="1.0" encoding="utf-8"?>
<sst xmlns="http://schemas.openxmlformats.org/spreadsheetml/2006/main" count="8014" uniqueCount="2388">
  <si>
    <t>PRESUPUESTO GENERAL DEL PROYECTO</t>
  </si>
  <si>
    <t xml:space="preserve">OBJETO: </t>
  </si>
  <si>
    <t>Datos Generales</t>
  </si>
  <si>
    <t>Fecha</t>
  </si>
  <si>
    <t>Versión</t>
  </si>
  <si>
    <t>Duración Obra (meses)</t>
  </si>
  <si>
    <t>Duración supervisión (meses)</t>
  </si>
  <si>
    <t>Lugar de ejecución del Proyecto</t>
  </si>
  <si>
    <t>País</t>
  </si>
  <si>
    <t>REPUBLICA DE COLOMBIA</t>
  </si>
  <si>
    <t>Departamento</t>
  </si>
  <si>
    <t>Municipio</t>
  </si>
  <si>
    <t>Entidad ejecutora</t>
  </si>
  <si>
    <t>Responsable</t>
  </si>
  <si>
    <t>Cargo de Responsible</t>
  </si>
  <si>
    <t>Matricula</t>
  </si>
  <si>
    <t>UNITARIOS</t>
  </si>
  <si>
    <t>VALOR TOTAL</t>
  </si>
  <si>
    <t>ITEM</t>
  </si>
  <si>
    <t>CATEGORIA</t>
  </si>
  <si>
    <t>DESCRIPCIÓN</t>
  </si>
  <si>
    <t>UNIDAD</t>
  </si>
  <si>
    <t>CANTIDAD</t>
  </si>
  <si>
    <t>VALOR UNITARIO</t>
  </si>
  <si>
    <t>EQUIPOS</t>
  </si>
  <si>
    <t>MATERIALES</t>
  </si>
  <si>
    <t>TRANSPORTE</t>
  </si>
  <si>
    <t>MANO DE OBRA</t>
  </si>
  <si>
    <t>TOTAL UNITARIO</t>
  </si>
  <si>
    <t>verificación 1</t>
  </si>
  <si>
    <t>verificación 2</t>
  </si>
  <si>
    <t>TOTAL</t>
  </si>
  <si>
    <t>PRELIMINARES</t>
  </si>
  <si>
    <t>1.01</t>
  </si>
  <si>
    <t>Localización y replanteo</t>
  </si>
  <si>
    <t>m2</t>
  </si>
  <si>
    <t>1.02</t>
  </si>
  <si>
    <t>.</t>
  </si>
  <si>
    <t xml:space="preserve">MEMORIAS DE CALCULO </t>
  </si>
  <si>
    <t>Ítem No.</t>
  </si>
  <si>
    <t>CAPITULO</t>
  </si>
  <si>
    <t xml:space="preserve">CANTIDAD </t>
  </si>
  <si>
    <t>ESQUEMA</t>
  </si>
  <si>
    <t>Localización</t>
  </si>
  <si>
    <t>Dimensiones</t>
  </si>
  <si>
    <t>Total</t>
  </si>
  <si>
    <t>Longitud (m)</t>
  </si>
  <si>
    <t>Ancho (m)</t>
  </si>
  <si>
    <t>Alto (m)</t>
  </si>
  <si>
    <t>Cantidad</t>
  </si>
  <si>
    <t>LISTADO DE MATERIALES A UTILIZAR EN ESTE ITEM</t>
  </si>
  <si>
    <t xml:space="preserve">DESCRIPCIÓN </t>
  </si>
  <si>
    <t>RENDIMIENTO</t>
  </si>
  <si>
    <t>ANALISIS DE PRECIOS UNITARIOS</t>
  </si>
  <si>
    <t xml:space="preserve">CAPITULO </t>
  </si>
  <si>
    <t>Unidad</t>
  </si>
  <si>
    <t>Especific.</t>
  </si>
  <si>
    <t>Descripción</t>
  </si>
  <si>
    <t>Column1</t>
  </si>
  <si>
    <t>Column2</t>
  </si>
  <si>
    <t>Column3</t>
  </si>
  <si>
    <t>Tarifa</t>
  </si>
  <si>
    <t>Rendimiento</t>
  </si>
  <si>
    <t>Valor Parcial</t>
  </si>
  <si>
    <t>Herramienta menor (5%)</t>
  </si>
  <si>
    <t>SUBTOTAL EQUIPOS</t>
  </si>
  <si>
    <t>Descripcion</t>
  </si>
  <si>
    <t>Columna1</t>
  </si>
  <si>
    <t>Columna2</t>
  </si>
  <si>
    <t>Unid.</t>
  </si>
  <si>
    <t>Precio Unit.</t>
  </si>
  <si>
    <t>Vr. Unitario</t>
  </si>
  <si>
    <t>Puntilla con cabeza de 2" caja x 500 gr</t>
  </si>
  <si>
    <t>Estacas en madera entre 0,5 y 1,0 metro</t>
  </si>
  <si>
    <t>Listón de madera ordinaria 2" x 4"</t>
  </si>
  <si>
    <t>Hilo Nylon carrete x 100 metros</t>
  </si>
  <si>
    <t>Cal apagada</t>
  </si>
  <si>
    <t>Gasolina corriente</t>
  </si>
  <si>
    <t>Aceite de 4 tiempos</t>
  </si>
  <si>
    <t>A.C.P.M.</t>
  </si>
  <si>
    <t>Teja Claraboya Fibrocemento #4</t>
  </si>
  <si>
    <t>SUBTOTAL MATERIALES</t>
  </si>
  <si>
    <t>Distancia Km.</t>
  </si>
  <si>
    <t>Vol o Peso</t>
  </si>
  <si>
    <t>SUBTOTAL TRANSPORTE</t>
  </si>
  <si>
    <t>MANO_DE_OBRA</t>
  </si>
  <si>
    <t>Cant</t>
  </si>
  <si>
    <t>Jornal</t>
  </si>
  <si>
    <t>Prestaciones</t>
  </si>
  <si>
    <t>Jornal Total</t>
  </si>
  <si>
    <t>Ayudante</t>
  </si>
  <si>
    <t>Oficial</t>
  </si>
  <si>
    <t>SUBTOTAL MANO DE OBRA</t>
  </si>
  <si>
    <t xml:space="preserve"> </t>
  </si>
  <si>
    <t>TOTAL COSTO DIRECTO UNITARIO</t>
  </si>
  <si>
    <t>COSTO DIRECTO</t>
  </si>
  <si>
    <t>OBSERVACIONES</t>
  </si>
  <si>
    <t>Elaboró</t>
  </si>
  <si>
    <t>Abrazaderas metálicas galvanizadas para tubería de 1 1/2"</t>
  </si>
  <si>
    <t>Abrazaderas metálicas galvanizadas para tubería de 1 1/4"</t>
  </si>
  <si>
    <t>Abrazaderas metálicas galvanizadas para tubería de 1"</t>
  </si>
  <si>
    <t>Abrazaderas metálicas galvanizadas para tubería de 1/2"</t>
  </si>
  <si>
    <t>Abrazaderas metálicas galvanizadas para tubería de 2"</t>
  </si>
  <si>
    <t>Abrazaderas metálicas galvanizadas para tubería de 3/4"</t>
  </si>
  <si>
    <t>Aceite de 2 tiempos</t>
  </si>
  <si>
    <t>Aceite quemado</t>
  </si>
  <si>
    <t>Acero de refuerzo. Varilla corrugada w60 x 6m. Diámetro de 1/2”</t>
  </si>
  <si>
    <t>Acero de refuerzo. Varilla corrugada w60 x 6m. Diámetro de 1”</t>
  </si>
  <si>
    <t>Acero de refuerzo. Varilla corrugada w60 x 6m. Diámetro de 3/4”</t>
  </si>
  <si>
    <t>Acero de refuerzo. Varilla corrugada w60 x 6m. Diámetro de 5/8”</t>
  </si>
  <si>
    <t>Acople para lavamanos o lavaplatos de 1/2" x 1/2" de 40 cms en acero</t>
  </si>
  <si>
    <t>Acople para lavamanos o lavaplatos de 1/2" x 1/2" de 40 cms en metal</t>
  </si>
  <si>
    <t>Acople para lavamanos o lavaplatos de 1/2" x 1/2" de 50 cms en metal</t>
  </si>
  <si>
    <t>Acople para lavamanos o lavaplatos de 1/2" x 1/2" de 50 cms en plástico</t>
  </si>
  <si>
    <t>Acople para lavamanos o lavaplatos de 1/2" x 1/2" de 55 cms en acero</t>
  </si>
  <si>
    <t>Acople para lavamanos o lavaplatos de 1/2" x 1/2" de 60 cms en metal</t>
  </si>
  <si>
    <t>Acople para sanitarios en acero x 35 cm. 1/2 X 7/8”</t>
  </si>
  <si>
    <t>Acople para sanitarios plástico x 50 cm. 1/2 X 7/8”</t>
  </si>
  <si>
    <t>Acople universal de 1 1/2”</t>
  </si>
  <si>
    <t>Acople universal de 1”</t>
  </si>
  <si>
    <t>Acople universal de 2”</t>
  </si>
  <si>
    <t>Acople universal de 3”</t>
  </si>
  <si>
    <t>Adaptador a Bajante Raingo de 3"</t>
  </si>
  <si>
    <t>Adaptador a Bajante Raingo de 4"x4"</t>
  </si>
  <si>
    <t>Adaptador a pared para sifón blanco PVC. Diámetro de 1 1/2"</t>
  </si>
  <si>
    <t>Adaptador bajante agua lluvia</t>
  </si>
  <si>
    <t>Adaptador de limpieza Sanitaria PVC. Diámetro de 2"</t>
  </si>
  <si>
    <t>Adaptador de limpieza Sanitaria PVC. Diámetro de 3"</t>
  </si>
  <si>
    <t>Adaptador de limpieza Sanitaria PVC. Diámetro de 4"</t>
  </si>
  <si>
    <t>Adaptador de limpieza Sanitaria PVC. Diámetro de 6"</t>
  </si>
  <si>
    <t>Adaptador hembra de presión en PVC. Diámetro de 1 1/2"</t>
  </si>
  <si>
    <t>Adaptador hembra de presión en PVC. Diámetro de 1 1/4"</t>
  </si>
  <si>
    <t>Adaptador hembra de presión en PVC. Diámetro de 1"</t>
  </si>
  <si>
    <t>Adaptador hembra de presión en PVC. Diámetro de 1/2"</t>
  </si>
  <si>
    <t>Adaptador hembra de presión en PVC. Diámetro de 2 1/2"</t>
  </si>
  <si>
    <t>Adaptador hembra de presión en PVC. Diámetro de 2"</t>
  </si>
  <si>
    <t>Adaptador hembra de presión en PVC. Diámetro de 3"</t>
  </si>
  <si>
    <t>Adaptador hembra de presión en PVC. Diámetro de 3/4"</t>
  </si>
  <si>
    <t>Adaptador hembra de presión en PVC. Diámetro de 4"</t>
  </si>
  <si>
    <t>Adaptador macho de agua caliente en CPVC. Diámetro de 1"</t>
  </si>
  <si>
    <t>Adaptador macho de agua caliente en CPVC. Diámetro de 1/2"</t>
  </si>
  <si>
    <t>Adaptador macho de agua caliente en CPVC. Diámetro de 3/4"</t>
  </si>
  <si>
    <t>Adaptador macho de presión en PVC. Diámetro de 1 1/2"</t>
  </si>
  <si>
    <t>Adaptador macho de presión en PVC. Diámetro de 1 1/4"</t>
  </si>
  <si>
    <t>Adaptador macho de presión en PVC. Diámetro de 1"</t>
  </si>
  <si>
    <t>Adaptador macho de presión en PVC. Diámetro de 1/2"</t>
  </si>
  <si>
    <t>Adaptador macho de presión en PVC. Diámetro de 2 1/2"</t>
  </si>
  <si>
    <t>Adaptador macho de presión en PVC. Diámetro de 2"</t>
  </si>
  <si>
    <t>Adaptador macho de presión en PVC. Diámetro de 3"</t>
  </si>
  <si>
    <t>Adaptador macho de presión en PVC. Diámetro de 3/4"</t>
  </si>
  <si>
    <t>Adaptador macho de presión en PVC. Diámetro de 4"</t>
  </si>
  <si>
    <t>Adaptador terminal Conduit PVC. Diámetro de 1 1/2"</t>
  </si>
  <si>
    <t>Adaptador terminal Conduit PVC. Diámetro de 1 1/4"</t>
  </si>
  <si>
    <t>Adaptador terminal Conduit PVC. Diámetro de 1"</t>
  </si>
  <si>
    <t>Adaptador terminal Conduit PVC. Diámetro de 1/2"</t>
  </si>
  <si>
    <t>Adaptador terminal Conduit PVC. Diámetro de 2"</t>
  </si>
  <si>
    <t>Adaptador terminal Conduit PVC. Diámetro de 3"</t>
  </si>
  <si>
    <t>Adaptador terminal Conduit PVC. Diámetro de 3/4"</t>
  </si>
  <si>
    <t>Adhesivo epoxi tixotrópico de dos componentes adhesivo epoxica gris</t>
  </si>
  <si>
    <t>Adhesivo para concreto fresco y endurecido</t>
  </si>
  <si>
    <t>Adoquín de arcilla macizo 10x20x3</t>
  </si>
  <si>
    <t>Adoquín de arcilla macizo 10x20x5</t>
  </si>
  <si>
    <t>Adoquín de arcilla macizo 10x20x6</t>
  </si>
  <si>
    <t>Adoquín de arcilla macizo 10x20x8</t>
  </si>
  <si>
    <t>Adoquín de arcilla tipo corbatín 10x20x3</t>
  </si>
  <si>
    <t>Adoquín de arcilla tipo corbatín 10x20x5</t>
  </si>
  <si>
    <t>Adoquín de arcilla tipo corbatín 12x20x5</t>
  </si>
  <si>
    <t>Adoquín de concreto macizo 10x15x5</t>
  </si>
  <si>
    <t>Adoquín de concreto macizo 10x20x6</t>
  </si>
  <si>
    <t>Adoquín de concreto macizo 10x20x6 de colores</t>
  </si>
  <si>
    <t>Adoquín de concreto macizo 10x20x8</t>
  </si>
  <si>
    <t>Adoquín de concreto tipo colmena</t>
  </si>
  <si>
    <t>Adoquín de concreto tipo colonial</t>
  </si>
  <si>
    <t>Adoquín de concreto tipo corbatín 9x10x19</t>
  </si>
  <si>
    <t>Adoquín ecológico de concreto 30x30x8</t>
  </si>
  <si>
    <t>Afirmado base granular de tamaño máximo 1 1/2"</t>
  </si>
  <si>
    <t>Afirmado sub base granular de tamaño máximo 1 1/2"</t>
  </si>
  <si>
    <t>Afirmado sub base granular de tamaño máximo 1"</t>
  </si>
  <si>
    <t>Afirmado sub base granular de tamaño máximo 1/2"</t>
  </si>
  <si>
    <t>Afirmado sub base granular de tamaño máximo 2"</t>
  </si>
  <si>
    <t>Afirmado sub base granular de tamaño máximo 3/8"</t>
  </si>
  <si>
    <t>Alambre de cobre desnudo calibre 10</t>
  </si>
  <si>
    <t>Alambre de cobre desnudo calibre 12</t>
  </si>
  <si>
    <t>Alambre de cobre desnudo calibre 14</t>
  </si>
  <si>
    <t>Alambre de púas calibre 12.5 rollo x 350m</t>
  </si>
  <si>
    <t>Alambre de púas calibre 14 rollo x 500m</t>
  </si>
  <si>
    <t>Alambre de púas calibre 16.5 rollo x 400m</t>
  </si>
  <si>
    <t>Alambre galvanizado No. 12</t>
  </si>
  <si>
    <t>Alambre galvanizado No. 14</t>
  </si>
  <si>
    <t>Alambre galvanizado No. 16</t>
  </si>
  <si>
    <t>Alambre galvanizado No. 18</t>
  </si>
  <si>
    <t>Alambre negro No. 16</t>
  </si>
  <si>
    <t>Alambre negro No. 18</t>
  </si>
  <si>
    <t>Alambre THHN calibre 10 cualquier color</t>
  </si>
  <si>
    <t>Alambre THHN calibre 12 cualquier color</t>
  </si>
  <si>
    <t>Alambre THHN calibre 14 cualquier color</t>
  </si>
  <si>
    <t>Alambre THHN calibre 8 cualquier color</t>
  </si>
  <si>
    <t>Amarre plástico transparente o negro de 15 a 25 cms x 100 unidades</t>
  </si>
  <si>
    <t>Amarres para teja de zinc o metálica</t>
  </si>
  <si>
    <t>Angulo 29 mm x 2,4 m para perfilería drywall cielo raso</t>
  </si>
  <si>
    <t>Angulo 30 mm x 20 mm x 2,4 m para perfilería drywall cielo raso</t>
  </si>
  <si>
    <t>Angulo champaña 0,66 x 0,39 x 3 m para cielo raso en aluminio</t>
  </si>
  <si>
    <t>Angulo crudo 0,66 x 0,39 x 3 m para cielo raso en aluminio</t>
  </si>
  <si>
    <t>Angulo G-50 de 1 1/2" espesor 1/8" x 6 metros de largo</t>
  </si>
  <si>
    <t>Angulo G-50 de 1 1/2" espesor 3/16" x 6 metros de largo</t>
  </si>
  <si>
    <t>Angulo G-50 de 2" espesor 1/8" x 6 metros de largo</t>
  </si>
  <si>
    <t>Angulo G-50 de 2" espesor 3/16" x 6 metros de largo</t>
  </si>
  <si>
    <t>Anticorrosivo</t>
  </si>
  <si>
    <t>ARANDELAS ZINCADAS DE 1/2"</t>
  </si>
  <si>
    <t>ARANDELAS ZINCADAS DE 1/4"</t>
  </si>
  <si>
    <t>ARANDELAS ZINCADAS DE 3/16"</t>
  </si>
  <si>
    <t>ARANDELAS ZINCADAS DE 3/8"</t>
  </si>
  <si>
    <t>ARANDELAS ZINCADAS DE 5/16"</t>
  </si>
  <si>
    <t>ARANDELAS ZINCADAS DE 5/32"</t>
  </si>
  <si>
    <t>ARANDELAS ZINCADAS DE 7/16"</t>
  </si>
  <si>
    <t>Arena de río</t>
  </si>
  <si>
    <t>Arena fina</t>
  </si>
  <si>
    <t>Arena para pega</t>
  </si>
  <si>
    <t>Arena silice</t>
  </si>
  <si>
    <t>Bajante rectangular aguas lluvias x 3 metros</t>
  </si>
  <si>
    <t>Bajante redonda 2" aguas lluvias x 3 metros</t>
  </si>
  <si>
    <t>Bajante redonda 3" aguas lluvias x 3 metros</t>
  </si>
  <si>
    <t>Balastro fino</t>
  </si>
  <si>
    <t>Balastro grueso</t>
  </si>
  <si>
    <t>Baldosa cemento biselada 25 cm x 25cm x 2 mm</t>
  </si>
  <si>
    <t>Baldosa cemento estriada 30 cm x 30 cm x 2,6 mm</t>
  </si>
  <si>
    <t>Baldosa cemento estriada 40 cm x 40 cm x 3 mm</t>
  </si>
  <si>
    <t>Baldosa cemento lisa 20 cm x 20 cm x 2 mm</t>
  </si>
  <si>
    <t>Baldosa cemento lisa 25 cm x 25 cm x 2 mm</t>
  </si>
  <si>
    <t>Baldosa cemento lisa 30 cm x 30 cm x 2 mm</t>
  </si>
  <si>
    <t>Baldosa cemento zócalo lisa 8 cm x 25 cm x 1mm</t>
  </si>
  <si>
    <t>Baldosa granito lisa 25 cm x 25 cm</t>
  </si>
  <si>
    <t>Baldosa granito lisa 30 cm x 30 cm</t>
  </si>
  <si>
    <t>Baldosa granito lisa 33 cm x 33 cm</t>
  </si>
  <si>
    <t>Baldosa granito lisa 40 cm x 40 cm</t>
  </si>
  <si>
    <t>Baldosa tablón de gres antideslizante 15 cm x 15 cm</t>
  </si>
  <si>
    <t>Baldosa tablón de gres antideslizante 20 cm x 20 cm</t>
  </si>
  <si>
    <t>Baldosa tablón de gres antideslizante 30 cm x 30 cm</t>
  </si>
  <si>
    <t>Baldosa tablón de gres liso 15 cm x 15 cm</t>
  </si>
  <si>
    <t>Baldosa tablón de gres liso 20 cm x 10 cm</t>
  </si>
  <si>
    <t>Baldosa tablón de gres liso 20 cm x 20 cm</t>
  </si>
  <si>
    <t>Baldosa tablón de gres liso 30 cm x 30 cm</t>
  </si>
  <si>
    <t>Bancas de concreto con espaldar</t>
  </si>
  <si>
    <t>Bisagra ala galvanizada 4"</t>
  </si>
  <si>
    <t>Bisagra ala galvanizada 5"</t>
  </si>
  <si>
    <t>Bisagra ala galvanizada 6"</t>
  </si>
  <si>
    <t>Bisagra cierre presión cobrizada 3 x 1 1/4"</t>
  </si>
  <si>
    <t>Bisagra cierre presión cobrizada 3"</t>
  </si>
  <si>
    <t>Bisagra cierre presión cobrizada 3x3"</t>
  </si>
  <si>
    <t>Bisagra de cobre 2 1/2"</t>
  </si>
  <si>
    <t>Bisagra de cobre 3 1/2"</t>
  </si>
  <si>
    <t>Bisagra de cobre 3"</t>
  </si>
  <si>
    <t>Bisagra de zinc 2 1/2" x 2 1/2"</t>
  </si>
  <si>
    <t>Bisagra de zinc 2x 2"</t>
  </si>
  <si>
    <t>Bisagra de zinc 3 1/2"x 3"</t>
  </si>
  <si>
    <t>Bisagra de zinc 3" x 2 1/2"</t>
  </si>
  <si>
    <t>Bisagra de zinc 3x 3"</t>
  </si>
  <si>
    <t>Bisagra omega 3"</t>
  </si>
  <si>
    <t>Bisagra tipo T 2"</t>
  </si>
  <si>
    <t>Bisagra tipo T 3"</t>
  </si>
  <si>
    <t>Bisagra tipo T 4"</t>
  </si>
  <si>
    <t>Bisagra tipo T 5"</t>
  </si>
  <si>
    <t>Bisagra tipo T 6"</t>
  </si>
  <si>
    <t>Blanco de zinc</t>
  </si>
  <si>
    <t>Bloque calado en arcilla 10 x 20 x 20 cm</t>
  </si>
  <si>
    <t>Bloque calado en arcilla 15 x 20 x 20 cm</t>
  </si>
  <si>
    <t>Bloque calado en arcilla tipo estrella 10 x 20 x 20 cm</t>
  </si>
  <si>
    <t>Bloque calado en cemento 10 x 20 x 20 cm</t>
  </si>
  <si>
    <t>Bloque calado en cemento 12 x 20 x 20 cm</t>
  </si>
  <si>
    <t>Bloque de cemento liso 40 x 20 x 12 cm</t>
  </si>
  <si>
    <t>Bloque de cemento liso 40 x 20 x 15 cm</t>
  </si>
  <si>
    <t>Bloque de cemento liso 40 x 20 x 20 cm</t>
  </si>
  <si>
    <t>Bloque estándar liso N° 4 30 x 20 x 10 cm</t>
  </si>
  <si>
    <t>Bloque estándar liso N° 5 30 x 20 x 12 cm</t>
  </si>
  <si>
    <t>Bloque estándar rayado N° 4 30 x 20 x 10 cm</t>
  </si>
  <si>
    <t>Bloque estándar rayado N° 5 30 x 20 x 12 cm</t>
  </si>
  <si>
    <t>Bloque farol N° 3 liso 25 x 18 x 8 cm</t>
  </si>
  <si>
    <t>Bloque farol N° 3 rayado 25 x 18 x 8 cm</t>
  </si>
  <si>
    <t>Bloque farol N° 6 liso 30 x 20 x 10 cm</t>
  </si>
  <si>
    <t>Bloque farol N° 6 rayado 30 x 20 x 10 cm</t>
  </si>
  <si>
    <t>Bloque tradicional N° 3 de 33 x 23 x 7 cm</t>
  </si>
  <si>
    <t>Bloque tradicional N° 4 de 33 x 23 x 9 cm</t>
  </si>
  <si>
    <t>Bloque tradicional N° 5 de 33 x 23 x 11 cm</t>
  </si>
  <si>
    <t>Bloquelon aligeranate 80 x 23 x 8 cm</t>
  </si>
  <si>
    <t>Bocel en madera ¼ de 2 cm x 2 cm x 3 m</t>
  </si>
  <si>
    <t>Bombillo ahorrador espiral 15 w</t>
  </si>
  <si>
    <t>Bombillo ahorrador espiral 26 w</t>
  </si>
  <si>
    <t>Bombillo ahorrador espiral 45 w</t>
  </si>
  <si>
    <t>Bombillo ahorrador tradicional 12 w</t>
  </si>
  <si>
    <t>Bombillo ahorrador tradicional 15 w</t>
  </si>
  <si>
    <t>Bombillo ahorrador tradicional 20 w</t>
  </si>
  <si>
    <t>Bombillo de Iluminación LED 15W Luz Blanca</t>
  </si>
  <si>
    <t>Bombillo de Iluminación LED 20W Luz Blanca</t>
  </si>
  <si>
    <t>Bombillo de Iluminación LED 40W Luz Blanca</t>
  </si>
  <si>
    <t>Bordillo Jardinero prefabricado 50 x 20 x 5cm</t>
  </si>
  <si>
    <t>Bordillo prefabricado 100 x 15 x 25,5cm</t>
  </si>
  <si>
    <t>Bordillo prefabricado 80 x 15 x 35cm</t>
  </si>
  <si>
    <t>Bordillo prefabricado BR-100</t>
  </si>
  <si>
    <t>Bordillo prefabricado SC-A80 80 x 20 x 35cm</t>
  </si>
  <si>
    <t>Brida sanitaria flexible</t>
  </si>
  <si>
    <t>Brida sanitaria rígida</t>
  </si>
  <si>
    <t>Brocha barniz 1 1/2"</t>
  </si>
  <si>
    <t>Brocha barniz 1"</t>
  </si>
  <si>
    <t>Brocha barniz 2 1/2"</t>
  </si>
  <si>
    <t>Brocha barniz 2"</t>
  </si>
  <si>
    <t>Brocha barniz 3"</t>
  </si>
  <si>
    <t>Brocha cerda mona 1"</t>
  </si>
  <si>
    <t>Brocha cerda mona 2"</t>
  </si>
  <si>
    <t>Brocha cerda mona 3"</t>
  </si>
  <si>
    <t>Brocha cerda mona 4"</t>
  </si>
  <si>
    <t>Brocha cerda mona 5"</t>
  </si>
  <si>
    <t>Buje roscado de presión en PVC 1 1/2"x 1"</t>
  </si>
  <si>
    <t>Buje roscado de presión en PVC 1 1/2"x 1/2"</t>
  </si>
  <si>
    <t>Buje roscado de presión en PVC 1 1/2"x 1/4"</t>
  </si>
  <si>
    <t>Buje roscado de presión en PVC 1 1/2"x 3/4"</t>
  </si>
  <si>
    <t>Buje roscado de presión en PVC 1 1/4"x 1"</t>
  </si>
  <si>
    <t>Buje roscado de presión en PVC 1 1/4"x 1/2"</t>
  </si>
  <si>
    <t>Buje roscado de presión en PVC 1 1/4"x 3/4"</t>
  </si>
  <si>
    <t>Buje roscado de presión en PVC 1"x 1/2"</t>
  </si>
  <si>
    <t>Buje roscado de presión en PVC 1"x 3/4"</t>
  </si>
  <si>
    <t>Buje roscado de presión en PVC 1/2"x 3/8"</t>
  </si>
  <si>
    <t>Buje roscado de presión en PVC 2"x 1 1/2"</t>
  </si>
  <si>
    <t>Buje roscado de presión en PVC 2"x 1 1/4"</t>
  </si>
  <si>
    <t>Buje roscado de presión en PVC 2"x 1"</t>
  </si>
  <si>
    <t>Buje roscado de presión en PVC 2"x 1/2"</t>
  </si>
  <si>
    <t>Buje roscado de presión en PVC 2"x 3/4"</t>
  </si>
  <si>
    <t>Buje roscado de presión en PVC 3"x 2"</t>
  </si>
  <si>
    <t>Buje roscado de presión en PVC 3/4"x 1/2"</t>
  </si>
  <si>
    <t>Buje soldado agua caliente en PVC 1"x 1/2"</t>
  </si>
  <si>
    <t>Buje soldado agua caliente en PVC 1"x 3/4"</t>
  </si>
  <si>
    <t>Buje soldado agua caliente en PVC 3/4"x 1/2"</t>
  </si>
  <si>
    <t>Buje soldado de presión en PVC 1 1/2"x 1 1/4"</t>
  </si>
  <si>
    <t>Buje soldado de presión en PVC 1 1/2"x 1"</t>
  </si>
  <si>
    <t>Buje soldado de presión en PVC 1 1/2"x 1/2"</t>
  </si>
  <si>
    <t>Buje soldado de presión en PVC 1 1/2"x 3/4"</t>
  </si>
  <si>
    <t>Buje soldado de presión en PVC 1 1/4"x 1"</t>
  </si>
  <si>
    <t>Buje soldado de presión en PVC 1 1/4"x 1/2"</t>
  </si>
  <si>
    <t>Buje soldado de presión en PVC 1 1/4"x 3/4"</t>
  </si>
  <si>
    <t>Buje soldado de presión en PVC 1"x 1/2"</t>
  </si>
  <si>
    <t>Buje soldado de presión en PVC 1"x 3/4"</t>
  </si>
  <si>
    <t>Buje soldado de presión en PVC 2 1/2"x 1 1/2"</t>
  </si>
  <si>
    <t>Buje soldado de presión en PVC 2 1/2"x 2"</t>
  </si>
  <si>
    <t>Buje soldado de presión en PVC 2"x 1 1/2"</t>
  </si>
  <si>
    <t>Buje soldado de presión en PVC 2"x 1 1/4"</t>
  </si>
  <si>
    <t>Buje soldado de presión en PVC 2"x 1"</t>
  </si>
  <si>
    <t>Buje soldado de presión en PVC 2"x 1/2"</t>
  </si>
  <si>
    <t>Buje soldado de presión en PVC 2"x 3/4"</t>
  </si>
  <si>
    <t>Buje soldado de presión en PVC 3"x 2 1/2"</t>
  </si>
  <si>
    <t>Buje soldado de presión en PVC 3"x 2"</t>
  </si>
  <si>
    <t>Buje soldado de presión en PVC 3/4"x 1/2"</t>
  </si>
  <si>
    <t>Buje soldado de presión en PVC 4"x 2 1/2"</t>
  </si>
  <si>
    <t>Buje soldado de presión en PVC 4"x 2"</t>
  </si>
  <si>
    <t>Buje soldado de presión en PVC 4"x 3"</t>
  </si>
  <si>
    <t>Buje soldado sanitaria en PVC 2"x 1 1/2"</t>
  </si>
  <si>
    <t>Buje soldado sanitaria en PVC 3"x 1 1/2"</t>
  </si>
  <si>
    <t>Buje soldado sanitaria en PVC 3"x 2"</t>
  </si>
  <si>
    <t>Buje soldado sanitaria en PVC 4"x 2"</t>
  </si>
  <si>
    <t>Buje soldado sanitaria en PVC 4"x 3"</t>
  </si>
  <si>
    <t>Buje soldado sanitaria en PVC 6"x 4"</t>
  </si>
  <si>
    <t>Caballete cubierta termo acústica A-360 marina trapezoidal 0.80 x 0.60 m x 2 ml cualquier color</t>
  </si>
  <si>
    <t>Caballete cubierta termo acústica A-360 trapezoidal 0.80 x 0.60 m x 2 ml cualquier color</t>
  </si>
  <si>
    <t>Caballete en fibrocemento</t>
  </si>
  <si>
    <t>Cable de acero galvanizado calibre 1/16" (guaya)</t>
  </si>
  <si>
    <t>Cable de acero galvanizado calibre 1/4" (guaya)</t>
  </si>
  <si>
    <t>Cable de acero galvanizado calibre 1/8" (guaya)</t>
  </si>
  <si>
    <t>Cable de acero galvanizado calibre 3/16" (guaya)</t>
  </si>
  <si>
    <t>Cable de acero galvanizado calibre 5/16" (guaya)</t>
  </si>
  <si>
    <t>Cable de cobre aislado THW 1/0</t>
  </si>
  <si>
    <t>Cable de cobre aislado THW 2/0</t>
  </si>
  <si>
    <t>Cable de cobre aislado THW 3/0</t>
  </si>
  <si>
    <t>Cable de cobre aislado THW 4/0</t>
  </si>
  <si>
    <t>Cable de cobre desnudo N° 2</t>
  </si>
  <si>
    <t>Cable de cobre desnudo N° 4</t>
  </si>
  <si>
    <t>Cable de cobre desnudo N° 6</t>
  </si>
  <si>
    <t>Cable de cobre desnudo N° 8</t>
  </si>
  <si>
    <t>Cable dúplex N° 14</t>
  </si>
  <si>
    <t>Cable dúplex N° 16</t>
  </si>
  <si>
    <t>Cable dúplex N° 18</t>
  </si>
  <si>
    <t>Cable encauchetado 2x10</t>
  </si>
  <si>
    <t>Cable encauchetado 2x12</t>
  </si>
  <si>
    <t>Cable encauchetado 2x14</t>
  </si>
  <si>
    <t>Cable encauchetado 2x16</t>
  </si>
  <si>
    <t>Cable encauchetado 2x18</t>
  </si>
  <si>
    <t>Cable encauchetado 3x10</t>
  </si>
  <si>
    <t>Cable encauchetado 3x12</t>
  </si>
  <si>
    <t>Cable encauchetado 3x14</t>
  </si>
  <si>
    <t>Cable encauchetado 3x16</t>
  </si>
  <si>
    <t>Cable encauchetado 3x18</t>
  </si>
  <si>
    <t>Cable siliconado calibre 12</t>
  </si>
  <si>
    <t>Cable siliconado calibre 14</t>
  </si>
  <si>
    <t>Cable siliconado calibre 16</t>
  </si>
  <si>
    <t>Cable THHN calibre 2 cualquier color</t>
  </si>
  <si>
    <t>Cable THHN calibre 4 cualquier color</t>
  </si>
  <si>
    <t>Cable THHN calibre 6 cualquier color</t>
  </si>
  <si>
    <t>Cable THHN calibre 8 cualquier color</t>
  </si>
  <si>
    <t>Caja Conduit PVC 5800 (2x4)</t>
  </si>
  <si>
    <t>Caja contador electrico</t>
  </si>
  <si>
    <t>Caja de paso con chapa 15 x 15 x 10 cm</t>
  </si>
  <si>
    <t>Caja de paso con chapa 15 x 20 x 10 cm</t>
  </si>
  <si>
    <t>Caja de paso con chapa 20 x 25 x 10 cm</t>
  </si>
  <si>
    <t>Caja doble Conduit PVC 107 x 107 x 48 mm</t>
  </si>
  <si>
    <t>Caja galvanizada 2400 calibre 20</t>
  </si>
  <si>
    <t>Caja galvanizada 5800 (2x4) calibre 20</t>
  </si>
  <si>
    <t>Caja octogonal Conduit PVC medidas 107 x 107 x 48 mm</t>
  </si>
  <si>
    <t>Caja para tacos de cuatro circuitos</t>
  </si>
  <si>
    <t>Caja para tacos de dos circuitos</t>
  </si>
  <si>
    <t>Caja para tacos de seis circuitos</t>
  </si>
  <si>
    <t>Caja para tacos de tres circuitos</t>
  </si>
  <si>
    <t>Caja plástica para llave de lavadora</t>
  </si>
  <si>
    <t>Canal para aguas lluvias tipo amazonas x 3 m</t>
  </si>
  <si>
    <t>Canal para aguas lluvias tipo raingo x 3 m</t>
  </si>
  <si>
    <t>Canal para aguas lluvias tipo romana x 3 m</t>
  </si>
  <si>
    <t>Canal para perfilería drywall para muros de 60mm x 0,46 mm x 2,40 m</t>
  </si>
  <si>
    <t>Caolín</t>
  </si>
  <si>
    <t>Casetón de guadua</t>
  </si>
  <si>
    <t>Casetón de lona</t>
  </si>
  <si>
    <t>Casetón en icopor</t>
  </si>
  <si>
    <t>Caucho granular</t>
  </si>
  <si>
    <t>Cemento blanco</t>
  </si>
  <si>
    <t>Cemento gris bulto x 50 kilogramos</t>
  </si>
  <si>
    <t>Cenefa en cerámica 8 cm x 30 cm</t>
  </si>
  <si>
    <t>Cenefa en Porcelanato 8 cm x 30 cm</t>
  </si>
  <si>
    <t>Cepillo de acero</t>
  </si>
  <si>
    <t>Cepillo de alambre</t>
  </si>
  <si>
    <t>Cerámica de pared o piso 20,5 x 20,5 (Referencia egeo)</t>
  </si>
  <si>
    <t>Cerámica de pared o piso trafico 5 de 20 x 20 cm</t>
  </si>
  <si>
    <t>Cerámica de pared o piso trafico 5 de 20 x 30 cm</t>
  </si>
  <si>
    <t>Cerámica de pared o piso trafico 5 de 25 x 25 cm</t>
  </si>
  <si>
    <t>Cerámica de pared o piso trafico 5 de 25 x 35 cm</t>
  </si>
  <si>
    <t>Cerámica de pared o piso trafico 5 de 30 x 30 cm</t>
  </si>
  <si>
    <t>Cerámica de pared o piso trafico 5 de 30 x 45 cm</t>
  </si>
  <si>
    <t>Cerámica de pared o piso trafico 5 de 33 x 33 cm</t>
  </si>
  <si>
    <t>Cerco de madera de 3 m</t>
  </si>
  <si>
    <t>Cerradura de manija para entrada, alcoba o baño (SATINADA, CROMADA MADERA)</t>
  </si>
  <si>
    <t>Chazo estriado 1/4"</t>
  </si>
  <si>
    <t>Chazo estriado 3/16"</t>
  </si>
  <si>
    <t>Chazo estriado 3/8"</t>
  </si>
  <si>
    <t>Chazo estriado 5/16"</t>
  </si>
  <si>
    <t>Chazo estriado de 1/4" con tornillo N° 8 X 1 1/2"</t>
  </si>
  <si>
    <t>Chazo expansivo de 3/8"</t>
  </si>
  <si>
    <t>Chazo expansivos de 1"</t>
  </si>
  <si>
    <t>Chazo liso 1/4"</t>
  </si>
  <si>
    <t>Chazo liso 3/16"</t>
  </si>
  <si>
    <t>Cheque horizontal 125 psi Diámetro 1/2"</t>
  </si>
  <si>
    <t>Cheque horizontal 125 psi Diámetro 1”</t>
  </si>
  <si>
    <t>Cheque horizontal 125 psi Diámetro 3/4”</t>
  </si>
  <si>
    <t>Cheque vertical 150 psi Diámetro 1"</t>
  </si>
  <si>
    <t>Cheque vertical 150 psi Diámetro 1/2"</t>
  </si>
  <si>
    <t>Cheque vertical 150 psi Diámetro 2"</t>
  </si>
  <si>
    <t>Cheque vertical 150 psi Diámetro 3/4"</t>
  </si>
  <si>
    <t>Chipa de acero corrugado. Diámetro de 1/4"</t>
  </si>
  <si>
    <t>Chipa de acero corrugado. Diámetro de 3/8"</t>
  </si>
  <si>
    <t>Cinta aislante 18 mm x 10 m</t>
  </si>
  <si>
    <t>Cinta aislante 18 mm x 15 m</t>
  </si>
  <si>
    <t>Cinta aislante 18 mm x 5 m</t>
  </si>
  <si>
    <t>Cinta aislante 19 mm x 20 m</t>
  </si>
  <si>
    <t>Cinta aislante súper 33 de 19 mm x 20 m</t>
  </si>
  <si>
    <t>Cinta antideslizante negra o blanca de 25 mm x 5 m</t>
  </si>
  <si>
    <t>Cinta de enmascarar 12 mm x 40 m</t>
  </si>
  <si>
    <t>Cinta de enmascarar 18 mm x 40 m</t>
  </si>
  <si>
    <t>Cinta de enmascarar 24 mm x 40 m</t>
  </si>
  <si>
    <t>Cinta de enmascarar 36 mm x 40 m</t>
  </si>
  <si>
    <t>Cinta de enmascarar 48 mm x 40 m</t>
  </si>
  <si>
    <t>Cinta de fibra de vidrio para drywall de 20 m x 50 mm</t>
  </si>
  <si>
    <t>Cinta de fibra de vidrio para drywall de 45 m x 50 mm</t>
  </si>
  <si>
    <t>Cinta de fibra de vidrio para drywall de 90 m x 50 mm</t>
  </si>
  <si>
    <t>Cinta de papel para drywall de 30 m x 50 mm</t>
  </si>
  <si>
    <t>Cinta de papel para drywall de 75 m x 50 mm</t>
  </si>
  <si>
    <t>Cinta metálica para drywall de 30 m x 50 mm</t>
  </si>
  <si>
    <t>Cinta para rotuladora dymo, de 1/2" metálica blanca</t>
  </si>
  <si>
    <t>Cinta para rotuladora dymo, de 1/2" plástica amarilla</t>
  </si>
  <si>
    <t>Cinta precaución rollo x 50 m</t>
  </si>
  <si>
    <t>Cinta sellante para agua de 1" x 10 m</t>
  </si>
  <si>
    <t>Cinta sellante para agua de 1/2" x 10 m</t>
  </si>
  <si>
    <t>Cinta sellante para agua de 3/4" x 10 m</t>
  </si>
  <si>
    <t>Cinta sellante para gas de 1/2" x 10 m</t>
  </si>
  <si>
    <t>Cinta sellante para gas de 3/4" x 10 m</t>
  </si>
  <si>
    <t>Clavo acero estriado vertical 1 1/2" caja x 500 gr</t>
  </si>
  <si>
    <t>Clavo acero estriado vertical 2 1/2" caja x 500 gr</t>
  </si>
  <si>
    <t>Clavo acero estriado vertical 2" caja x 500 gr</t>
  </si>
  <si>
    <t>Clavo acero estriado vertical 3" caja x 500 gr</t>
  </si>
  <si>
    <t>Clavo acero liso 1 1/2" caja x 500 gr</t>
  </si>
  <si>
    <t>Clavo acero liso 1" caja x 500 gr</t>
  </si>
  <si>
    <t>Clavo acero liso 2 1/2" caja x 500 gr</t>
  </si>
  <si>
    <t>Clavo acero liso 2" caja x 500 gr</t>
  </si>
  <si>
    <t>Clavo acero liso 3/4" caja x 500 gr</t>
  </si>
  <si>
    <t>Clavo techo tradicional para zinc 2 ½caja x 500 gr</t>
  </si>
  <si>
    <t>Codo 45° agua caliente PVC. Diámetro de 1"</t>
  </si>
  <si>
    <t>Codo 45° agua caliente PVC. Diámetro de 1/2"</t>
  </si>
  <si>
    <t>Codo 45° agua caliente PVC. Diámetro de 3/4"</t>
  </si>
  <si>
    <t>Codo 45° presión PVC. Diámetro de 1 1/2"</t>
  </si>
  <si>
    <t>Codo 45° presión PVC. Diámetro de 1 1/4"</t>
  </si>
  <si>
    <t>Codo 45° presión PVC. Diámetro de 1"</t>
  </si>
  <si>
    <t>Codo 45° presión PVC. Diámetro de 1/2"</t>
  </si>
  <si>
    <t>Codo 45° presión PVC. Diámetro de 2 1/2"</t>
  </si>
  <si>
    <t>Codo 45° presión PVC. Diámetro de 2"</t>
  </si>
  <si>
    <t>Codo 45° presión PVC. Diámetro de 3"</t>
  </si>
  <si>
    <t>Codo 45° presión PVC. Diámetro de 3/4"</t>
  </si>
  <si>
    <t>Codo 45° presión PVC. Diámetro de 4"</t>
  </si>
  <si>
    <t>Codo 45°-1/8 CXC sanitario PVC. Diámetro de 1 1/2"</t>
  </si>
  <si>
    <t>Codo 45°-1/8 CXC sanitario PVC. Diámetro de 2"</t>
  </si>
  <si>
    <t>Codo 45°-1/8 CXC sanitario PVC. Diámetro de 3"</t>
  </si>
  <si>
    <t>Codo 45°-1/8 CXC sanitario PVC. Diámetro de 4"</t>
  </si>
  <si>
    <t>Codo 45°-1/8 CXC sanitario PVC. Diámetro de 6"</t>
  </si>
  <si>
    <t>Codo 45°-1/8 CXE sanitario PVC. Diámetro de 1 1/2"</t>
  </si>
  <si>
    <t>Codo 45°-1/8 CXE sanitario PVC. Diámetro de 2"</t>
  </si>
  <si>
    <t>Codo 45°-1/8 CXE sanitario PVC. Diámetro de 3"</t>
  </si>
  <si>
    <t>Codo 45°-1/8 CXE sanitario PVC. Diámetro de 4"</t>
  </si>
  <si>
    <t>Codo 45°-1/8 CXE sanitario PVC. Diámetro de 6"</t>
  </si>
  <si>
    <t>Codo 90° agua caliente PVC. Diámetro de 1"</t>
  </si>
  <si>
    <t>Codo 90° agua caliente PVC. Diámetro de 1/2"</t>
  </si>
  <si>
    <t>Codo 90° agua caliente PVC. Diámetro de 3/4"</t>
  </si>
  <si>
    <t>Codo 90° presión PVC. Diámetro de 1 1/2"</t>
  </si>
  <si>
    <t>Codo 90° presión PVC. Diámetro de 1 1/4"</t>
  </si>
  <si>
    <t>Codo 90° presión PVC. Diámetro de 1"</t>
  </si>
  <si>
    <t>Codo 90° presión PVC. Diámetro de 1/2"</t>
  </si>
  <si>
    <t>Codo 90° presión PVC. Diámetro de 2 1/2"</t>
  </si>
  <si>
    <t>Codo 90° presión PVC. Diámetro de 2"</t>
  </si>
  <si>
    <t>Codo 90° presión PVC. Diámetro de 3"</t>
  </si>
  <si>
    <t>Codo 90° presión PVC. Diámetro de 3/4"</t>
  </si>
  <si>
    <t>Codo 90° presión PVC. Diámetro de 4"</t>
  </si>
  <si>
    <t>Codo 90°-1/4 CXC sanitario PVC. Diámetro de 1 1/2"</t>
  </si>
  <si>
    <t>Codo 90°-1/4 CXC sanitario PVC. Diámetro de 2"</t>
  </si>
  <si>
    <t>Codo 90°-1/4 CXC sanitario PVC. Diámetro de 3"</t>
  </si>
  <si>
    <t>Codo 90°-1/4 CXC sanitario PVC. Diámetro de 4"</t>
  </si>
  <si>
    <t>Codo 90°-1/4 CXC sanitario PVC. Diámetro de 6"</t>
  </si>
  <si>
    <t>Codo 90°-1/4 CXE sanitario PVC. Diámetro de 1 1/2"</t>
  </si>
  <si>
    <t>Codo 90°-1/4 CXE sanitario PVC. Diámetro de 2"</t>
  </si>
  <si>
    <t>Codo 90°-1/4 CXE sanitario PVC. Diámetro de 3"</t>
  </si>
  <si>
    <t>Codo 90°-1/4 CXE sanitario PVC. Diámetro de 4"</t>
  </si>
  <si>
    <t>Codo 90°-1/4 CXE sanitario PVC. Diámetro de 6"</t>
  </si>
  <si>
    <t>Codo Bajante 45°</t>
  </si>
  <si>
    <t>Codo Bajante 90°</t>
  </si>
  <si>
    <t>Codo reventilado sanitario PVC. Diámetro 3 x 2</t>
  </si>
  <si>
    <t>Codo reventilado sanitario PVC. Diámetro 4 x 2</t>
  </si>
  <si>
    <t>Combo sanitario, incluye: taza, tanque, asiento, lavamanos, incrustaciones, grifería (institucional, Referencia acuacer, acuaplus o equivalente)</t>
  </si>
  <si>
    <t>Conector de resorte hasta 16 mm</t>
  </si>
  <si>
    <t>Conector de resorte tipo Scotchlok™ 10-12</t>
  </si>
  <si>
    <t>Cornisa PVC Accesorios cielo raso en PVC 2,90 mt</t>
  </si>
  <si>
    <t>Cortina para garaje metálica</t>
  </si>
  <si>
    <t>Cruceta Plástica Juntas 3mm paquete x 200un</t>
  </si>
  <si>
    <t>Cruceta Plástica Juntas 5mm paquete x 100un</t>
  </si>
  <si>
    <t>Cuartón en madera amarillo 2" x 4"</t>
  </si>
  <si>
    <t>Cuartón en madera común 1 1/2” x 3 1/2"</t>
  </si>
  <si>
    <t>Cuartón en madera común 4” x 8”</t>
  </si>
  <si>
    <t>Cuartón en madera común 5” x 10”</t>
  </si>
  <si>
    <t>Cuartón en madera común de 2” x 2"</t>
  </si>
  <si>
    <t>Cuartón en madera Otobo 2" x 4"</t>
  </si>
  <si>
    <t>Curador para concreto y mortero en ambiente normal blanco X 20 Kilogramos</t>
  </si>
  <si>
    <t>Curador para concreto y mortero en ambiente normal rojo X 16 Kilogramos</t>
  </si>
  <si>
    <t>Curva 90° CXE Conduit PVC. Diámetro de 1 1/2"</t>
  </si>
  <si>
    <t>Curva 90° CXE Conduit PVC. Diámetro de 1 1/4"</t>
  </si>
  <si>
    <t>Curva 90° CXE Conduit PVC. Diámetro de 1"</t>
  </si>
  <si>
    <t>Curva 90° CXE Conduit PVC. Diámetro de 1/2"</t>
  </si>
  <si>
    <t>Curva 90° CXE Conduit PVC. Diámetro de 2"</t>
  </si>
  <si>
    <t>Curva 90° CXE Conduit PVC. Diámetro de 3/4"</t>
  </si>
  <si>
    <t>Curva galvanizada EMT. Diámetro de 1"</t>
  </si>
  <si>
    <t>Curva galvanizada EMT. Diámetro de 1/2"</t>
  </si>
  <si>
    <t>Curva galvanizada EMT. Diámetro de 3/4"</t>
  </si>
  <si>
    <t>Desformaleteante para desencofre de concreto para desencofrar 20 kilos</t>
  </si>
  <si>
    <t>Dilatación en aluminio 5 mm x 3 m</t>
  </si>
  <si>
    <t>Disco de pulidora diamantado continuo 4 1/2"</t>
  </si>
  <si>
    <t>Disco de pulidora diamantado continuo 7"</t>
  </si>
  <si>
    <t>Disco de pulidora diamantado continuo 9"</t>
  </si>
  <si>
    <t>Disco de pulidora diamantado segmentado 4 1/2"</t>
  </si>
  <si>
    <t>Disco de pulidora diamantado segmentado 7"</t>
  </si>
  <si>
    <t>Disco de pulidora diamantado segmentado 9"</t>
  </si>
  <si>
    <t>Ducha sencilla, incluye: grifería (Referencia Balta o equivalente)</t>
  </si>
  <si>
    <t>Elastosil bronco blanco 1/4</t>
  </si>
  <si>
    <t>Electrobomba centrifuga 1 HP (Pedrollo o equivalente)</t>
  </si>
  <si>
    <t>Esmalte para madera y metal</t>
  </si>
  <si>
    <t>Esmalte para uso exterior</t>
  </si>
  <si>
    <t>Esmalte para uso interior</t>
  </si>
  <si>
    <t>Espejo 4mm incoloro</t>
  </si>
  <si>
    <t>Estuco plástico listo para interiores (pasta)</t>
  </si>
  <si>
    <t>Estuco plástico listo para interiores (polvo)</t>
  </si>
  <si>
    <t>Fachaleta en arcilla dos caras limpias de 24 x 6,5 x 5 cm</t>
  </si>
  <si>
    <t>Gancho para canaleta 90</t>
  </si>
  <si>
    <t>Gancho para teja de fibrocemento</t>
  </si>
  <si>
    <t>Gancho para teja termo acústica</t>
  </si>
  <si>
    <t>Geotextil 1800 No Tejido Ancho 3.50 m</t>
  </si>
  <si>
    <t>Geotextil 2000 No Tejido Ancho 3.50 m</t>
  </si>
  <si>
    <t>Grama sintetica blanca para demarcacion</t>
  </si>
  <si>
    <t>Grama sintetica verde</t>
  </si>
  <si>
    <t>Graniplast esgrafiado (Pintuco o equivalente) cualquier color</t>
  </si>
  <si>
    <t>Granito N° 2</t>
  </si>
  <si>
    <t>Granito N° 3</t>
  </si>
  <si>
    <t>Grapa tensora para hilos en replanteo</t>
  </si>
  <si>
    <t>Grata de alambre</t>
  </si>
  <si>
    <t>Grata pulidora en hilo de 2 1/2"</t>
  </si>
  <si>
    <t>Grata pulidora en hilo de 3"</t>
  </si>
  <si>
    <t>Grata pulidora plana entorchada de 4"x 5/8"</t>
  </si>
  <si>
    <t>Grata pulidora plana entorchada de 6"x 5/8"</t>
  </si>
  <si>
    <t>Grata pulidora trenzado de 2 1/2"</t>
  </si>
  <si>
    <t>Grata pulidora trenzado de 3"</t>
  </si>
  <si>
    <t>Grava triturada 3/4"</t>
  </si>
  <si>
    <t>Grifería para ducha con un mezclador (Referencia marruecos, piscis o equivalente)</t>
  </si>
  <si>
    <t>Grifería sanitaria hidrostática</t>
  </si>
  <si>
    <t>Grifo 1/2"</t>
  </si>
  <si>
    <t>Guadua rolliza diámetro 10 cm x 3 m</t>
  </si>
  <si>
    <t>Guadua rolliza diámetro 12 cm x 5 m</t>
  </si>
  <si>
    <t>Guadua sobre basa diámetro 10 cm x 4 m</t>
  </si>
  <si>
    <t>Guadua sobre basa diámetro 12 cm x 5 m</t>
  </si>
  <si>
    <t>Guante de lona y látex amarillo todo uso</t>
  </si>
  <si>
    <t>Guante de lona y puntos PVC todo uso</t>
  </si>
  <si>
    <t>Guarda escoba (Referencia Corindón Corona o equivalente)</t>
  </si>
  <si>
    <t>Hidrosello canal</t>
  </si>
  <si>
    <t>Hilaza de algodón</t>
  </si>
  <si>
    <t>Hilaza de algodón x kilogramo</t>
  </si>
  <si>
    <t>Hojas de segueta</t>
  </si>
  <si>
    <t>Impermeabilizante (asfáltico anticorrosivo de alto poder adhesivo) x 16kg</t>
  </si>
  <si>
    <t>Impermeabilizante (asfáltico anticorrosivo de alto poder adhesivo) x 3kg</t>
  </si>
  <si>
    <t>Impermeabilizante (asfáltico anticorrosivo) x 3,5 kg</t>
  </si>
  <si>
    <t>Impermeabilizante (emulsión aniónica con base en asfalto refinado) cubierta x 20kg</t>
  </si>
  <si>
    <t>Impermeabilizante (emulsión aniónica con base en asfalto refinado) cubierta x 3,5kg</t>
  </si>
  <si>
    <t>Impermeabilizante Base Agua Siliconado. Uso Ladrillo A La Vista 1 Componente Transparente* Gln</t>
  </si>
  <si>
    <t>Impermeabilizante integral para morteros x 2 kg</t>
  </si>
  <si>
    <t>Impermeabilizante integral para morteros x 20 kg</t>
  </si>
  <si>
    <t>Incrustaciones sanitarias en cerámica, incluye (porta papel, jabonera, gancho y toallero)</t>
  </si>
  <si>
    <t>Inmunizante incoloro para madera</t>
  </si>
  <si>
    <t>Inmunizante Maderas // LITRO</t>
  </si>
  <si>
    <t>Interruptor conmutable doble</t>
  </si>
  <si>
    <t>Interruptor conmutable sencillo</t>
  </si>
  <si>
    <t>Interruptor conmutable triple</t>
  </si>
  <si>
    <t>Interruptor doble</t>
  </si>
  <si>
    <t>Interruptor sencillo</t>
  </si>
  <si>
    <t>Interruptor triple</t>
  </si>
  <si>
    <t>Laca para madera transparente</t>
  </si>
  <si>
    <t>Ladrillo común recocido 20 cm x 10 cm x 6 cm</t>
  </si>
  <si>
    <t>Ladrillo de fachada prensado 24 x 12 x 5,5 cm</t>
  </si>
  <si>
    <t>Ladrillo de fachada prensado 24 x 5,5 x 12 cm</t>
  </si>
  <si>
    <t>Ladrillo de fachada prensado liviano 24 x 12 x 6 cm</t>
  </si>
  <si>
    <t>Ladrillo estructural 24 x 12 x 6,5 cm</t>
  </si>
  <si>
    <t>Ladrillo estructural 29 x 12 x 10 cm</t>
  </si>
  <si>
    <t>Ladrillo refractario 24 x 12,5 x 4 cm</t>
  </si>
  <si>
    <t>Ladrillo refractario 24 x 12,5 x 6,5cm</t>
  </si>
  <si>
    <t>Ladrillo rejilla 24 x 6 x 12 cm</t>
  </si>
  <si>
    <t>Ladrillo rejilla 24 x 7 x 12 cm</t>
  </si>
  <si>
    <t>Ladrillo sucio común 20 cm x 10 cm x 6 cm</t>
  </si>
  <si>
    <t>Lamina acrílica de 120 x 180 cm</t>
  </si>
  <si>
    <t>Lamina acrílica de 60 x 120 cm</t>
  </si>
  <si>
    <t>Lamina acrílica de 61 x 122 cm</t>
  </si>
  <si>
    <t>Lamina Cold rolled cal. 12 100 x 200 cm</t>
  </si>
  <si>
    <t>Lamina Cold rolled cal. 14 100 x 200 cm</t>
  </si>
  <si>
    <t>Lamina Cold rolled cal. 16 100 x 200 cm</t>
  </si>
  <si>
    <t>Lamina Cold rolled cal. 18 100 x 200 cm</t>
  </si>
  <si>
    <t>Lamina Cold rolled cal. 20 100 x 200 cm</t>
  </si>
  <si>
    <t>Lamina Cold rolled cal. 20 122 x 244 cm</t>
  </si>
  <si>
    <t>Lamina Cold rolled cal. 22 122 x 244 cm</t>
  </si>
  <si>
    <t>Lamina Cold rolled cal. 24 122 x 244 cm</t>
  </si>
  <si>
    <t>Lamina de fibrocemento 8mm 122 x 244 cm</t>
  </si>
  <si>
    <t>Lamina de Hierro Alfajor 3,0 mm</t>
  </si>
  <si>
    <t>Lamina de Hierro Alfajor 4,0 mm</t>
  </si>
  <si>
    <t>Lámina de metaldeck Metaldeck 2pg 940x6100mm Cal.22 0.75mm</t>
  </si>
  <si>
    <t>Lamina de triplex 18 mm 122 x 244 cm</t>
  </si>
  <si>
    <t>Lamina de triplex 4 mm 122 x 244 cm</t>
  </si>
  <si>
    <t>Lamina de triplex 9 mm 122 x 244 cm</t>
  </si>
  <si>
    <t>Lamina galvanizada cal. 12 100 x 200 cm</t>
  </si>
  <si>
    <t>Lamina galvanizada cal. 14 100 x 200 cm</t>
  </si>
  <si>
    <t>Lamina galvanizada cal. 16 100 x 200 cm</t>
  </si>
  <si>
    <t>Lamina galvanizada cal. 18 100 x 200 cm</t>
  </si>
  <si>
    <t>Lamina galvanizada cal. 20 100 x 200 cm</t>
  </si>
  <si>
    <t>Lamina galvanizada cal. 20 122 x 244 cm</t>
  </si>
  <si>
    <t>Lamina galvanizada cal. 22 122 x 244 cm</t>
  </si>
  <si>
    <t>Lamina galvanizada cal. 24 122 x 244 cm</t>
  </si>
  <si>
    <t>Lámpara fluorescente 60 x 60 cm T8 de incrustar o sobreponer</t>
  </si>
  <si>
    <t>Lavadero prefabricado con tanque prefabricado de 1,20cm x 0.80cm</t>
  </si>
  <si>
    <t>Lavamanos con pedestal</t>
  </si>
  <si>
    <t>Lavamanos de colgar (Referencia Avanti o equivalente)</t>
  </si>
  <si>
    <t>Lavaplatos acero inoxidable doble poceta, 50 cm x 100 cm.</t>
  </si>
  <si>
    <t>Lavaplatos acero inoxidable incluye escurridero 50 cm x 1,20 cm</t>
  </si>
  <si>
    <t>Lavaplatos acero inoxidable, 40 cm x 60 cm.</t>
  </si>
  <si>
    <t>Lavaplatos en aluminio, 40 cm x 60 cm.</t>
  </si>
  <si>
    <t>Lija de agua grano 120</t>
  </si>
  <si>
    <t>Lija de agua grano 1200</t>
  </si>
  <si>
    <t>Lija de agua grano 150</t>
  </si>
  <si>
    <t>Lija de agua grano 180</t>
  </si>
  <si>
    <t>Lija de agua grano 220</t>
  </si>
  <si>
    <t>Lija de agua grano 320</t>
  </si>
  <si>
    <t>Lija de agua grano 400</t>
  </si>
  <si>
    <t>Lija de agua grano 80</t>
  </si>
  <si>
    <t>Lija seca grano 120</t>
  </si>
  <si>
    <t>Lija seca grano 150</t>
  </si>
  <si>
    <t>Lija seca grano 180</t>
  </si>
  <si>
    <t>Lija seca grano 220</t>
  </si>
  <si>
    <t>Lija seca grano 320</t>
  </si>
  <si>
    <t>Lija seca grano 80</t>
  </si>
  <si>
    <t>Limatesa o limahoya terminal fibrocemento</t>
  </si>
  <si>
    <t>Limpiador PVC 1/4 galón</t>
  </si>
  <si>
    <t>Limpiador PVC 1/8 galón</t>
  </si>
  <si>
    <t>Listón de madera 1" x 2" para formaleta (gualanday o chingale)</t>
  </si>
  <si>
    <t>Listón de madera 2" x 1/2"</t>
  </si>
  <si>
    <t>Listón de madera 2" x 2" para formaleta (gualanday o chingale)</t>
  </si>
  <si>
    <t>Listón de madera 2"x 2"</t>
  </si>
  <si>
    <t>Listón de madera 2"x 8"</t>
  </si>
  <si>
    <t>Listón de madera abarco de 0,05 cm x 0,10 cm</t>
  </si>
  <si>
    <t>Listón de madera fina canteada 2" x 8"</t>
  </si>
  <si>
    <t>Listón de madera fina zapán 2" x 4"</t>
  </si>
  <si>
    <t>Listón de madera Otobo 1"x 4"</t>
  </si>
  <si>
    <t>Listón de madera Otobo 2"x 2"</t>
  </si>
  <si>
    <t>Llave cocina extensión cromada</t>
  </si>
  <si>
    <t>Llave de Paso Metálica de 1"</t>
  </si>
  <si>
    <t>Llave de Paso Metálica de 1/2"</t>
  </si>
  <si>
    <t>Llave de Paso Metálica de 3/4"</t>
  </si>
  <si>
    <t>Llave terminal cobre de 1/2"</t>
  </si>
  <si>
    <t>Llave terminal con rosca para manguera de 1/2"</t>
  </si>
  <si>
    <t>Llave terminal cromada de 1/2"</t>
  </si>
  <si>
    <t>Llave terminal plástica de 1/2"</t>
  </si>
  <si>
    <t>Loseta de Micro Grano de Mármol gris y de colores 40x40x4,5 cm</t>
  </si>
  <si>
    <t>Madera machimbre en amarillo</t>
  </si>
  <si>
    <t>Madera machimbre en pino</t>
  </si>
  <si>
    <t>Malla de acero electrosoldada abertura de 15x15 grafil 4 mm</t>
  </si>
  <si>
    <t>Malla de nylon cal. 4 huecos de 12 cms para cerramiento Deportivos</t>
  </si>
  <si>
    <t>Malla eslabonada altura 1,50 m hueco de 2 1/4" x 2 1/4"</t>
  </si>
  <si>
    <t>Malla eslabonada altura 1,80 m hueco de 2 1/4" x 2 1/4"</t>
  </si>
  <si>
    <t>Malla eslabonada altura 2,0 m hueco de 2 1/4" x 2 1/4"</t>
  </si>
  <si>
    <t>Malla gallinero alambre galvanizado hueco 1 1/4" ancho 0,90 m</t>
  </si>
  <si>
    <t>Malla gallinero alambre galvanizado hueco 1 1/4" ancho 1,50 m</t>
  </si>
  <si>
    <t>Malla gallinero alambre galvanizado hueco 1 1/4" ancho 1,80 m</t>
  </si>
  <si>
    <t>Malla gallinero plástica hueco 25 mm x 30 mm ancho 1,80 m</t>
  </si>
  <si>
    <t>Malla mosquito ancho 0,90 m hueco de 14 mm x 14 mm</t>
  </si>
  <si>
    <t>MALLA PARA ZARANDA 3 mm x 3 mm</t>
  </si>
  <si>
    <t>MALLA PARA ZARANDA 4mm x 4 mm</t>
  </si>
  <si>
    <t>Malla techo nylon 1mm, tamaño de ojo 10cms</t>
  </si>
  <si>
    <t>Manguera Bicolor</t>
  </si>
  <si>
    <t>Manguera plástica 150 libras de presión 2"</t>
  </si>
  <si>
    <t>Manguera plástica 150 libras de presión 3"</t>
  </si>
  <si>
    <t>MANILA 1/2"</t>
  </si>
  <si>
    <t>MANILA 5/8"</t>
  </si>
  <si>
    <t>MANILA DE POLIPROPILENO 1"</t>
  </si>
  <si>
    <t>MANILA DE POLIPROPILENO 1/2"</t>
  </si>
  <si>
    <t>MANILA DE POLIPROPILENO 3/4"</t>
  </si>
  <si>
    <t>MANILA DE POLIPROPILENO 3/8"</t>
  </si>
  <si>
    <t>MANILA DE POLIPROPILENO 5/8"</t>
  </si>
  <si>
    <t>Manto Asfaltico con foil - 1,10 metros de ancho x 9,10 metros de largo</t>
  </si>
  <si>
    <t>Marco de puerta en madera ancho 10 cm</t>
  </si>
  <si>
    <t>Marco de puerta en madera ancho 12 cm</t>
  </si>
  <si>
    <t>Marco de puerta en madera ancho 7 cm</t>
  </si>
  <si>
    <t>Marco de puerta en madera ancho 8 cm</t>
  </si>
  <si>
    <t>Marco para caja de inspección 0,60 m x 0,60 m</t>
  </si>
  <si>
    <t>Marco para segueta fijo</t>
  </si>
  <si>
    <t>Masilla plástica para exteriores</t>
  </si>
  <si>
    <t>Masilla plástica para interiores</t>
  </si>
  <si>
    <t>Mineral para marcar cualquier color</t>
  </si>
  <si>
    <t>Mortero impermeable para emboquillar juntas entre enchapes (binda boquilla)</t>
  </si>
  <si>
    <t>Mortero listo seco impermeable</t>
  </si>
  <si>
    <t>Mortero listo seco para mampostería</t>
  </si>
  <si>
    <t>Mortero listo seco para pisos</t>
  </si>
  <si>
    <t>Niple barril galvanizado 1"</t>
  </si>
  <si>
    <t>Niple barril galvanizado 1/2"</t>
  </si>
  <si>
    <t>Niple barril galvanizado 3/4"</t>
  </si>
  <si>
    <t>Niple barril galvanizado 3/8"</t>
  </si>
  <si>
    <t>Niple galvanizado 1/2" x 10 cm</t>
  </si>
  <si>
    <t>Niple galvanizado 1/2" x 2,5 cm</t>
  </si>
  <si>
    <t>Niple galvanizado 1/2" x 3 cm</t>
  </si>
  <si>
    <t>Niple galvanizado 1/2" x 4 cm</t>
  </si>
  <si>
    <t>Niple galvanizado 1/2" x 5 cm</t>
  </si>
  <si>
    <t>Niple galvanizado 1/2" x 6 cm</t>
  </si>
  <si>
    <t>Niple galvanizado 1/2" x 7 cm</t>
  </si>
  <si>
    <t>Niple galvanizado 1/2" x 8 cm</t>
  </si>
  <si>
    <t>Niple roscado presión PVC. Diámetro 1/2"</t>
  </si>
  <si>
    <t>Orinal grande incluye fluxómetro</t>
  </si>
  <si>
    <t>Orinal infantil incluye fluxómetro</t>
  </si>
  <si>
    <t>Paral en madera 0.05 x 0.08</t>
  </si>
  <si>
    <t>Parales para perfilería drywall</t>
  </si>
  <si>
    <t>Pasta profesional para uso interior (Referencia Mastique emulsionado)</t>
  </si>
  <si>
    <t>Pegante bicomponente</t>
  </si>
  <si>
    <t>Pegante industrial AXW x galón</t>
  </si>
  <si>
    <t>Perfil circular metálico galvanizado de 4"e= 4mm x 6 metros</t>
  </si>
  <si>
    <t>Perfil en aluminio para remate de enchape 10 mm x 2,5 metros</t>
  </si>
  <si>
    <t>Perfil en C dimensión 100 x 50 mm espesor 1.2 mm x 6 metros</t>
  </si>
  <si>
    <t>Perfil en C dimensión 100 x 50 mm espesor 1.5 mm x 6 metros</t>
  </si>
  <si>
    <t>Perfil en C dimensión 100 x 50 mm espesor 1.5 mm x 6 metros galvanizado</t>
  </si>
  <si>
    <t>Perfil en C dimensión 100 x 50 mm espesor 2.0 mm x 6 metros</t>
  </si>
  <si>
    <t>Perfil en C dimensión 120 x 50 mm espesor 1.5 mm x 6 metros</t>
  </si>
  <si>
    <t>Perfil en C dimensión 120 x 50 mm espesor 2.0 mm x 6 metros</t>
  </si>
  <si>
    <t>Perfil en C dimensión 120 x 60 mm espesor 1.2 mm x 6 metros</t>
  </si>
  <si>
    <t>Perfil en C dimensión 150 x 50 mm espesor 1.2 mm x 6 metros</t>
  </si>
  <si>
    <t>Perfil en C dimensión 150 x 50 mm espesor 1.5 mm x 6 metros</t>
  </si>
  <si>
    <t>Perfil en C dimensión 150 x 50 mm espesor 2.0 mm x 6 metros</t>
  </si>
  <si>
    <t>Perfil en C dimensión 220 x 80 mm espesor 2.0 mm x 6 metros</t>
  </si>
  <si>
    <t>Perfil en C dimensión 220 x 80 mm espesor 2.5 mm x 6 metros</t>
  </si>
  <si>
    <t>Perfil entrepiso negro espesor 1.5 mm dimensión 90 x 130 mm x 6m</t>
  </si>
  <si>
    <t>Perfil entrepiso negro galvanizado espesor 1.5 mm dimensión 90 x 130 mm x 6m</t>
  </si>
  <si>
    <t>Perfil para cielo raso en aluminio</t>
  </si>
  <si>
    <t>Perfil tipo omega para drywall</t>
  </si>
  <si>
    <t>Perfil tipo vigueta para drywall</t>
  </si>
  <si>
    <t>Pernos para amarre en zinc tipo U</t>
  </si>
  <si>
    <t>Pernos para amarre perforante</t>
  </si>
  <si>
    <t>Pernos para amarre tipo ojo</t>
  </si>
  <si>
    <t>Piedra china N° 2</t>
  </si>
  <si>
    <t>Piedra china N° 2 1/2"</t>
  </si>
  <si>
    <t>Piedra china N° 3</t>
  </si>
  <si>
    <t>Piedra de rio</t>
  </si>
  <si>
    <t>Piedra media zonga</t>
  </si>
  <si>
    <t>Pintura a base de agua Esmaltes cualquier color</t>
  </si>
  <si>
    <t>Pintura a base de agua para uso exterior Koraza cualquier color</t>
  </si>
  <si>
    <t>Pintura a base de agua para uso interior Vinilo Tipo 1 cualquier color</t>
  </si>
  <si>
    <t>Pintura para demarcación cualquier color</t>
  </si>
  <si>
    <t>Pintura tipo epóxica para concreto cualquier color</t>
  </si>
  <si>
    <t>Piola delgada</t>
  </si>
  <si>
    <t>Piola gruesa</t>
  </si>
  <si>
    <t>PITORRA PARA MANGUERA COBRE</t>
  </si>
  <si>
    <t>PITORRA PARA MANGUERA PLASTICA</t>
  </si>
  <si>
    <t>Placa de Yeso Laminado 1/2" 1.22x2.44m 12.7mm</t>
  </si>
  <si>
    <t>Plafon o roseta de losa</t>
  </si>
  <si>
    <t>Plancha metálica calibre 3/16 con marco de acero para cocina sin humo de 20 cm*40 cm (Plancha de 2 puestos - hembra y macho 28-30)</t>
  </si>
  <si>
    <t>Plástico color negro Calibre 10</t>
  </si>
  <si>
    <t>Plástico color negro Calibre 8</t>
  </si>
  <si>
    <t>Platina de espesor 1/4" ancho 1 1/2"</t>
  </si>
  <si>
    <t>Platina de espesor 1/4" ancho 3/4"</t>
  </si>
  <si>
    <t>Platina de espesor 1/8" ancho 1 1/2"</t>
  </si>
  <si>
    <t>Platina de espesor 1/8" ancho 1"</t>
  </si>
  <si>
    <t>Platina de espesor 1/8" ancho 1/2"</t>
  </si>
  <si>
    <t>Platina de espesor 1/8" ancho 2"</t>
  </si>
  <si>
    <t>Platina de espesor 3/16" ancho 1 1/2"</t>
  </si>
  <si>
    <t>Platina de espesor 3/16" ancho 1"</t>
  </si>
  <si>
    <t>Platina de espesor 3/16" ancho 1/2"</t>
  </si>
  <si>
    <t>Platina de espesor 3/16" ancho 2"</t>
  </si>
  <si>
    <t>Platina de espesor 3/16" ancho 3/4"</t>
  </si>
  <si>
    <t>Porcelanato doble trafico 30 x 60 cm</t>
  </si>
  <si>
    <t>Porcelanato doble trafico 45 x 45 cm</t>
  </si>
  <si>
    <t>Porcelanato doble trafico 50 x 50 cm</t>
  </si>
  <si>
    <t>Porcelanato doble trafico 60 x 60 cm</t>
  </si>
  <si>
    <t>Porcelanato doble trafico 80 x 80 cm</t>
  </si>
  <si>
    <t>Pórtico Multifuncional tablero en fibra de vidrio (Juego de Basketball con arco para microfútbol)</t>
  </si>
  <si>
    <t>Pórtico Multifuncional, tablero metálico (Juego de Basketball con arco para microfútbol)</t>
  </si>
  <si>
    <t>Portón metálico lamina coldrolled calibre 20</t>
  </si>
  <si>
    <t>Poste para redes electricas, de alumbrado o telefonicas pretensado vibrado en concreto de 10 metros</t>
  </si>
  <si>
    <t>Poste para redes electricas, de alumbrado o telefonicas pretensado vibrado en concreto de 12 metros</t>
  </si>
  <si>
    <t>Puerta entamborada en ColdRolled calibre 20 incluye marco anticorrosivo y pintura</t>
  </si>
  <si>
    <t>Puerta entamborada en madera incluye marco y pintura</t>
  </si>
  <si>
    <t>Puerta maciza en madera incluye marco y pintura</t>
  </si>
  <si>
    <t>Puntilla con cabeza de 1 1/2" caja x 500 gr</t>
  </si>
  <si>
    <t>Puntilla con cabeza de 1 1/4" caja x 500 gr</t>
  </si>
  <si>
    <t>Puntilla con cabeza de 1" caja x 500 gr</t>
  </si>
  <si>
    <t>Puntilla con cabeza de 3 1/2" caja x 500 gr</t>
  </si>
  <si>
    <t>Puntilla con cabeza de 3" caja x 500 gr</t>
  </si>
  <si>
    <t>Puntilla con cabeza de 3/4" caja x 500 gr</t>
  </si>
  <si>
    <t>Puntilla con cabeza de 4" caja x 500 gr</t>
  </si>
  <si>
    <t>Puntilla con cabeza de 5" caja x 500 gr</t>
  </si>
  <si>
    <t>Puntilla sin cabeza de 1 1/2" caja x 500 gr</t>
  </si>
  <si>
    <t>Puntilla sin cabeza de 1 1/4" caja x 500 gr</t>
  </si>
  <si>
    <t>Puntilla sin cabeza de 1" caja x 500 gr</t>
  </si>
  <si>
    <t>Puntilla sin cabeza de 2" caja x 500 gr</t>
  </si>
  <si>
    <t>Puntilla sin cabeza de 3/4" caja x 500 gr</t>
  </si>
  <si>
    <t>Recebo seleccionado para rellenos</t>
  </si>
  <si>
    <t>Reducción de manguera de presión 2" a 1 1/2"</t>
  </si>
  <si>
    <t>Reducción de manguera de presión de 3" a 2"</t>
  </si>
  <si>
    <t>Reflector Flood Light De 500w Halógena</t>
  </si>
  <si>
    <t>Reflector Led 100W Luz Blanca</t>
  </si>
  <si>
    <t>Rejilla de piso en aluminio de 3" x 1 1/2"</t>
  </si>
  <si>
    <t>Rejilla de piso en aluminio de 3" x 2"</t>
  </si>
  <si>
    <t>Rejilla de piso en bronce de 3" x 1 1/2"</t>
  </si>
  <si>
    <t>Rejilla de piso en bronce de 3" x 2"</t>
  </si>
  <si>
    <t>Rejilla de piso en plástico de 3" x 1 1/2"</t>
  </si>
  <si>
    <t>Rejilla de piso en plástico de 4" x 3"</t>
  </si>
  <si>
    <t>Rejilla de piso plana para ventilación de desagüe 3"</t>
  </si>
  <si>
    <t>Rejilla en aluminio tipo cúpula 4" x 2"</t>
  </si>
  <si>
    <t>Rejilla en aluminio tipo cúpula 5" x 3"</t>
  </si>
  <si>
    <t>Rejilla en aluminio tipo cúpula 6" x 4"</t>
  </si>
  <si>
    <t>Rejilla en plástico tipo cúpula 5" x 3"</t>
  </si>
  <si>
    <t>Rejilla en plástico tipo cúpula 5" x 4"</t>
  </si>
  <si>
    <t>Rejilla plástica para ventilación 15 cm x 15 cm</t>
  </si>
  <si>
    <t>Rejilla plástica para ventilación 20 cm x 20 cm</t>
  </si>
  <si>
    <t>Remate Limatesa en fibrocemento</t>
  </si>
  <si>
    <t>Rodillo de espuma 9 pulgadas</t>
  </si>
  <si>
    <t>Rodillo de felpa 9 pulgadas</t>
  </si>
  <si>
    <t>Sardinel prefabricado SC-A10 80 x 20 x 50cm</t>
  </si>
  <si>
    <t>Sardinel prefabricado SC-A10 AL80 x 20 x 50cm</t>
  </si>
  <si>
    <t>Sellador Eterna para unión de tuberías galvanizadas o de cobre</t>
  </si>
  <si>
    <t>Sellador y adhesivo elástico blanco</t>
  </si>
  <si>
    <t>Sellador y adhesivo elástico Gris</t>
  </si>
  <si>
    <t>Sellador y adhesivo elástico negro</t>
  </si>
  <si>
    <t>Sifón 135º sanitario PVC. Diámetro 3"</t>
  </si>
  <si>
    <t>Sifón 135º sanitario PVC. Diámetro 4"</t>
  </si>
  <si>
    <t>Sifón 180º sanitario PVC. Diámetro 2"</t>
  </si>
  <si>
    <t>Sifón 180º sanitario PVC. Diámetro 3"</t>
  </si>
  <si>
    <t>Sifón 180º sanitario PVC. Diámetro 4"</t>
  </si>
  <si>
    <t>Sifón sanitario PVC. Diámetro 1 1/2"</t>
  </si>
  <si>
    <t>Sifón sanitario PVC. Diámetro 2"</t>
  </si>
  <si>
    <t>Sifón tipo SA sanitario PVC. Diámetro 3"</t>
  </si>
  <si>
    <t>Sifón tipo SA sanitario PVC. Diámetro 4"</t>
  </si>
  <si>
    <t>Silicona multiuso blanca</t>
  </si>
  <si>
    <t>Silicona multiuso transparente</t>
  </si>
  <si>
    <t>Silla Yee Novafort 12"</t>
  </si>
  <si>
    <t>Silla Yee Novafort 4"</t>
  </si>
  <si>
    <t>Silla Yee Novafort 6"</t>
  </si>
  <si>
    <t>Silla Yee Novafort 8"</t>
  </si>
  <si>
    <t>Soldadura 6013 x 1/8</t>
  </si>
  <si>
    <t>Soldadura 7018 x 1/8</t>
  </si>
  <si>
    <t>Soldadura para PVC x 1/4 de galón</t>
  </si>
  <si>
    <t>Soldadura para PVC X 1/8 de galón</t>
  </si>
  <si>
    <t>Soporte A25 para canaleta 90</t>
  </si>
  <si>
    <t>Soporte bajante redondo 2"</t>
  </si>
  <si>
    <t>Soporte bajante redondo 3"</t>
  </si>
  <si>
    <t>Soporte inferior A15 par canaleta 90</t>
  </si>
  <si>
    <t>Soporte metálico para canal tipo amazonas</t>
  </si>
  <si>
    <t>Soporte metálico para canal tipo raingo</t>
  </si>
  <si>
    <t>Soporte para bajante rectangular</t>
  </si>
  <si>
    <t>Soporte PVC para canal tipo amazonas</t>
  </si>
  <si>
    <t>Soporte PVC para canal tipo raingo</t>
  </si>
  <si>
    <t>Suplemento galvanizado calibre 24. Diámetro 1/4"</t>
  </si>
  <si>
    <t>Tabla burra de madera</t>
  </si>
  <si>
    <t>Tabla madera canteada (0,25 x 0,0025 x 3ml)</t>
  </si>
  <si>
    <t>Tabla madera cativo 0.03 m x 0.25 m</t>
  </si>
  <si>
    <t>Tabla madera cedro 0.03 m x 0.25 m</t>
  </si>
  <si>
    <t>Tabla madera común 0.025 X 0.20</t>
  </si>
  <si>
    <t>Tabla madera Otobo 0.025 X 0.25</t>
  </si>
  <si>
    <t>Tabla madera pino cepillado</t>
  </si>
  <si>
    <t>Tabla madera zapan 0.025 X 0.25</t>
  </si>
  <si>
    <t>Tablero bifásico con puerta 12 circuitos</t>
  </si>
  <si>
    <t>Tablero bifásico con puerta 4 circuitos</t>
  </si>
  <si>
    <t>Tablero bifásico con puerta 6 circuitos</t>
  </si>
  <si>
    <t>Tablero bifásico con puerta 8 circuitos</t>
  </si>
  <si>
    <t>Tablero bifásico sin puerta 12 circuitos</t>
  </si>
  <si>
    <t>Tablero bifásico sin puerta 8 circuitos</t>
  </si>
  <si>
    <t>Tablero monofásico 12 circuitos</t>
  </si>
  <si>
    <t>Tablero monofásico 2 circuitos</t>
  </si>
  <si>
    <t>Tablero monofásico 3 circuitos</t>
  </si>
  <si>
    <t>Tablero monofásico 4 circuitos</t>
  </si>
  <si>
    <t>Tablero monofásico 6 circuitos</t>
  </si>
  <si>
    <t>Tablero monofásico 8 circuitos</t>
  </si>
  <si>
    <t>Tablero trifásico con puerta de 12 circuitos</t>
  </si>
  <si>
    <t>Tablero trifásico con puerta de 18 circuitos</t>
  </si>
  <si>
    <t>Tablero trifásico con puerta de 24 circuitos</t>
  </si>
  <si>
    <t>Tablero trifásico de 24 circuitos con puesto para totalizador</t>
  </si>
  <si>
    <t>Tablón madera amarillo 2" x 10"</t>
  </si>
  <si>
    <t>Tablón madera común 2" x 10"</t>
  </si>
  <si>
    <t>Taco bipolar enchufable o atornillable 15 amperios</t>
  </si>
  <si>
    <t>Taco bipolar enchufable o atornillable 20 amperios</t>
  </si>
  <si>
    <t>Taco bipolar enchufable o atornillable 30 amperios</t>
  </si>
  <si>
    <t>Taco bipolar enchufable o atornillable 40 amperios</t>
  </si>
  <si>
    <t>Taco bipolar enchufable o atornillable 50 amperios</t>
  </si>
  <si>
    <t>Taco bipolar enchufable o atornillable 60 amperios</t>
  </si>
  <si>
    <t>Taco bipolar enchufable o atornillable 70 amperios</t>
  </si>
  <si>
    <t>Taco monopolar enchufable o atornillable 15 amperios</t>
  </si>
  <si>
    <t>Taco monopolar enchufable o atornillable 20 amperios</t>
  </si>
  <si>
    <t>Taco monopolar enchufable o atornillable 30 amperios</t>
  </si>
  <si>
    <t>Taco monopolar enchufable o atornillable 60 amperios</t>
  </si>
  <si>
    <t>Taco monopolar enchufable o atornillable 70 amperios</t>
  </si>
  <si>
    <t>Taco tripolar enchufable o atornillable 15 amperios</t>
  </si>
  <si>
    <t>Taco tripolar enchufable o atornillable 20 amperios</t>
  </si>
  <si>
    <t>Taco tripolar enchufable o atornillable 30 amperios</t>
  </si>
  <si>
    <t>Taco tripolar enchufable o atornillable 40 amperios</t>
  </si>
  <si>
    <t>Taco tripolar enchufable o atornillable 50 amperios</t>
  </si>
  <si>
    <t>Taco tripolar enchufable o atornillable 60 amperios</t>
  </si>
  <si>
    <t>Taco tripolar enchufable o atornillable 70 amperios</t>
  </si>
  <si>
    <t>Tacos de madera de 10 cm</t>
  </si>
  <si>
    <t>Tanque plástico para almacenamiento de agua capacidad 1000 Litros incluye accesorios adaptadores y flotador (referencia Rotoplast o equivalente)</t>
  </si>
  <si>
    <t>Tanque plástico para almacenamiento de agua capacidad 2000 Litros incluye accesorios adaptadores y flotador (referencia Rotoplast o equivalente)</t>
  </si>
  <si>
    <t>Tanque plástico para almacenamiento de agua capacidad 250 Litros incluye accesorios adaptadores y flotador (referencia Rotoplast o equivalente)</t>
  </si>
  <si>
    <t>Tanque plástico para almacenamiento de agua capacidad 500 Litros incluye accesorios adaptadores y flotador (referencia Rotoplast o equivalente)</t>
  </si>
  <si>
    <t>Tanque plástico para almacenamiento de agua capacidad 5000 Litros incluye accesorios adaptadores y flotador(referencia Rotoplast o equivalente)</t>
  </si>
  <si>
    <t>Tapa ciega</t>
  </si>
  <si>
    <t>Tapa de registro plástica 15 x 15 cm</t>
  </si>
  <si>
    <t>Tapa de registro plástica 20 x 20 cm</t>
  </si>
  <si>
    <t>Tapa doble Conduit PVC</t>
  </si>
  <si>
    <t>Tapa externa derecha para canal amazonas</t>
  </si>
  <si>
    <t>Tapa externa izquierda para canal amazonas</t>
  </si>
  <si>
    <t>Tapa externa para canal raingo</t>
  </si>
  <si>
    <t>Tapa galvanizada para caja 2400</t>
  </si>
  <si>
    <t>Tapa galvanizada para caja 5800</t>
  </si>
  <si>
    <t>Tapa galvanizada para caja octogonal</t>
  </si>
  <si>
    <t>Tapa interna derecha para canal amazonas</t>
  </si>
  <si>
    <t>Tapa interna izquierda para canal amazonas</t>
  </si>
  <si>
    <t>Tapa interna para canal raingo</t>
  </si>
  <si>
    <t>Tapón de poceta 2"</t>
  </si>
  <si>
    <t>Tapón de prueba sanitario PVC. Diámetro 1 1/2"</t>
  </si>
  <si>
    <t>Tapón de prueba sanitario PVC. Diámetro 2"</t>
  </si>
  <si>
    <t>Tapón de prueba sanitario PVC. Diámetro 3"</t>
  </si>
  <si>
    <t>Tapón de prueba sanitario PVC. Diámetro 4"</t>
  </si>
  <si>
    <t>Tapón roscado presión PVC. Diámetro 1 1/2"</t>
  </si>
  <si>
    <t>Tapón roscado presión PVC. Diámetro 1 1/4"</t>
  </si>
  <si>
    <t>Tapón roscado presión PVC. Diámetro 1"</t>
  </si>
  <si>
    <t>Tapón roscado presión PVC. Diámetro 1/2"</t>
  </si>
  <si>
    <t>Tapón roscado presión PVC. Diámetro 2 1/2"</t>
  </si>
  <si>
    <t>Tapón roscado presión PVC. Diámetro 2"</t>
  </si>
  <si>
    <t>Tapón roscado presión PVC. Diámetro 3"</t>
  </si>
  <si>
    <t>Tapón roscado presión PVC. Diámetro 3/4"</t>
  </si>
  <si>
    <t>Tapón roscado presión PVC. Diámetro 4"</t>
  </si>
  <si>
    <t>Tapón soldado agua caliente PVC. Diámetro 1"</t>
  </si>
  <si>
    <t>Tapón soldado agua caliente PVC. Diámetro 1/2"</t>
  </si>
  <si>
    <t>Tapón soldado agua caliente PVC. Diámetro 3/4"</t>
  </si>
  <si>
    <t>Tapón soldado presión PVC. Diámetro 1 1/2"</t>
  </si>
  <si>
    <t>Tapón soldado presión PVC. Diámetro 1 1/4"</t>
  </si>
  <si>
    <t>Tapón soldado presión PVC. Diámetro 1"</t>
  </si>
  <si>
    <t>Tapón soldado presión PVC. Diámetro 1/2"</t>
  </si>
  <si>
    <t>Tapón soldado presión PVC. Diámetro 2 1/2"</t>
  </si>
  <si>
    <t>Tapón soldado presión PVC. Diámetro 2"</t>
  </si>
  <si>
    <t>Tapón soldado presión PVC. Diámetro 3"</t>
  </si>
  <si>
    <t>Tapón soldado presión PVC. Diámetro 3/4"</t>
  </si>
  <si>
    <t>Tapón soldado presión PVC. Diámetro 4"</t>
  </si>
  <si>
    <t>Tee agua caliente PVC. Diámetro 1"</t>
  </si>
  <si>
    <t>Tee agua caliente PVC. Diámetro 1/2"</t>
  </si>
  <si>
    <t>Tee agua caliente PVC. Diámetro 3/4"</t>
  </si>
  <si>
    <t>Tee doble sanitaria PVC. Diámetro 3"</t>
  </si>
  <si>
    <t>Tee doble sanitaria PVC. Diámetro 4"</t>
  </si>
  <si>
    <t>Tee galvanizada 1"</t>
  </si>
  <si>
    <t>Tee galvanizada 1/2"</t>
  </si>
  <si>
    <t>Tee galvanizada 3/4"</t>
  </si>
  <si>
    <t>Tee galvanizada 3/8"</t>
  </si>
  <si>
    <t>Tee presión PVC. Diámetro 1 1/2"</t>
  </si>
  <si>
    <t>Tee presión PVC. Diámetro 1 1/4"</t>
  </si>
  <si>
    <t>Tee presión PVC. Diámetro 1"</t>
  </si>
  <si>
    <t>Tee presión PVC. Diámetro 1/2"</t>
  </si>
  <si>
    <t>Tee presión PVC. Diámetro 2 1/2"</t>
  </si>
  <si>
    <t>Tee presión PVC. Diámetro 2"</t>
  </si>
  <si>
    <t>Tee presión PVC. Diámetro 3"</t>
  </si>
  <si>
    <t>Tee presión PVC. Diámetro 3/4"</t>
  </si>
  <si>
    <t>Tee presión PVC. Diámetro 4"</t>
  </si>
  <si>
    <t>Tee reducida presión PVC. Diámetro 1" x 1/2"</t>
  </si>
  <si>
    <t>Tee reducida presión PVC. Diámetro 1" x 3/4"</t>
  </si>
  <si>
    <t>Tee reducida presión PVC. Diámetro 3/4" x 1/2"</t>
  </si>
  <si>
    <t>Tee reducida sanitaria PVC. Diámetro 2" x 1 1/2"</t>
  </si>
  <si>
    <t>Tee reducida sanitaria PVC. Diámetro 3" x 2"</t>
  </si>
  <si>
    <t>Tee reducida sanitaria PVC. Diámetro 4" x 2"</t>
  </si>
  <si>
    <t>Tee reducida sanitaria PVC. Diámetro 4" x 3"</t>
  </si>
  <si>
    <t>Tee reducida sanitaria PVC. Diámetro 6" x 4"</t>
  </si>
  <si>
    <t>Tee sanitaria PVC. Diámetro 1 1/2"</t>
  </si>
  <si>
    <t>Tee sanitaria PVC. Diámetro 2"</t>
  </si>
  <si>
    <t>Tee sanitaria PVC. Diámetro 3"</t>
  </si>
  <si>
    <t>Tee sanitaria PVC. Diámetro 4"</t>
  </si>
  <si>
    <t>Tee sanitaria PVC. Diámetro 6"</t>
  </si>
  <si>
    <t>Teja Claraboya Fibrocemento #10</t>
  </si>
  <si>
    <t>Teja Claraboya Fibrocemento #6</t>
  </si>
  <si>
    <t>Teja Claraboya Fibrocemento #8</t>
  </si>
  <si>
    <t>Teja de barro tipo S 28 cm x 46 cm</t>
  </si>
  <si>
    <t>Teja de Fibrocemento #10</t>
  </si>
  <si>
    <t>Teja de Fibrocemento #4</t>
  </si>
  <si>
    <t>Teja de Fibrocemento #6</t>
  </si>
  <si>
    <t>Teja de Fibrocemento #8</t>
  </si>
  <si>
    <t>Teja de zinc arquitectónica Calibre 30 0,73 x 3,05 m</t>
  </si>
  <si>
    <t>Teja de zinc arquitectónica Calibre 30 0,73 x 3,66 m</t>
  </si>
  <si>
    <t>Teja de zinc lisa calibre 34 0,91 x 2,14 m</t>
  </si>
  <si>
    <t>Teja de zinc ondulada calibre 34 0,80 x 2,13 m</t>
  </si>
  <si>
    <t>Teja de zinc ondulada calibre 34 0,80 x 3,04 m</t>
  </si>
  <si>
    <t>Teja de zinc ondulada calibre 34 0,80 x 3,65 m</t>
  </si>
  <si>
    <t>Teja de Zinc ondulada Calibre 34 Dimensiones 0.80 x 2.438 m. Espesor 0.20 mm</t>
  </si>
  <si>
    <t>Teja plástica No. 10. Dimensiones 92 x 305 cm</t>
  </si>
  <si>
    <t>Teja plástica No. 12. Dimensiones 92 x 366 cm</t>
  </si>
  <si>
    <t>Teja plástica No. 4. Dimensiones 92 x 122 cm</t>
  </si>
  <si>
    <t>Teja plástica No. 5. Dimensiones 92 x 152 cm</t>
  </si>
  <si>
    <t>Teja plástica No. 6. Dimensiones 92 x 183 cm</t>
  </si>
  <si>
    <t>Teja plástica No. 8. Dimensiones 92 x 244 cm</t>
  </si>
  <si>
    <t>Teja plástica perfil trapezoidal (ajota) 0,82 x 1,83 m</t>
  </si>
  <si>
    <t>Teja plástica perfil trapezoidal (ajota) 0,82 x 3,00m</t>
  </si>
  <si>
    <t>Teja plástica perfil trapezoidal (ajota) 0,82 x 4,50 m</t>
  </si>
  <si>
    <t>Teja termo acústica trapezoidal A-360 0,82 x 6 m cualquier color</t>
  </si>
  <si>
    <t>Tela de refuerzo para impermeabilizaciones acrílicas y de poliuretano por 40ml</t>
  </si>
  <si>
    <t>Tela plástica para cerramiento (polisombra) altura 2,10 m cualquier color</t>
  </si>
  <si>
    <t>Terminal 1.34 múltiple teja española</t>
  </si>
  <si>
    <t>Terminal contramuro de teja termo acústica</t>
  </si>
  <si>
    <t>Terminal sobremuro de teja termo acústica</t>
  </si>
  <si>
    <t>Thinner</t>
  </si>
  <si>
    <t>Toma corriente doble con polo a tierra</t>
  </si>
  <si>
    <t>Toma para Teléfono</t>
  </si>
  <si>
    <t>Toma para TV cable</t>
  </si>
  <si>
    <t>Toma trifilar de incrustar</t>
  </si>
  <si>
    <t>Tomacorriente GFCI</t>
  </si>
  <si>
    <t>Tornillo autoperforante rosca metal para fijacion de lamina</t>
  </si>
  <si>
    <t>Tornillo cabeza lenteja punta aguda 8 x 1 1/2"</t>
  </si>
  <si>
    <t>Tornillo cabeza lenteja punta aguda 8 x 1 1/8"</t>
  </si>
  <si>
    <t>Tornillo cabeza lenteja punta aguda 8 x 1"</t>
  </si>
  <si>
    <t>Tornillo cabeza lenteja punta aguda 8 x 2"</t>
  </si>
  <si>
    <t>Tornillo cabeza lenteja punta aguda 8 x 9/16"</t>
  </si>
  <si>
    <t>Tornillo cabeza lenteja punta broca 8 x 1"</t>
  </si>
  <si>
    <t>Tornillo cabeza lenteja punta broca 8 x 1/2"</t>
  </si>
  <si>
    <t>Tornillo cabeza lenteja punta broca 8 x 3/4"</t>
  </si>
  <si>
    <t>Tornillo estructura punta aguda 7 x 7/16"</t>
  </si>
  <si>
    <t>Tornillo hexagonal punta broca para metal 8 x 1"</t>
  </si>
  <si>
    <t>Tornillo hexagonal punta broca para metal 8 x 1/2"</t>
  </si>
  <si>
    <t>Tornillo hexagonal punta broca para metal 8 x 3/4"</t>
  </si>
  <si>
    <t>Tornillo panel yeso punta aguda 6 x 1 1/4"</t>
  </si>
  <si>
    <t>Tornillo panel yeso punta aguda 6 x 1"</t>
  </si>
  <si>
    <t>Tornillo panel yeso punta aguda 6 x 2"</t>
  </si>
  <si>
    <t>Tornillo panel yeso punta broca 6 x 1 1/4"</t>
  </si>
  <si>
    <t>Tornillo panel yeso punta broca 6 x 1"</t>
  </si>
  <si>
    <t>Tornillo panel yeso punta broca 6 x 3/4"</t>
  </si>
  <si>
    <t>Tornillo para madera avellanado 10 x 1"</t>
  </si>
  <si>
    <t>Tornillo para madera avellanado 12 x 3"</t>
  </si>
  <si>
    <t>Tornillo para madera avellanado 12 x 4"</t>
  </si>
  <si>
    <t>Tornillo para madera avellanado 3 x 1/2"</t>
  </si>
  <si>
    <t>Tornillo para madera avellanado 5 x 1"</t>
  </si>
  <si>
    <t>Tornillo para madera avellanado 5 x 1/2"</t>
  </si>
  <si>
    <t>Tornillo para madera avellanado 6 x 1/2"</t>
  </si>
  <si>
    <t>Tornillo para madera avellanado 8 x 1"</t>
  </si>
  <si>
    <t>Tornillo para metal con accesorios para canaleta 90</t>
  </si>
  <si>
    <t>Tornillo placa avellanado punta broca 7 x 1 1/4"</t>
  </si>
  <si>
    <t>Tornillo placa avellanado punta broca 8 x 1 1/4"</t>
  </si>
  <si>
    <t>Tornillo placa avellanado punta broca 8 x 1 3/4"</t>
  </si>
  <si>
    <t>Tornillo placa avellanado punta punta fina 6 x 3/4"</t>
  </si>
  <si>
    <t>Totalizador de corte bipolar</t>
  </si>
  <si>
    <t>Totalizador de corte tripolar</t>
  </si>
  <si>
    <t>Totalizador de corte unipolar</t>
  </si>
  <si>
    <t>Tubería de Drenaje con filtro 100 mm</t>
  </si>
  <si>
    <t>Tuberia PVC Alcantarillado - Novafort 4" x 6m</t>
  </si>
  <si>
    <t>Tuberia PVC Alcantarillado - Novafort 6" x 6m</t>
  </si>
  <si>
    <t>Tuberia PVC Alcantarillado - Novafort 8" x 6m</t>
  </si>
  <si>
    <t>Tubo agua caliente PVC. Diámetro 1" x 6m</t>
  </si>
  <si>
    <t>Tubo agua caliente PVC. Diámetro 1/2" x 6m</t>
  </si>
  <si>
    <t>Tubo agua caliente PVC. Diámetro 3/4"x 6m</t>
  </si>
  <si>
    <t>Tubo Conduit PVC. Diámetro 1 1/4" x 3m</t>
  </si>
  <si>
    <t>Tubo Conduit PVC. Diámetro 1" x 3m</t>
  </si>
  <si>
    <t>Tubo Conduit PVC. Diámetro 1/2" x 3m</t>
  </si>
  <si>
    <t>Tubo Conduit PVC. Diámetro 2" x 3m</t>
  </si>
  <si>
    <t>Tubo Conduit PVC. Diámetro 3/4" x 3m</t>
  </si>
  <si>
    <t>Tubo cuadrado espesor 1,2mm 1 1/2" x 1 1/2" x 6m</t>
  </si>
  <si>
    <t>Tubo cuadrado espesor 1,2mm 1" x 1" x 6m</t>
  </si>
  <si>
    <t>Tubo cuadrado espesor 1,2mm 3/4" x 3/4" x 6m</t>
  </si>
  <si>
    <t>Tubo cuadrado espesor 1,5mm 50 mm x 50 mm x 6m</t>
  </si>
  <si>
    <t>Tubo flexible Conduit PVC. Diámetro 1/2" x 50 m</t>
  </si>
  <si>
    <t>Tubo flexible Conduit PVC. Diámetro 3/4" x 50 m</t>
  </si>
  <si>
    <t>Tubo galvanizado EMT. Diámetro 1" x 3m</t>
  </si>
  <si>
    <t>Tubo galvanizado EMT. Diámetro 1/2" x 3m</t>
  </si>
  <si>
    <t>Tubo galvanizado EMT. Diámetro 3/4" x 3m</t>
  </si>
  <si>
    <t>Tubo presión PVC RDE 13,5. Diámetro 1" x 6m</t>
  </si>
  <si>
    <t>Tubo presión PVC RDE 13,5. Diámetro 1/2" x 6m</t>
  </si>
  <si>
    <t>Tubo presión PVC RDE 21. Diámetro 1 1/2" x 6m</t>
  </si>
  <si>
    <t>Tubo presión PVC RDE 21. Diámetro 1 1/4" x 6m</t>
  </si>
  <si>
    <t>Tubo presión PVC RDE 21. Diámetro 2" x 6m</t>
  </si>
  <si>
    <t>Tubo presión PVC RDE 21. Diámetro 3" x 6m</t>
  </si>
  <si>
    <t>Tubo presión PVC RDE 21. Diámetro 3/4" x 6m</t>
  </si>
  <si>
    <t>Tubo presión PVC RDE 21. Diámetro 4" x 6m</t>
  </si>
  <si>
    <t>Tubo presión PVC RDE 9. Diámetro 1/2" x 6m</t>
  </si>
  <si>
    <t>Tubo rectangular espesor 0,8mm 25 mm x 50 mm x 6 m</t>
  </si>
  <si>
    <t>Tubo rectangular espesor 0,9mm 20 mm x 40 mm x 6 m</t>
  </si>
  <si>
    <t>Tubo rectangular espesor 0,9mm 25 mm x 50 mm x 6 m</t>
  </si>
  <si>
    <t>Tubo rectangular espesor 1,1mm 20 mm x 40 mm x 6 m</t>
  </si>
  <si>
    <t>Tubo rectangular espesor 1,1mm 25 mm x 50 mm x 6 m</t>
  </si>
  <si>
    <t>Tubo rectangular espesor 1,1mm 38 mm x 76 mm x 6 m</t>
  </si>
  <si>
    <t>Tubo rectangular espesor 1,2mm 76 mm x 38 mm x 6 m</t>
  </si>
  <si>
    <t>Tubo rectangular espesor 2,0mm 100 mm x 40 mm x 6 m</t>
  </si>
  <si>
    <t>Tubo rectangular espesor 2,0mm 120 mm x 60 mm x 6 m</t>
  </si>
  <si>
    <t>Tubo rectangular espesor 2,0mm 76 mm x 38 mm x 6 m</t>
  </si>
  <si>
    <t>Tubo rectangular espesor 2,0mm 80 mm x 40 mm x 6 m</t>
  </si>
  <si>
    <t>Tubo rectangular espesor 2,0mm 90 mm x 50 mm x 6 m</t>
  </si>
  <si>
    <t>Tubo rectangular espesor 2,5mm 80 mm x 40 mm x 6 m</t>
  </si>
  <si>
    <t>Tubo redondo galvanizado 1 1/2" 1,5 mm x 6 m</t>
  </si>
  <si>
    <t>Tubo redondo galvanizado 1" 1,9 mm x 6 m</t>
  </si>
  <si>
    <t>Tubo redondo galvanizado 1/2" 1,2 mm x 6 m</t>
  </si>
  <si>
    <t>Tubo redondo galvanizado 2" 2,5 mm x 6 m</t>
  </si>
  <si>
    <t>Tubo redondo galvanizado 3/4" 1,5 mm x 6 m</t>
  </si>
  <si>
    <t>Tubo sanitario PVC. Diámetro 1 1/2" x 6m</t>
  </si>
  <si>
    <t>Tubo sanitario PVC. Diámetro 2" x 6m</t>
  </si>
  <si>
    <t>Tubo sanitario PVC. Diámetro 3" x 6m</t>
  </si>
  <si>
    <t>Tubo sanitario PVC. Diámetro 4" x 6m</t>
  </si>
  <si>
    <t>Tubo sanitario PVC. Diámetro 6" x 6m</t>
  </si>
  <si>
    <t>Tubo sanitario PVC. Diámetro 8" x 6m</t>
  </si>
  <si>
    <t>Tubo ventilación PVC. Diámetro 1 1/2" x 6m</t>
  </si>
  <si>
    <t>Tubo ventilación PVC. Diámetro 2" x 6m</t>
  </si>
  <si>
    <t>Tubo ventilación PVC. Diámetro 3" x 6m</t>
  </si>
  <si>
    <t>Tubo ventilación PVC. Diámetro 4" x 6m</t>
  </si>
  <si>
    <t>Tuerca para varilla zincada 1/2"</t>
  </si>
  <si>
    <t>Tuerca para varilla zincada 1/4"</t>
  </si>
  <si>
    <t>Tuerca para varilla zincada 3/16"</t>
  </si>
  <si>
    <t>Tuerca para varilla zincada 3/8"</t>
  </si>
  <si>
    <t>Tuerca para varilla zincada 5/16"</t>
  </si>
  <si>
    <t>Tuerca para varilla zincada 5/8"</t>
  </si>
  <si>
    <t>Tuerca para varilla zincada 7/16"</t>
  </si>
  <si>
    <t>Unión a bajante para canal amazonas</t>
  </si>
  <si>
    <t>Unión a Bajante para canal raingo</t>
  </si>
  <si>
    <t>Unión a Canal para canal raingo</t>
  </si>
  <si>
    <t>Unión a esquina externa para canal amazonas</t>
  </si>
  <si>
    <t>Unión a esquina interna para canal amazonas</t>
  </si>
  <si>
    <t>Unión a Esquina para canal raingo</t>
  </si>
  <si>
    <t>Unión agua caliente PVC. Diámetro de 1"</t>
  </si>
  <si>
    <t>Unión agua caliente PVC. Diámetro de 1/2"</t>
  </si>
  <si>
    <t>Unión agua caliente PVC. Diámetro de 3/4"</t>
  </si>
  <si>
    <t>Unión caballete G15 Limatesa</t>
  </si>
  <si>
    <t>Unión canal a bajante rectangular</t>
  </si>
  <si>
    <t>Unión canal a bajante redonda 2”</t>
  </si>
  <si>
    <t>Unión canal a bajante redonda 3”</t>
  </si>
  <si>
    <t>Unión canal para canal amazonas</t>
  </si>
  <si>
    <t>Unión Conduit PVC. Diámetro de 1"</t>
  </si>
  <si>
    <t>Unión Conduit PVC. Diámetro de 1/2"</t>
  </si>
  <si>
    <t>Unión Conduit PVC. Diámetro de 3/4"</t>
  </si>
  <si>
    <t>Unión de bajante 2”</t>
  </si>
  <si>
    <t>Unión de bajante 3”</t>
  </si>
  <si>
    <t>Unión de bajante rectangular.</t>
  </si>
  <si>
    <t>Unión de presión PVC. Diámetro de 1 1/2"</t>
  </si>
  <si>
    <t>Unión de presión PVC. Diámetro de 1 1/4"</t>
  </si>
  <si>
    <t>Unión de presión PVC. Diámetro de 1"</t>
  </si>
  <si>
    <t>Unión de presión PVC. Diámetro de 1/2"</t>
  </si>
  <si>
    <t>Unión de presión PVC. Diámetro de 2 1/2"</t>
  </si>
  <si>
    <t>Unión de presión PVC. Diámetro de 2"</t>
  </si>
  <si>
    <t>Unión de presión PVC. Diámetro de 3"</t>
  </si>
  <si>
    <t>Unión de presión PVC. Diámetro de 3/4"</t>
  </si>
  <si>
    <t>Unión de presión PVC. Diámetro de 4"</t>
  </si>
  <si>
    <t>Unión galvanizada EMT 1/2”</t>
  </si>
  <si>
    <t>Unión galvanizada EMT 1”</t>
  </si>
  <si>
    <t>Unión galvanizada EMT 3/4”</t>
  </si>
  <si>
    <t>Unión Limatesa - Caballete con limatesa universal limatesa en fibrocemento</t>
  </si>
  <si>
    <t>Unión sanitaria PVC. Diámetro de 1 1/2"</t>
  </si>
  <si>
    <t>Unión sanitaria PVC. Diámetro de 2"</t>
  </si>
  <si>
    <t>Unión sanitaria PVC. Diámetro de 3"</t>
  </si>
  <si>
    <t>Unión sanitaria PVC. Diámetro de 4"</t>
  </si>
  <si>
    <t>Unión sanitaria PVC. Diámetro de 6"</t>
  </si>
  <si>
    <t>Unión universal presión PVC. Diámetro 1"</t>
  </si>
  <si>
    <t>Unión universal presión PVC. Diámetro 1/2"</t>
  </si>
  <si>
    <t>Unión universal presión PVC. Diámetro 3/4"</t>
  </si>
  <si>
    <t>Válvula antirretorno sanitaria PVC. Diámetro 4"</t>
  </si>
  <si>
    <t>Válvula cortina 1 1/2"</t>
  </si>
  <si>
    <t>Válvula cortina 1 1/4"</t>
  </si>
  <si>
    <t>Válvula cortina 1"</t>
  </si>
  <si>
    <t>Válvula cortina 1/2"</t>
  </si>
  <si>
    <t>Válvula cortina 3/4"</t>
  </si>
  <si>
    <t>Válvula de bola antifraude 1/2"</t>
  </si>
  <si>
    <t>Válvula de bola de mariposa 1"</t>
  </si>
  <si>
    <t>Válvula de bola de mariposa 1/2"</t>
  </si>
  <si>
    <t>Válvula de bola de mariposa 3/4"</t>
  </si>
  <si>
    <t>Válvula de bola de palanca 1"</t>
  </si>
  <si>
    <t>Válvula de bola de palanca 1/2"</t>
  </si>
  <si>
    <t>Válvula de bola de palanca 3/4"</t>
  </si>
  <si>
    <t>Válvula universal de rosca 1 1/2"</t>
  </si>
  <si>
    <t>Valvula y Flotador para tanque de almacenamiento</t>
  </si>
  <si>
    <t>Varilla roscada 1/2" x 100 cm</t>
  </si>
  <si>
    <t>Varilla roscada 1/2" x 25 cm</t>
  </si>
  <si>
    <t>Varilla roscada 1/2" x 50 cm</t>
  </si>
  <si>
    <t>Varilla roscada 1/4" x 100 cm</t>
  </si>
  <si>
    <t>Varilla roscada 1/4" x 25 cm</t>
  </si>
  <si>
    <t>Varilla roscada 1/4" x 50 cm</t>
  </si>
  <si>
    <t>Varilla roscada 3/16" x 100 cm</t>
  </si>
  <si>
    <t>Varilla roscada 3/16" x 25 cm</t>
  </si>
  <si>
    <t>Varilla roscada 3/16" x 50 cm</t>
  </si>
  <si>
    <t>Varilla roscada 3/8" x 100 cm</t>
  </si>
  <si>
    <t>Varilla roscada 3/8" x 25 cm</t>
  </si>
  <si>
    <t>Varilla roscada 3/8" x 50 cm</t>
  </si>
  <si>
    <t>Varilla roscada 5/16" x 100 cm</t>
  </si>
  <si>
    <t>Varilla roscada 5/16" x 25 cm</t>
  </si>
  <si>
    <t>Varilla roscada 5/16" x 50 cm</t>
  </si>
  <si>
    <t>Ventana en aluminio con pintura de protección</t>
  </si>
  <si>
    <t>Ventana en aluminio corrediza con pintura de protección</t>
  </si>
  <si>
    <t>Ventana en aluminio corrediza incluye vidrio 4mm</t>
  </si>
  <si>
    <t>Ventana en aluminio incluye vidrio 4mm</t>
  </si>
  <si>
    <t>Ventana en cold rolled calibre 18 incluye vidrio 4 mm</t>
  </si>
  <si>
    <t>Vidrio cristal opaco 4 mm</t>
  </si>
  <si>
    <t>Vidrio incoloro 5 mm</t>
  </si>
  <si>
    <t>Vidrio incoloro 6 mm</t>
  </si>
  <si>
    <t>Vidrio martillado Premolda 4 mm</t>
  </si>
  <si>
    <t>Vidrio templado 10 mm</t>
  </si>
  <si>
    <t>Vidrio templado 4 mm</t>
  </si>
  <si>
    <t>Vidrio templado 6 mm</t>
  </si>
  <si>
    <t>Viga de hierro (perfil I o H) 200 x 100 mm x 6 m</t>
  </si>
  <si>
    <t>Viga de hierro (perfil I o H) 260 x 100 mm x 6 m</t>
  </si>
  <si>
    <t>Viga en madera (Cedro Caquetá) 4” x 3”x 6 metros</t>
  </si>
  <si>
    <t>Viga en madera (Chanul) 3" x 4" x 6 metros</t>
  </si>
  <si>
    <t>Viga en madera 4” x 2”x 7 metros</t>
  </si>
  <si>
    <t>WIN DE ALUMINIO TIRA x 6 m</t>
  </si>
  <si>
    <t>WIN DE PLASTICO TIRA X 2,3 m</t>
  </si>
  <si>
    <t>Yee doble reducida sanitaria PVC. Diámetro de 2" x 3" x 2"</t>
  </si>
  <si>
    <t>Yee doble reducida sanitaria PVC. Diámetro de 2" x 4" x 2"</t>
  </si>
  <si>
    <t>Yee doble reducida sanitaria PVC. Diámetro de 3" x 4" x 3"</t>
  </si>
  <si>
    <t>Yee doble sanitaria PVC. Diámetro de 2"</t>
  </si>
  <si>
    <t>Yee doble sanitaria PVC. Diámetro de 3"</t>
  </si>
  <si>
    <t>Yee doble sanitaria PVC. Diámetro de 4"</t>
  </si>
  <si>
    <t>Yee reducida sanitaria PVC. Diámetro de 3" x 2"</t>
  </si>
  <si>
    <t>Yee reducida sanitaria PVC. Diámetro de 4" x 2"</t>
  </si>
  <si>
    <t>Yee reducida sanitaria PVC. Diámetro de 4" x 3"</t>
  </si>
  <si>
    <t>Yee reducida sanitaria PVC. Diámetro de 6" x 4"</t>
  </si>
  <si>
    <t>Yee sanitaria PVC. Diámetro de 3"</t>
  </si>
  <si>
    <t>Yee sanitaria PVC. Diámetro de 4"</t>
  </si>
  <si>
    <t>Yee sanitaria PVC. Diámetro de 6"</t>
  </si>
  <si>
    <t>Yeso blanco</t>
  </si>
  <si>
    <t xml:space="preserve">CARACTERISTICAS </t>
  </si>
  <si>
    <t>UNIDAD DE MEDIDA</t>
  </si>
  <si>
    <t>PRECIO</t>
  </si>
  <si>
    <t>No</t>
  </si>
  <si>
    <t>kilogramo</t>
  </si>
  <si>
    <t>unidad</t>
  </si>
  <si>
    <t>Metro Lineal</t>
  </si>
  <si>
    <t>Caneca</t>
  </si>
  <si>
    <t>Metro cuadrado</t>
  </si>
  <si>
    <t>Metro cubico</t>
  </si>
  <si>
    <t>Rollo</t>
  </si>
  <si>
    <t>Paquete</t>
  </si>
  <si>
    <t>Galón</t>
  </si>
  <si>
    <t>Par</t>
  </si>
  <si>
    <t>Libra</t>
  </si>
  <si>
    <t>Galón de 6kg</t>
  </si>
  <si>
    <t>cuñete</t>
  </si>
  <si>
    <t>G- ÍTEMS GENERALES</t>
  </si>
  <si>
    <t>und</t>
  </si>
  <si>
    <t>G - 01 CONCRETOS Y MORTEROS</t>
  </si>
  <si>
    <t>m3</t>
  </si>
  <si>
    <t>ÍTEM</t>
  </si>
  <si>
    <t>VR. und.</t>
  </si>
  <si>
    <t>Kg</t>
  </si>
  <si>
    <t>G-01-01</t>
  </si>
  <si>
    <t>Concreto de 10,3 Mpa (1500 PSI) (Producción)</t>
  </si>
  <si>
    <t>Carga-Km</t>
  </si>
  <si>
    <t>G-01-02</t>
  </si>
  <si>
    <t>Concreto de 13,8 Mpa (2000 PSI) (Producción)</t>
  </si>
  <si>
    <t>Tn-Km</t>
  </si>
  <si>
    <t>G-01-03</t>
  </si>
  <si>
    <t>Concreto de 17,2 Mpa (2500 PSI) (Producción)</t>
  </si>
  <si>
    <t>G-01-04</t>
  </si>
  <si>
    <t>Concreto de 20,7 Mpa (3000 PSI) (Producción)</t>
  </si>
  <si>
    <t>Mes</t>
  </si>
  <si>
    <t>G-01-05</t>
  </si>
  <si>
    <t>Concreto de 24,5 Mpa (3500 PSI) (Producción)</t>
  </si>
  <si>
    <t>Día</t>
  </si>
  <si>
    <t>G-01-06</t>
  </si>
  <si>
    <t>Concreto de 27,6 Mpa (4000 PSI) (Producción)</t>
  </si>
  <si>
    <t>ml</t>
  </si>
  <si>
    <t>G-01-07</t>
  </si>
  <si>
    <t>Concreto de (Producción) 20,7Mpa (3000PSI) impermeabilizado</t>
  </si>
  <si>
    <t>Tn</t>
  </si>
  <si>
    <t>G-01-08</t>
  </si>
  <si>
    <t>Concreto de 20,7 Mpa (3000 PSI) acelerado (Producción)</t>
  </si>
  <si>
    <t>G-01-09</t>
  </si>
  <si>
    <t>Concreto de (Producción) 27,6M pa (4000PSI) impermeabilizado</t>
  </si>
  <si>
    <t>Km</t>
  </si>
  <si>
    <t>G-01-10</t>
  </si>
  <si>
    <t>Concreto de 27,6 Mpa (4000 PSI) acelerado (Producción)</t>
  </si>
  <si>
    <t>Ha</t>
  </si>
  <si>
    <t>G-01-11</t>
  </si>
  <si>
    <t>Concreto ciclópeo (Producción)</t>
  </si>
  <si>
    <t>Jr</t>
  </si>
  <si>
    <t>G-01-12</t>
  </si>
  <si>
    <t>Concreto fluido 13,8 Mpa (2000 PSI) tamaño máximo 1/2"</t>
  </si>
  <si>
    <t>und-Día</t>
  </si>
  <si>
    <t>G-01-13</t>
  </si>
  <si>
    <t>Concreto fluido 17,2 Mpa (2500 PSI) (Producción)</t>
  </si>
  <si>
    <t>m3-Km</t>
  </si>
  <si>
    <t>G-01-14</t>
  </si>
  <si>
    <t>Mortero 1:2 (Producción)</t>
  </si>
  <si>
    <t>Sf</t>
  </si>
  <si>
    <t>G-01-15</t>
  </si>
  <si>
    <t>Mortero 1:3 (Producción)</t>
  </si>
  <si>
    <t>GLOBAL</t>
  </si>
  <si>
    <t>G-01-16</t>
  </si>
  <si>
    <t>Mortero 1:4 (Producción)</t>
  </si>
  <si>
    <t>G-01-17</t>
  </si>
  <si>
    <t>Mortero 1:5 (Producción)</t>
  </si>
  <si>
    <t>G-01-18</t>
  </si>
  <si>
    <t>Mortero 1:3 impermeabilizado (Producción)</t>
  </si>
  <si>
    <t>G - 02 ACEROS</t>
  </si>
  <si>
    <t>G-02-01</t>
  </si>
  <si>
    <t>Acero Fy = 37.000 PSI d ≤ 1/4"</t>
  </si>
  <si>
    <t>G-03-03</t>
  </si>
  <si>
    <t>Transporte materiales en mula (carga = 100 Kg/Km)</t>
  </si>
  <si>
    <t>G-03-04</t>
  </si>
  <si>
    <t>Transporte material a hombro</t>
  </si>
  <si>
    <t>G-03-05</t>
  </si>
  <si>
    <t>Disposición en botadero</t>
  </si>
  <si>
    <t>G-03-06</t>
  </si>
  <si>
    <t>Transporte materiales a obra (no incluye descargue)</t>
  </si>
  <si>
    <t>1 - CONSTRUCCIÓN, MANTENIMIENTO Y ADECUACIÓN DE EDIFICACIONES DE INFRAESTRUCTURA SOCIAL Y COMundITARIA</t>
  </si>
  <si>
    <t>1 - 01 PRELIMINARES Y OBRAS FINALES</t>
  </si>
  <si>
    <t>Valla de identificación de obra área menor a 4 m2, colocada en guaduas, incluye mantenimiento durante la construcción</t>
  </si>
  <si>
    <t>Valla de identificación de obra área mayor a 4 m2, colocada en cerchas metálica, incluye mantenimiento durante la construcción</t>
  </si>
  <si>
    <t>Campamento, incluye teja de zinc, piso en concreto de 17,2 Mpa</t>
  </si>
  <si>
    <t>Campamento arrendado mínimo de 18 m2</t>
  </si>
  <si>
    <t>Limpieza y nivelación</t>
  </si>
  <si>
    <t>Descapote y nivelación manual</t>
  </si>
  <si>
    <t>Descapote y limpieza con máquina incluye retiro</t>
  </si>
  <si>
    <t>Descapote y limpieza manual</t>
  </si>
  <si>
    <t>Nivelación terreno con material del sitio</t>
  </si>
  <si>
    <t>Cargue mecánico de material</t>
  </si>
  <si>
    <t>Cargue de material manual</t>
  </si>
  <si>
    <t>Cargue manual material sobrante</t>
  </si>
  <si>
    <t>Retiro de material con cargue mecánico</t>
  </si>
  <si>
    <t>Cargue mecánico material sobrante</t>
  </si>
  <si>
    <t>Alquiler andamio certificado tubular certificado, incluye manipulación y teleras</t>
  </si>
  <si>
    <t>Tela para protección de edificios</t>
  </si>
  <si>
    <t>Limpieza de superficies de moho</t>
  </si>
  <si>
    <t>Lavado de paredes</t>
  </si>
  <si>
    <t>Cerramiento con cinta de señalización, incluye señalizador tubular, dos cintas</t>
  </si>
  <si>
    <t>Cerramiento provisional con señalizador y tela de cerramiento</t>
  </si>
  <si>
    <t>Cerramiento provisional con guadua y tela de cerramiento h = 2 m</t>
  </si>
  <si>
    <t>Cerramiento en guadua y zinc</t>
  </si>
  <si>
    <t>Formaleta placa (básico)</t>
  </si>
  <si>
    <t>Alzaprimada provisional en madera</t>
  </si>
  <si>
    <t>Mantenimiento de postes y cerramiento en alambre de púas</t>
  </si>
  <si>
    <t>Descargue manual de materiales</t>
  </si>
  <si>
    <t>Aseo de obra viales (incluye cundetas, sardineles, transversales, cabezotes, canales, pavimentos, etc.)</t>
  </si>
  <si>
    <t>Aseo de obra de construcción (aulas, oficinas, hospitales, etc.)</t>
  </si>
  <si>
    <t>Aseo de obra de infraestructura (parques, canchas, juegos infantiles, obras exteriores, etc.)</t>
  </si>
  <si>
    <t>1 - 02 CORTES, DEMOLICIONES Y DESMONTES</t>
  </si>
  <si>
    <t>Corte de baldosa existente</t>
  </si>
  <si>
    <t>Corte con disco muro ambos lados</t>
  </si>
  <si>
    <t>Corte de piso en concreto con cortadora autopropulsada</t>
  </si>
  <si>
    <t>Demolición manual de concreto</t>
  </si>
  <si>
    <t>Demolición manual de concreto ciclópeo</t>
  </si>
  <si>
    <t>Demolición manual de sardinel</t>
  </si>
  <si>
    <t>Demolición anden</t>
  </si>
  <si>
    <t>Demolición losa sobre terreno</t>
  </si>
  <si>
    <t>Demolición escaleras sobre terreno</t>
  </si>
  <si>
    <t>Demolición viga estructural en concreto</t>
  </si>
  <si>
    <t>Demolición placa aligerada</t>
  </si>
  <si>
    <t>Demolición muro en soga, incluye revoque y/o enchape</t>
  </si>
  <si>
    <t>Demolición muro en pandereta, incluye revoque y/o enchape</t>
  </si>
  <si>
    <t>Demolición baldosa</t>
  </si>
  <si>
    <t>Demolición enchape y/o revoque</t>
  </si>
  <si>
    <t>Demolición calados en concreto o gres</t>
  </si>
  <si>
    <t>Demolición de mesón</t>
  </si>
  <si>
    <t>Desmonte de tubería de alcantarillado hasta 12"</t>
  </si>
  <si>
    <t>Desmonte de tubería de alcantarillado de 14" a 24"</t>
  </si>
  <si>
    <t>Desmonte de adoquines</t>
  </si>
  <si>
    <t>Desmonte de cerramiento en poste de madera y alambre de púas</t>
  </si>
  <si>
    <t>Desmonte de cerramiento de malla y postería de concreto, no incluye demolición de muro y/o alfajía</t>
  </si>
  <si>
    <t>Desmonte malla eslabonada</t>
  </si>
  <si>
    <t>Desmonte techo de fibrocemento, incluye desmonte de estructura metálica</t>
  </si>
  <si>
    <t>Desmonte techo y estructura de madera</t>
  </si>
  <si>
    <t>Desmonte de canaleta 43 o 90</t>
  </si>
  <si>
    <t>Desmonte de flanshing</t>
  </si>
  <si>
    <t>Desmonte canal en lámina o PVC</t>
  </si>
  <si>
    <t>Desmonte cielo falso</t>
  </si>
  <si>
    <t>Desmonte de ventana metálicas o de madera</t>
  </si>
  <si>
    <t>Desmonte reja metálica</t>
  </si>
  <si>
    <t>Desmonte de puerta metálicas o de madera, incluye el marco</t>
  </si>
  <si>
    <t>Desmonte de división metálica</t>
  </si>
  <si>
    <t>Desmonte aparatos sanitarios, con recuperación de ellos</t>
  </si>
  <si>
    <t>Desmonte aparatos sanitarios, sin recuperación de ellos</t>
  </si>
  <si>
    <t>Desmonte y acarreo libre de piso en tablilla machihembrada existente</t>
  </si>
  <si>
    <t>1 - 03 EXCAVACIONES Y LLENOS</t>
  </si>
  <si>
    <t>Excavación en material común seco de 0 - 2 m manual</t>
  </si>
  <si>
    <t>Excavación en material común seco de 2 - 4 m manual</t>
  </si>
  <si>
    <t>Excavación en material común seco mayor a 4 m manual</t>
  </si>
  <si>
    <t>Excavación en material común bajo agua de 0 - 2 m manual</t>
  </si>
  <si>
    <t>Excavación en material común bajo agua de 2 - 4 m manual</t>
  </si>
  <si>
    <t>Excavación en material común bajo agua mayor a 4 m manual</t>
  </si>
  <si>
    <t>Excavación en conglomerado seco de 0 - 2 m manual</t>
  </si>
  <si>
    <t>Excavación en conglomerado seco de 2 - 4 m manual</t>
  </si>
  <si>
    <t>Excavación en conglomerado seco mayor a 4 m manual</t>
  </si>
  <si>
    <t>Excavación en conglomerado bajo agua de 0 - 2 m manual</t>
  </si>
  <si>
    <t>Excavación en conglomerado bajo agua de 2 - 4 m manual</t>
  </si>
  <si>
    <t>Excavación en conglomerado bajo agua mayor a 4 m manual</t>
  </si>
  <si>
    <t>Excavación para conformación de taludes en material común manual</t>
  </si>
  <si>
    <t>Excavación para conformación de taludes en conglomerado manual</t>
  </si>
  <si>
    <t>Excavación material común abierto manual</t>
  </si>
  <si>
    <t>Excavación en conglomerado abierto manual</t>
  </si>
  <si>
    <t>Excavación mecánica en material común</t>
  </si>
  <si>
    <t>Restitución con afirmado y cemento 5 % del peso</t>
  </si>
  <si>
    <t>Lleno compactado manual con material del sitio</t>
  </si>
  <si>
    <t>Lleno compactado manual con material de préstamo</t>
  </si>
  <si>
    <t>Lleno compactado con material granular</t>
  </si>
  <si>
    <t>Lleno manual compactado con afirmado</t>
  </si>
  <si>
    <t>Afirmado compactado e = 0.10 m manual</t>
  </si>
  <si>
    <t>Lleno con material filtrante</t>
  </si>
  <si>
    <t>Lleno con piedra</t>
  </si>
  <si>
    <t>Lleno con arena para tubería (brecha de 0,60 m de ancho e = 0,1 m)</t>
  </si>
  <si>
    <t>1 - 04 ELEMENTOS DE Y PARA CONCRETO</t>
  </si>
  <si>
    <t>Solado en concreto de 10,3 Mpa</t>
  </si>
  <si>
    <t>Caja de inspección de 0,50 x 0,50 x 0,50 m en concreto de 17,2 Mpa, tapa reforzada en concreto de 20,7 Mpa</t>
  </si>
  <si>
    <t>Caja de inspección de 0,60 x 0,60 x 0,60 m en concreto de 17,2 Mpa, tapa reforzada en concreto de 20,7 Mpa</t>
  </si>
  <si>
    <t>Caja de inspección de 0,80 x 0,80 x 0,80 m en concreto de 17,2 Mpa, tapa reforzada en concreto de 20,7 Mpa</t>
  </si>
  <si>
    <t>Caja de inspección de 1,00 x 1,00 x 1,00 m en concreto de 17,2 Mpa, tapa reforzada en concreto de 20,7 Mpa</t>
  </si>
  <si>
    <t>Zapatas en concreto de 20,7 Mpa, no incluye refuerzo</t>
  </si>
  <si>
    <t>Zapatas en concreto de 24,5 Mpa (3500 PSI), no incluye refuerzo</t>
  </si>
  <si>
    <t>Viga de enlace de zapatas en concreto de 20,7 Mpa, no incluye refuerzo</t>
  </si>
  <si>
    <t>Viga de enlace de zapatas en concreto de 24,5 Mpa, no incluye refuerzo</t>
  </si>
  <si>
    <t>Viga apoyada concreto 20,7 Mpa (3000 PSI), no incluye refuerzo</t>
  </si>
  <si>
    <t>Placa de contrapiso en concreto de 20,7 Mpa e = 0,07 m</t>
  </si>
  <si>
    <t>Placa de contrapiso en concreto de 20,7 Mpa e = 0,10 m</t>
  </si>
  <si>
    <t>Placa de contrapiso en concreto de 17,2 Mpa e = 0,07 m</t>
  </si>
  <si>
    <t>Columna en concreto de 20,7 (3000 PSI) Mpa sección &lt; 1600 cm2, no incluye refuerzo</t>
  </si>
  <si>
    <t>Columna en concreto de 20,7 Mpa (3000 PSI) sección entre 1601 cm2 y 2500 cm2</t>
  </si>
  <si>
    <t>Columna de amarre en concreto de 20,7 Mpa (3000 PSI) de 0,10 x 0,15 m, incluye refuerzo</t>
  </si>
  <si>
    <t>Columna de amarre en concreto de 20,7 Mpa (3000 PSI) de 0,10 x 0,20 m, incluye refuerzo</t>
  </si>
  <si>
    <t>Columna de amarre en concreto de 20,7 Mpa (3000 PSI) de 0,15 x 0,15 m, incluye refuerzo</t>
  </si>
  <si>
    <t>Columna de amarre en concreto de 20,7 Mpa (3000 PSI) de 0,15 x 0,20 m, incluye refuerzo</t>
  </si>
  <si>
    <t>Columna circular en concreto visto de 20,7 Mpa (3000 PSI) d = 0,45 m, no incluye acero</t>
  </si>
  <si>
    <t>Columna circular en concreto visto de 20,7 Mpa (3000 PSI) d = 0,65 m, no incluye acero</t>
  </si>
  <si>
    <t>Escalera en concreto de 20,7 Mpa (3000 PSI) sobre terreno e = 0,12 m, incluye malla</t>
  </si>
  <si>
    <t>Escalera en concreto 20,7 Mpa (3000 PSI) aéreas e = 0,15 m, incluye malla, no incluye refuerzo</t>
  </si>
  <si>
    <t>Placa maciza en concreto de 20,7 Mpa (3000 PSI) e = 0,10 m, no incluye refuerzo</t>
  </si>
  <si>
    <t>Placa maciza en concreto de 20,7 Mpa (3000 PSI) e = 0,15 m, no incluye refuerzo</t>
  </si>
  <si>
    <t>Placa maciza en concreto de 20,7 Mpa (3000 PSI) e = 0,20 m, no incluye refuerzo</t>
  </si>
  <si>
    <t>Placa aligerada en concreto de 20,7 Mpa (3000 PSI) e = 0,30 m, incluye malla, no incluye refuerzo</t>
  </si>
  <si>
    <t>Placa aligerada en concreto de 20,7 Mpa (3000 PSI) e = 0,35 m, incluye malla, no incluye refuerzo</t>
  </si>
  <si>
    <t>Placa aligerada en concreto de 20,7 Mpa (3000 PSI) e = 0,40 m, incluye malla, no incluye refuerzo</t>
  </si>
  <si>
    <t>Placa aligerada en concreto de 20,7 Mpa (3000 PSI) e = 0,45 m, incluye malla, no incluye refuerzo</t>
  </si>
  <si>
    <t>Placa aligerada en concreto de 20,7 Mpa (3000 PSI) e = 0,50 m, incluye malla, no incluye refuerzo</t>
  </si>
  <si>
    <t>Placa steeldeck en concreto de 20,7 Mpa (3000 PSI) de e = 0,10 m, incluye malla electrosoldada</t>
  </si>
  <si>
    <t>Viga aérea en concreto de 20,7 Mpa (3000 PSI), no incluye acero</t>
  </si>
  <si>
    <t>Viga de amarre en concreto de 20,7 Mpa (3000 PSI) de 0,10 x 0,20 m, incluye refuerzo</t>
  </si>
  <si>
    <t>Viga de amarre en concreto de 20,7 Mpa (3000 PSI) de 0,15 x 0,20 m, incluye refuerzo</t>
  </si>
  <si>
    <t>Viga cinta en concreto de 20,7 Mpa (3000 PSI) de 0,15 x 0,10 m, incluye refuerzo</t>
  </si>
  <si>
    <t>Viga canal en concreto impermeabilizado de 20,7 Mpa (3000 PSI) sección &lt; 2.001 cm2, no incluye refuerzo</t>
  </si>
  <si>
    <t>Dintel en concreto de 20,7 Mpa (3000 PSI) de 0,12 x 0,15 m, incluye refuerzo</t>
  </si>
  <si>
    <t>Alfajía en concreto de 20,7 Mpa (3000 PSI) para remate de muro, incluye refuerzo y corta gotera</t>
  </si>
  <si>
    <t>Alfajía en concreto de 20,7 Mpa (3000 PSI) para remate de ventana, incluye refuerzo y corta gotera</t>
  </si>
  <si>
    <t>Anden en concreto de 20,7 Mpa (3000 PSI) e = 0,10 m</t>
  </si>
  <si>
    <t>Protector de raíz en concreto de 17,2 Mpa (2500 PSI), e = 0,15 m, d = 1,20 m, h = 1,00 m, incluye refuerzo</t>
  </si>
  <si>
    <t>Pedestal (plataforma) en concreto de 20,7 Mpa (3000 PSI) e = 0,10 m</t>
  </si>
  <si>
    <t>Pedestal trapezoidal para soportar estructura metálica o de madera en concreto de 20,7 Mpa (3000 PSI) h = 0,30 m, base de 0,40 x 0,40 m, corona de 0,25 x 0,25 m, incluye refuerzo</t>
  </si>
  <si>
    <t>Pedestal rectangular para soportar estructura metálica o de madera en concreto de 20,7 Mpa (3000 PSI) h = 1,00 m, base de 0,40 x 0,40 m, incluye refuerzo</t>
  </si>
  <si>
    <t>Gradería sobre terreno e = 0,10 m en concreto de 20,7 Mpa (3000 PSI), incluye malla electrosoldada h = 0,64 ch = 0,60 m</t>
  </si>
  <si>
    <t>Muro de contención en concreto 20,7 Mpa (3000 PSI), no incluye refuerzo</t>
  </si>
  <si>
    <t>Muerto en concreto de 17,2 Mpa (2500 PSI) profunddidad = 2,15 m para torre metálica de 0,80 x 0,80 m, incluye excavación circular de 0,85 m</t>
  </si>
  <si>
    <t>Muerto en concreto de 17,2 Mpa (2500 PSI) profunddidad = 1,25 m para torre metálica de 0,60 x 0,60 m, incluye excavación circular de 0,85 m</t>
  </si>
  <si>
    <t>Tapa en concreto de 20,7 Mpa (3000 PSI) para cañuela l = 1.00 a = 0.60 e = 0.06 m, incluye refuerzo</t>
  </si>
  <si>
    <t>Tapa en concreto de 20,7 Mpa (3000 PSI) para cañuela l = 0,80 a = 0,35 e = 0.05 m, orificios rectangulares de 0.04 x 0.25 m, incluye refuerzo</t>
  </si>
  <si>
    <t>Realce de cajas de inspección de 0.80 x 0.80 x 0.80 m en concreto de 20,7 Mpa (3000 PSI)</t>
  </si>
  <si>
    <t>Tablero de mortero 1:3, incluye estuco y pintura verde óptico</t>
  </si>
  <si>
    <t>Porta marcadores de concreto de 20,7 Mpa, incluye refuerzo</t>
  </si>
  <si>
    <t>Anclaje epóxico para 1/2" profunddidad 0,15 m</t>
  </si>
  <si>
    <t>Anclaje epóxico para 3/4" profunddidad 0,15 m</t>
  </si>
  <si>
    <t>Anclaje epóxico para 1" profunddidad 0,15 m</t>
  </si>
  <si>
    <t>Cinta PVC V - 15</t>
  </si>
  <si>
    <t>Cinta PVC V - 10</t>
  </si>
  <si>
    <t>Geodrén circular de 8" l = 1,00 m</t>
  </si>
  <si>
    <t>Geodrén circular de 6" l = 1,00 m</t>
  </si>
  <si>
    <t>Geodrén circular de 4" l = 1,00 m</t>
  </si>
  <si>
    <t>Geodrén circular de 2 1/2" l = 1,00 m</t>
  </si>
  <si>
    <t>Geodrén planar l = 1,00 m</t>
  </si>
  <si>
    <t>1-05 MAMPOSTERÍA Y REVOQUES</t>
  </si>
  <si>
    <t>Muro en ladrillo farol pandereta e = 0,10 m</t>
  </si>
  <si>
    <t>Muro en ladrillo farol pandereta e = 0,12 m</t>
  </si>
  <si>
    <t>Muro en ladrillo tolete en soga</t>
  </si>
  <si>
    <t>Muro en ladrillo tolete en pandereta</t>
  </si>
  <si>
    <t>Muro en ladrillo tolete pandereta y mortero impermeabilizado</t>
  </si>
  <si>
    <t>Muro en ladrillo tolete pandereta, mortero impermeabilizado y revocado ambas caras</t>
  </si>
  <si>
    <t>Muro en ladrillo prensado visto en soga, dos caras</t>
  </si>
  <si>
    <t>Muro no estructural en bloque de cemento de 0,14 x 0,19 x 0,39 m</t>
  </si>
  <si>
    <t>Muro estructural en bloque de cemento de 0,14 x 0,19 x 0,39 m, no incluye refuerzo</t>
  </si>
  <si>
    <t>Muro en bloque piedra (estructural) de cemento de 0,14 x 0,19 x 0,39 m.no incluye refuerzo, abuzardado unda o ambas caras</t>
  </si>
  <si>
    <t>Muro en panel de yeso 1/2" 2 caras, incluye pintura</t>
  </si>
  <si>
    <t>Muro en panel de yeso 1/2" 1 cara, incluye pintura</t>
  </si>
  <si>
    <t>Muro en placa de fibrocemento e = 8 mm o similar 2 caras, incluye pintura</t>
  </si>
  <si>
    <t>Muro en placa de fibrocemento e = 8 mm o similar 1 cara, incluye pintura</t>
  </si>
  <si>
    <t>Muro en placa de fibrocemento e = 10 mm o similar 2 caras, incluye pintura</t>
  </si>
  <si>
    <t>Muro en placa de fibrocemento e = 10 mm o similar 1 cara, incluye pintura</t>
  </si>
  <si>
    <t>Pared en bloque de vidrio</t>
  </si>
  <si>
    <t>Calados de 20 x 20 x 10 cm en gres</t>
  </si>
  <si>
    <t>Calados prefabricados en concreto</t>
  </si>
  <si>
    <t>Cenefa en ladrillo visto en soga 2 hiladas</t>
  </si>
  <si>
    <t>Resane con malla para incrustar redes a muros</t>
  </si>
  <si>
    <t>Regata de muros</t>
  </si>
  <si>
    <t>Resane muro con malla</t>
  </si>
  <si>
    <t>Resane cielo raso con malla</t>
  </si>
  <si>
    <t>Resane muro cosido y malla</t>
  </si>
  <si>
    <t>Cinta mástil para muros en panel yeso</t>
  </si>
  <si>
    <t>Sobre cimiento h = 0,20 m revoque impermeabilizado 2 caras</t>
  </si>
  <si>
    <t>Revoque muro incluye dilataciones y filos</t>
  </si>
  <si>
    <t>Filos y dilataciones</t>
  </si>
  <si>
    <t>Revoque cielo raso, incluye dilataciones y filos</t>
  </si>
  <si>
    <t>Revoque muro impermeabilizado, incluye dilataciones y filos</t>
  </si>
  <si>
    <t>Revoque de bajantes, incluye malla</t>
  </si>
  <si>
    <t>Media caña PVC de 60 mm blanco para paredes, cielo raso y pisos terminados, incluye accesorios</t>
  </si>
  <si>
    <t>Media caña PVC de 90 mm blanco para paredes secas, incluye accesorios</t>
  </si>
  <si>
    <t>1 - 06 PISOS Y ENCHAPES</t>
  </si>
  <si>
    <t>Mortero de nivelación e = 0,05 m para pisos</t>
  </si>
  <si>
    <t>Adoquín vehicular de concreto, incluye cemento en seco</t>
  </si>
  <si>
    <t>Adoquín peatonal de concreto, incluye cemento en seco</t>
  </si>
  <si>
    <t>Adoquín peatonal de gres, incluye cemento en seco</t>
  </si>
  <si>
    <t>Gramoquín en concreto de 5 Mpa de 30 x 30 x 8 cm</t>
  </si>
  <si>
    <t>Gramoquín en concreto de 5 Mpa de 60 x 40 x 8 cm</t>
  </si>
  <si>
    <t>Línea para invidentes en loseta de concreto de 4,5 Mpa de ± 40 x 40 x 6 cm, incluye cemento en seco</t>
  </si>
  <si>
    <t>Piso en tablón rojo de 20 x 20 cm, incluye fijador de cerámica</t>
  </si>
  <si>
    <t>Piso en tableta de 15 x 15 cm, tipo Túnez sahara o roja, incluye fijador de cerámica</t>
  </si>
  <si>
    <t>Piso en tableta de 15 x 15 cm, tipo Túnez sahara o roja con mortero</t>
  </si>
  <si>
    <t>Piso en grano de mármol vibroprensado de 30 x 30 cm, grano # 1. Incluye, boquilla blanca, destronque (# 36), 3 pulidas (# 60, 120, 220) y brillo al plomo. Color blanco Huila fondo blanco, incluye fijador de cerámica</t>
  </si>
  <si>
    <t>Piso en Gran Terrazzo Dark de 40 x 40 cm tipo Alfa o similar, incluye fijador de cerámica</t>
  </si>
  <si>
    <t>Piso Payande Nº 5 P5B de 30 x 30 cm, fondo gris, de Alfa o similar, pulido, incluye fijador de cerámica</t>
  </si>
  <si>
    <t>Piso Terrazzo de 30 x 30 cm crema, incluye fijador de cerámica</t>
  </si>
  <si>
    <t>Piso Antique 30,5 x 30,5 cm o similar, color blanco o beige, incluye fijador de cerámica</t>
  </si>
  <si>
    <t>Piso Cemento Habitat Zen de ± 46 x 46 cm gris o similar, tráfico medio, incluye fijador de cerámica</t>
  </si>
  <si>
    <r>
      <rPr>
        <sz val="10"/>
        <rFont val="Aptos Narrow"/>
        <family val="2"/>
      </rPr>
      <t>Piso Duropiso ± de 33,8 x 33,8 cm, incluye fijador de cerámica</t>
    </r>
  </si>
  <si>
    <t>Piso Mangle de 40 x 40 cm, o similar, incluye fijador de cerámica</t>
  </si>
  <si>
    <t>Piso Porcelanato de 60 x 60 cm, o similar, súper blanco brillante, tránsito mediano, incluye fijador de cerámica</t>
  </si>
  <si>
    <t>Piso Porto Muicolor ± de 45,8 x 45,8 cm o similar, tráfico semi- comercial, incluye fijador de cerámica</t>
  </si>
  <si>
    <t>Piso Terranova de 50 x 50 cm o similar, tráfico 4, incluye fijador de cerámica</t>
  </si>
  <si>
    <t>Piso en granito pulido, incluye dilatación de bronce, no incluye mortero</t>
  </si>
  <si>
    <t>Piso en gravilla lavada, incluye dilatación flexible, no incluye mortero</t>
  </si>
  <si>
    <t>Piso en gravilla lavada y tablón de gres de 0,20 x 0,20 m, incluye dilatación de vidrio y mortero</t>
  </si>
  <si>
    <t>Piso en gravilla lavada y tableta tipo Túnez, incluye dilatación flexible y mortero</t>
  </si>
  <si>
    <t>Piso vinílico antideslizante, tráfico alto e = 4 mm de aproximadamente 18 x 122 cm</t>
  </si>
  <si>
    <t>Piso en lámina de vinilo de 3 mm tráfico pesado</t>
  </si>
  <si>
    <t>Piso en tablilla machihembrada, incluye imprimante y barniz</t>
  </si>
  <si>
    <t>Piso en concreto estampado de e = 6 cm, resistencia máxima 13,8 Mpa, tráfico peatonal semi-pesado</t>
  </si>
  <si>
    <t>Piso en loseta prefabricada A30</t>
  </si>
  <si>
    <t>Guarda escoba en Tablón Rojo o similar de ± h = 0,10 m</t>
  </si>
  <si>
    <t>Guarda escobas en Grano Tradicional Blanco Huila BH5 o similar de ± h = 0.10 m</t>
  </si>
  <si>
    <r>
      <rPr>
        <sz val="10"/>
        <rFont val="Aptos Narrow"/>
        <family val="2"/>
      </rPr>
      <t>Guarda escobas en Gran Terrazzo Dark o similar ± h = 0.10 m</t>
    </r>
  </si>
  <si>
    <r>
      <rPr>
        <sz val="10"/>
        <rFont val="Aptos Narrow"/>
        <family val="2"/>
      </rPr>
      <t>Guarda escoba en Payande Nº 5 P5B o similar ± h = 0,10 m</t>
    </r>
  </si>
  <si>
    <r>
      <rPr>
        <sz val="10"/>
        <rFont val="Aptos Narrow"/>
        <family val="2"/>
      </rPr>
      <t>Guarda escoba en Terrazzo o similar ± h = 0,10 m</t>
    </r>
  </si>
  <si>
    <t>Guarda escoba cerámico Adriático Agua Marina o similar ± h = 0,10 m, color blanco o beige</t>
  </si>
  <si>
    <t>Guarda escoba cerámico Antique o similar ± h = 0,10 m, color blanco o beige</t>
  </si>
  <si>
    <t>Guarda escoba cerámico Cemento Habitat Zen o similar ± h = 0,10 m, gris</t>
  </si>
  <si>
    <t>1,06-39</t>
  </si>
  <si>
    <t>Guarda escoba cerámico Duropiso o similar ± h = 0,10 m</t>
  </si>
  <si>
    <t>Guarda escobas cerámico Ecocerámica o similar ± h = 0.10 m</t>
  </si>
  <si>
    <t>Guarda escobas cerámico Egeo o similar ± h = 0.10 m</t>
  </si>
  <si>
    <t>Guarda escoba cerámico Mangle o similar ± h = 0,10 m</t>
  </si>
  <si>
    <t>Guarda escoba cerámico Porcelanato o similar ± h = 0,10 m, súper blanco brillante</t>
  </si>
  <si>
    <t>Guarda escoba cerámico Porto Muicolor o similar ± h = 0,10 m</t>
  </si>
  <si>
    <t>Guarda escoba en pizarra Terranova o similar ± h = 0,10 m</t>
  </si>
  <si>
    <t>Guarda escoba en granito pulido recto, incluye dilatación flexible ± h = 0,10 m</t>
  </si>
  <si>
    <t>Guarda escoba en granito pulido media caña, incluye dilatación flexible ancho total ± h = 0,25 m</t>
  </si>
  <si>
    <t>Guarda escoba en gravilla lavada recto, incluye dilatación de vidrio, ± h = 0,10 m</t>
  </si>
  <si>
    <t>Guarda escobas en listón de lámina de vinilo click ± h = 8 cm</t>
  </si>
  <si>
    <t>Guarda escoba en lámina de vinilo ± h = 6,8 cm, C 1,6 mm</t>
  </si>
  <si>
    <t>Guarda escoba en tablilla de madera ± h = 6,8 cm, incluye barniz</t>
  </si>
  <si>
    <r>
      <rPr>
        <sz val="10"/>
        <rFont val="Aptos Narrow"/>
        <family val="2"/>
      </rPr>
      <t>Guarda escoba en mortero 1:3, ± H = 10 cm, incluye esmalte</t>
    </r>
  </si>
  <si>
    <t>Enchape en cerámica de 20 x 20 cm tipo Ecocerámica, incluye filos plásticos y fijador de cerámica</t>
  </si>
  <si>
    <t>Enchape en cerámica de 20 x 20 cm tipo Ecocerámica, incluye filos de aluminio y fijador de cerámica</t>
  </si>
  <si>
    <t>Enchape en cerámica de 20,5 x 20,5 cm tipo Egeo, incluye filos plásticos y fijador de cerámica</t>
  </si>
  <si>
    <t>Enchape en cerámica de 20,5 x 20,5 cm tipo Egeo, incluye filos de aluminio y fijador de cerámica</t>
  </si>
  <si>
    <t>Enchape en cerámica de 20,5 x 20,5 cm tipo Adriático Agua Marina, incluye filos plásticos y fijador de cerámica</t>
  </si>
  <si>
    <t>Enchape en cerámica de 20,5 x 20,5 cm tipo Adriático Agua Marina, incluye filos de aluminio y fijador de cerámica</t>
  </si>
  <si>
    <t>Granito pulido para paso de escalera h = 0,30 ch = 0,175 m, incluye pirlán de bronce</t>
  </si>
  <si>
    <t>Gravilla lavada para paso de escalera h = 0,30 ch = 0,175 m</t>
  </si>
  <si>
    <t>Gravilla lavada y tablón para paso de escalera h = 0,30 ch = 0,175 m</t>
  </si>
  <si>
    <t>Zócalo en gravilla lavada, incluye dilataciones de vidrio</t>
  </si>
  <si>
    <t>Boca puerta en granito pulido, incluye dilataciones de bronce, a = 0,15 m</t>
  </si>
  <si>
    <t>Pirlán de bronce para piso en gravilla, grano o cerámica</t>
  </si>
  <si>
    <t>Cinta antideslizante de 25 mm</t>
  </si>
  <si>
    <t>1 - 07 PINTURAS Y ACABADO DE PAREDES</t>
  </si>
  <si>
    <t>Estuco y pintura con vinilo tipo I muros 3 manos</t>
  </si>
  <si>
    <t>Estuco y pintura cielo raso con vinilo tipo II 3 manos</t>
  </si>
  <si>
    <t>Pintura exteriores (koraza o similar)</t>
  </si>
  <si>
    <t>Pintura con vinilo tipo I, incluye dilataciones y filos</t>
  </si>
  <si>
    <t>Pintura cielo raso con vinilo tipo II</t>
  </si>
  <si>
    <t>Pintura con esmalte</t>
  </si>
  <si>
    <t>Pintura con barniz</t>
  </si>
  <si>
    <t>Pintura y resane vinilo tipo I</t>
  </si>
  <si>
    <t>Pintura y resane con vinilo tipo II cielo raso, incluye dilataciones y filos</t>
  </si>
  <si>
    <t>Pintura con esmalte estructura metálica</t>
  </si>
  <si>
    <t>Pintura transparente protectora de fachadas para muro en bloques o ladrillo, incluye filos y dilataciones</t>
  </si>
  <si>
    <t>Pintura texturizada hidrorepelente</t>
  </si>
  <si>
    <t>Pintura reflectiva de aluminio, incluye filos y dilataciones mínimo 2 manos</t>
  </si>
  <si>
    <t>Estuco y pintura epóxica base solvente para muros 2 manos</t>
  </si>
  <si>
    <t>Estuco y pintura epóxica base solvente para cielo raso 2 manos</t>
  </si>
  <si>
    <t>Pintura y resane muro con pintura epóxica base solvente, 2 manos</t>
  </si>
  <si>
    <t>Pintura y resane cielo raso con pintura epóxica base solvente, 2 manos</t>
  </si>
  <si>
    <t>Graniplast</t>
  </si>
  <si>
    <t>Pintura con esmalte guarda escobas, h = 0,10 m, incluye resane</t>
  </si>
  <si>
    <t>Blanqueamiento con carburo (cal)</t>
  </si>
  <si>
    <t>Carburo para teja ondulada (cal)</t>
  </si>
  <si>
    <t>Carburo para canaleta (cal)</t>
  </si>
  <si>
    <t>Abuzardado de concreto</t>
  </si>
  <si>
    <t>Suministro y colocación de papel de colgadura</t>
  </si>
  <si>
    <t>1 - 08 CUBIERTAS</t>
  </si>
  <si>
    <t>Recorrido de techos en teja de barro</t>
  </si>
  <si>
    <t>Recorrido de techos de fibrocemento, incluye reacomodación de tejas, limpieza, reparación de amarras y/o ganchos</t>
  </si>
  <si>
    <t>Recorrido de canales, incluye limpieza y reacomodación de ellas y sus soportes</t>
  </si>
  <si>
    <t>Techo en teja ondulada de fibrocemento, pendiente máxima 27 %</t>
  </si>
  <si>
    <t>Techo en teja ondulada transparente, pendiente máxima 27 %, mínima 10 %</t>
  </si>
  <si>
    <t>Techo en teja ondulada de fibrocemento tipo española, pendiente máxima 27 %</t>
  </si>
  <si>
    <t>Techo en teja de barro, incluye manto impermeabilizante, esterilla y mortero 1:3 impermeabilizado, pendiente máxima 27 %</t>
  </si>
  <si>
    <t>Techo en teja de zinc, incluye entramado de madera, pendiente máxima 10 %</t>
  </si>
  <si>
    <t>Techo en teja thermoacustic, pendiente máxima 10 %</t>
  </si>
  <si>
    <t>Techo en teja metálica roja C 28 tipo Techolum Plus, pendiente máxima 10 %</t>
  </si>
  <si>
    <t>Caballete fijo para teja ondulada de fibrocemento</t>
  </si>
  <si>
    <t>Caballete articulado para teja ondulada de fibrocemento tipo española</t>
  </si>
  <si>
    <t>Caballete fijo para teja thermoacustic</t>
  </si>
  <si>
    <t>Claraboya de fibrocemento Nº 6, incluye vidrio de seguridad de 4 mm</t>
  </si>
  <si>
    <t>Limatesa o limahoya de fibrocemento</t>
  </si>
  <si>
    <t>Cielo falso en laminas de PVC</t>
  </si>
  <si>
    <t>Cielo falso en aluminio natural y lámina de icopor</t>
  </si>
  <si>
    <t>Cielo falso en aluminio anoloc e icopor perlita lisa</t>
  </si>
  <si>
    <t>Cielo falso en panel de yeso, incluye pintura</t>
  </si>
  <si>
    <t>Cielo falso duracustic en aluminio blanco</t>
  </si>
  <si>
    <t>Cielo falso duracustic en aluminio anoloc</t>
  </si>
  <si>
    <t>Cielo falso duracustic en aluminio natural</t>
  </si>
  <si>
    <t>Reinstalación y reparación de cielo falso en icopor, duracustic o similar, con jundta, incluye reparación estructura de aluminio y pintura</t>
  </si>
  <si>
    <t>Canal en lámina galvanizada C 22, longitud de desarrollo 0,7 m</t>
  </si>
  <si>
    <t>Flanshing (flanche) en lámina galvanizada C 26, incluye mortero 1:3 impermeabilizado</t>
  </si>
  <si>
    <t>Suministro y colocación de Frescasa</t>
  </si>
  <si>
    <t>1 - 09 CARPINTERÍA METÁLICA</t>
  </si>
  <si>
    <t>Puerta en ángulo y malla eslabonada para cerramiento, incluye manija, pasador, anticorrosivo y pintura</t>
  </si>
  <si>
    <t>Puerta en lámina C 20 0,60 x 2,05 m, incluye anticorrosivo, pintura, chapa, manija y tope</t>
  </si>
  <si>
    <t>Puerta en lámina C 20 0,80 x 2,05 m, incluye anticorrosivo, pintura, chapa, manija y tope</t>
  </si>
  <si>
    <t>Puerta en lámina C 20 0,90 x 2,05 m, incluye anticorrosivo, pintura, chapa, manija y tope</t>
  </si>
  <si>
    <t>Puerta en lámina C 20 1,00 x 2,05 m, incluye anticorrosivo, pintura, chapa portón, manija y tope</t>
  </si>
  <si>
    <t>Puerta en lámina C 20 1,20 x 2,05 m (2 naves), incluye anticorrosivo, pintura, chapa tipo portón, manija y tope</t>
  </si>
  <si>
    <t>Puerta para división en lámina doble C 20 h = 1,60 m, incluye anticorrosivo y pintura</t>
  </si>
  <si>
    <t>Reinstalación puerta en lámina, suministro de marco en lámina, incluye resane, anticorrosivo y pintura</t>
  </si>
  <si>
    <t>Reinstalación puerta en lámina, suministro de marco en lámina 2 naves, incluye resane, anticorrosivo y pintura</t>
  </si>
  <si>
    <t>Reinstalación puerta y marco en lámina, incluye resane y pintura</t>
  </si>
  <si>
    <t>Reinstalación puerta y marco en lámina 2 naves, incluye resane y pintura</t>
  </si>
  <si>
    <t>División para baño en aluminio anoloc y acrílico, incluye instalación todo costo</t>
  </si>
  <si>
    <t>Ventana metálica en lámina C 20, incluye anticorrosivo, pintura y vidrio de 4 mm de seguridad</t>
  </si>
  <si>
    <t>Ventana metálica en lámina C 20 de seguridad, incluye anticorrosivo, pintura y vidrio de 4 mm de seguridad</t>
  </si>
  <si>
    <t>Ventana metálica en ángulo 1" x 1/8", incluye anticorrosivo, pintura y vidrio de 4 mm de seguridad</t>
  </si>
  <si>
    <t>Ventana en aluminio Int negro corrediza, incluye vidrio de 6 mm de seguridad</t>
  </si>
  <si>
    <t>Reinstalación ventana metálica en lámina, incluye pintura</t>
  </si>
  <si>
    <t>Reinstalación ventana de aluminio</t>
  </si>
  <si>
    <t>División metálica en lámina doble C 20 h = 1,60 m, incluye anticorrosivo, pintura y anclajes</t>
  </si>
  <si>
    <t>Estructura metálica (perlines, platinas y pernos), incluye anticorrosivo y pintura, para la estructura de la cubierta, trabajos en alturas, andamio certificado</t>
  </si>
  <si>
    <t>Reja metálica de seguridad de 1/2" en varilla cuadrada, incluye anticorrosivo y pintura</t>
  </si>
  <si>
    <t>Reja metálica de seguridad de 1/2" en varilla redonda de alta, incluye anticorrosivo y pintura</t>
  </si>
  <si>
    <t>Rejilla metálica para cañuela, incluye bisagras, anticorrosivo y pintura, a = 0,3 m</t>
  </si>
  <si>
    <t>Columpio metálico de 2 puestos, pintado e instalado</t>
  </si>
  <si>
    <t>Columpio metálico de 3 puestos, pintado e instalado</t>
  </si>
  <si>
    <t>Pasamanos sencillo metálico, pintado e instalado</t>
  </si>
  <si>
    <t>Pasamanos con casita metálico, pintado e instalado</t>
  </si>
  <si>
    <t>Balancín doble metálico, pintado e instalado</t>
  </si>
  <si>
    <t>Aro para baloncesto, incluye malla e instalación</t>
  </si>
  <si>
    <t>Vidrio de 4 mm transparente</t>
  </si>
  <si>
    <t>Vidrio de 4 mm esmerilado</t>
  </si>
  <si>
    <t>1 - 10 CARPINTERÍA EN MADERA</t>
  </si>
  <si>
    <t>Puerta de madera, marco en lámina C 20 de 0,90 x 2,05 m, incluye anticorrosivo, pintura, barniz, chapa de bola de madera, manija y tope</t>
  </si>
  <si>
    <t>Reinstalación puerta en madera y marco en lámina, incluye resane, pintura y barniz</t>
  </si>
  <si>
    <t>Reinstalación puerta en madera, suministro de marco en lámina, incluye resane, anticorrosivo, pintura y barniz</t>
  </si>
  <si>
    <t>Juego infantil en pino básico</t>
  </si>
  <si>
    <t>Juego infantil en pino completo</t>
  </si>
  <si>
    <t>Tablero melamínico de ± 2,40 x 1,20 m base en MDF de ± 15 mm, para marcador seco, incluye porta marcadores en madera, instalado</t>
  </si>
  <si>
    <t>1 - 11 CONTENEDORES DE AGUA, PORCELANA, MUEBLES Y ACCESORIOS SANITARIOS, GRIFERÍA Y SISTEMAS SÉPTICOS</t>
  </si>
  <si>
    <t>Tanque para agua, plástico de 250 lt, completo (flotador)</t>
  </si>
  <si>
    <t>Tanque para agua, plástico de 500 lt, completo (flotador)</t>
  </si>
  <si>
    <t>Tanque para agua, plástico de 1,000 lt, completo (flotador)</t>
  </si>
  <si>
    <t>Lavamanos tipo Avanti de pedestal con grifería</t>
  </si>
  <si>
    <t>Lavamanos tipo Happy de colgar con grifería</t>
  </si>
  <si>
    <t>Lavamanos tipo Acuacer de pedestal</t>
  </si>
  <si>
    <t>Lavamanos tipo Marsella de sobreponer con grifería</t>
  </si>
  <si>
    <t>Lavamanos tipo Acuacer de colgar con grifería</t>
  </si>
  <si>
    <t>Lavamanos tipo Avanti de colgar con grifería</t>
  </si>
  <si>
    <t>Sanitario tipo Acua Plus blanco con grifería anti vandálica</t>
  </si>
  <si>
    <t>Sanitario infantil blanco con grifería</t>
  </si>
  <si>
    <t>Sanitario One Piece Solare blanco tipo Corona con fluxómetro</t>
  </si>
  <si>
    <t>Sanitario tipo Acua Plus blanco de bajo consumo con acople</t>
  </si>
  <si>
    <t>Sanitario tipo Avanti Plus de bajo consumo</t>
  </si>
  <si>
    <t>Orinal blanco tipo Residencial con grifería</t>
  </si>
  <si>
    <t>Orinal tipo Institucional, línea antibacterial</t>
  </si>
  <si>
    <t>Orinal tipo Institucional con fluxómetro tipo Arrecife</t>
  </si>
  <si>
    <t>Grifería para lavamanos de pared tipo push</t>
  </si>
  <si>
    <t>Grifería lavamanos de mesa tipo push</t>
  </si>
  <si>
    <t>Grifería pico empotrado línea anti vandálica, incluye válvula tipo push</t>
  </si>
  <si>
    <t>Grifería de empotrar corta línea anti vandálica, incluye push</t>
  </si>
  <si>
    <t>Mezclador para lavaplatos</t>
  </si>
  <si>
    <t>Fluxómetro de palanca para orinal</t>
  </si>
  <si>
    <t>Ducha cromada de 1/2" con mezclador</t>
  </si>
  <si>
    <t>Ducha anti vandálica regadera tubular corta</t>
  </si>
  <si>
    <t>Ducha niquelada de 1/2" sencilla</t>
  </si>
  <si>
    <t>Pomos de porcelana</t>
  </si>
  <si>
    <t>Cepillera en polímero cromada y plástica, incluye vaso tipo Nilo</t>
  </si>
  <si>
    <t>Dispensador de papel higiénico en acero inoxidable con sistema antivandálico y llave, satinado Ø ≥ 26,5 cm, fijado a pared</t>
  </si>
  <si>
    <t>Jabonera ducha cromada tipo Torino</t>
  </si>
  <si>
    <t>Jabonera en polímero cromada, sistema de fijación oculto tipo Nogal</t>
  </si>
  <si>
    <t>Percha en polímero de alta ingeniería tipo Nogal, cromada</t>
  </si>
  <si>
    <t>Porta rollo en polímero a ≥ 27 cm, cromado, incluye vástago plástico, tipo Nilo</t>
  </si>
  <si>
    <t>Toallero de barra cromado a ≥ 47 cm</t>
  </si>
  <si>
    <t>Toallero en polímero de alta ingeniería cromado, de argolla tipo Valencia</t>
  </si>
  <si>
    <r>
      <rPr>
        <sz val="10"/>
        <rFont val="Aptos Narrow"/>
        <family val="2"/>
      </rPr>
      <t>Espejo de 4 mm biselado ± 0,80 x 1,00 m</t>
    </r>
  </si>
  <si>
    <t>Poceta de acero inoxidable de 0,60 x 0,40 m, incluye grifería, sifón de 2" y canastilla</t>
  </si>
  <si>
    <t>Cubierta en acero inoxidable para mesón cocineta, incluye poceta y grifería completa a = 0.60 m</t>
  </si>
  <si>
    <t>Mueble inferior en fórmica para mesón cocineta h ± 0,90 m</t>
  </si>
  <si>
    <t>Rejilla de bronce de 3" x 2" con sosco</t>
  </si>
  <si>
    <t>Lavadero prefabricado en fibra de vidrio, incluye mampostería, enchape y conjundto desagüe flexible</t>
  </si>
  <si>
    <t>Lavadero prefabricado en granito pulido, incluye mampostería, enchape y conjundto desagüe flexible</t>
  </si>
  <si>
    <t>Sistema séptico domiciliario 2000 lt</t>
  </si>
  <si>
    <t>Sistema séptico domiciliario prefabricado 4000 lt</t>
  </si>
  <si>
    <t>Trampa de grasa 250 lt</t>
  </si>
  <si>
    <t>Mantenimiento de pozos sépticos para baterías de 3 undidades</t>
  </si>
  <si>
    <t>1- 12 INSTALACIONES HIDRO-SANITARIAS Y CONTRA INCENDIOS</t>
  </si>
  <si>
    <t>Tubería PVC undión platino de 8"</t>
  </si>
  <si>
    <t>Tubería PVC undión platino de 6"</t>
  </si>
  <si>
    <t>Tubería PVC undión platino de 4"</t>
  </si>
  <si>
    <t>Tubería PVC undión platino de 3"</t>
  </si>
  <si>
    <t>Tubería PVC undión platino de 2"</t>
  </si>
  <si>
    <t>Collar de derivación de 4" x 1/2"</t>
  </si>
  <si>
    <t>Collar de derivación de 3" x 1/2"</t>
  </si>
  <si>
    <t>Collar de derivación de 2 1/2" x 1/2"</t>
  </si>
  <si>
    <t>Collar de derivación de 2" x 1/2"</t>
  </si>
  <si>
    <t>undión de reparación de 8"</t>
  </si>
  <si>
    <t>undión de reparación de 6"</t>
  </si>
  <si>
    <t>undión de reparación de 4"</t>
  </si>
  <si>
    <t>undión de reparación de 3"</t>
  </si>
  <si>
    <t>undión de reparación de 2 1/2"</t>
  </si>
  <si>
    <t>undión de reparación de 2"</t>
  </si>
  <si>
    <t>Acometida hidráulica en tubería PVC de 1"</t>
  </si>
  <si>
    <t>Acometida hidráulica en tubería PVC de 3/4"</t>
  </si>
  <si>
    <t>Acometida hidráulica en tubería PVC de 1/2"</t>
  </si>
  <si>
    <t>Acometida Domiciliaria de 1/2" tubería PF + UAD, L = 2 m</t>
  </si>
  <si>
    <t>Tubería PF + UAD de 1/2"</t>
  </si>
  <si>
    <t>Medidor de 1" volumétrico tipo "B"</t>
  </si>
  <si>
    <t>Medidor de 3/4" volumétrico tipo "B"</t>
  </si>
  <si>
    <t>Medidor de 1/2" volumétrico tipo "C"</t>
  </si>
  <si>
    <t>Registro de corte de 1/2"</t>
  </si>
  <si>
    <t>Tubería PVC presión de 2" RDE 21</t>
  </si>
  <si>
    <t>Tubería PVC presión de 1 1/2" RDE 21</t>
  </si>
  <si>
    <t>Tubería PVC presión de 1 1/4" RDE 21</t>
  </si>
  <si>
    <t>Tubería PVC presión de 1" RDE 21</t>
  </si>
  <si>
    <t>Tubería PVC presión de 3/4" RDE 21</t>
  </si>
  <si>
    <t>Tubería PVC presión de 1/2" RDE 9</t>
  </si>
  <si>
    <t>Tubería CPVC presión de 1/2" 100 PSI</t>
  </si>
  <si>
    <t>Pundto hidráulico PVC de 3" L prom = 3 m en mampostería de ladrillo o similar</t>
  </si>
  <si>
    <t>Pundto hidráulico PVC de 3" L prom = 3 m en mampostería seca</t>
  </si>
  <si>
    <t>Pundto hidráulico PVC de 2" L prom = 3 m en mampostería de ladrillo o similar</t>
  </si>
  <si>
    <t>Pundto hidráulico PVC de 2" L prom = 3 m en mampostería seca</t>
  </si>
  <si>
    <t>Pundto hidráulico PVC de 1 1/2" L prom = 3 m en mampostería de ladrillo o similar</t>
  </si>
  <si>
    <t>Pundto hidráulico PVC de 1 1/2" L prom = 3 m en mampostería seca</t>
  </si>
  <si>
    <t>Pundto hidráulico PVC de 1 1/4" L prom = 3 m en mampostería de ladrillo o similar</t>
  </si>
  <si>
    <t>Pundto hidráulico PVC de 1 1/4" L prom = 3 m en mampostería seca</t>
  </si>
  <si>
    <t>Pundto hidráulico PVC de 1" L prom = 3 m en mampostería de ladrillo o similar</t>
  </si>
  <si>
    <t>Pundto hidráulico PVC de 1" L prom = 3 m en mampostería seca</t>
  </si>
  <si>
    <t>Pundto hidráulico PVC de 3/4" L prom = 3 m en mampostería de ladrillo o similar</t>
  </si>
  <si>
    <t>Pundto hidráulico PVC de 3/4" L prom = 3 m en mampostería seca</t>
  </si>
  <si>
    <t>Pundto hidráulico PVC de 1/2" L prom = 3 m en mampostería de ladrillo o similar</t>
  </si>
  <si>
    <t>Pundto hidráulico PVC de 1/2" L prom = 3 m en mampostería seca</t>
  </si>
  <si>
    <t>Pundto hidráulico CPVC 1/2" 100 PSI L prom = 3 m en mampostería de ladrillo o similar</t>
  </si>
  <si>
    <t>Pundto hidráulico CPVC 1/2" 100 PSI L prom = 3 m en mampostería seca</t>
  </si>
  <si>
    <t>Cheque de 1 1/2" 200 PSI en bronce</t>
  </si>
  <si>
    <t>Cheque de 1" en bronce</t>
  </si>
  <si>
    <t>Cheque de 1/2" en bronce</t>
  </si>
  <si>
    <t>Llave de paso de 2" tipo Red White</t>
  </si>
  <si>
    <t>Llave de paso de 1 1/2" tipo Red White</t>
  </si>
  <si>
    <t>Llave de paso de 1" tipo Red White</t>
  </si>
  <si>
    <t>Llave de paso de 3/4" tipo Red White</t>
  </si>
  <si>
    <t>Llave de paso de 1/2" tipo Red White</t>
  </si>
  <si>
    <t>Tapa plástica de registro de 0,20 x 0,20 m</t>
  </si>
  <si>
    <t>Llave terminal de cobre roscada de 1/2"</t>
  </si>
  <si>
    <t>Tubería PVC agua lluvia de 2", incluye accesorios</t>
  </si>
  <si>
    <t>Tubería PVC agua lluvia de 3", incluye accesorios</t>
  </si>
  <si>
    <t>Tubería PVC agua lluvia de 4", incluye accesorios</t>
  </si>
  <si>
    <t>Bajante PVC agua lluvia de 3", incluye accesorios</t>
  </si>
  <si>
    <t>Bajante PVC agua lluvia de 4", incluye accesorios</t>
  </si>
  <si>
    <t>Bajante PVC agua lluvia cuadrado, incluye accesorios</t>
  </si>
  <si>
    <t>Canal PVC tipo Amazonas o similar, incluye accesorios</t>
  </si>
  <si>
    <t>Tubería PVC de ventilación de 2", incluye accesorios</t>
  </si>
  <si>
    <t>Tubería PVC de ventilación de 3", incluye accesorios</t>
  </si>
  <si>
    <t>Tubería PVC sanitaria de 2", incluye accesorios</t>
  </si>
  <si>
    <t>Tubería PVC sanitaria de 3", incluye accesorios</t>
  </si>
  <si>
    <t>Tubería PVC sanitaria de 4", incluye accesorios</t>
  </si>
  <si>
    <t>Tubería PVC sanitaria de 6", incluye accesorios</t>
  </si>
  <si>
    <t>Pundto sanitario PVC de 2" l prom = 3 m, incluye accesorios en mampostería de ladrillo o similar</t>
  </si>
  <si>
    <t>Pundto sanitario PVC de 2" l prom = 3 m, incluye accesorios en mampostería seca</t>
  </si>
  <si>
    <t>Pundto sanitario PVC de 3" l prom = 3 m, incluye accesorios en mampostería de ladrillo o similar</t>
  </si>
  <si>
    <t>2.- CONSTRUCCIÓN, MANTENIMIENTO Y MEJORAMIENTO DE VÍAS</t>
  </si>
  <si>
    <t>2 - 01 PRELIMINARES</t>
  </si>
  <si>
    <t>Localización y replanteo para pavimentación de vías (3 líneas, 3 instancias)</t>
  </si>
  <si>
    <t>Remoción de derrumbes</t>
  </si>
  <si>
    <t>Rocería  manual  para cooperativas,  incluye  limpieza  de obras de arte, retiro de sobrantes</t>
  </si>
  <si>
    <t>Rocería de taludes a = 3 m, incluye conformación de cundetas en tierra o limpieza de cundetas en contrato  y retiro manual de sobrantes</t>
  </si>
  <si>
    <t>Desmonte y limpieza en bosque</t>
  </si>
  <si>
    <t>Desmonte y limpieza en zonas no boscosas</t>
  </si>
  <si>
    <t>Corte de pavimento rígido con cortadora autopropulsada</t>
  </si>
  <si>
    <t>Corte de pavimento flexible con cortadora autopropulsada</t>
  </si>
  <si>
    <t>Demolición cono cámara</t>
  </si>
  <si>
    <t>Demolición cuerpo cámara</t>
  </si>
  <si>
    <t>Demolición con compresor de sardinel</t>
  </si>
  <si>
    <t>Demolición sumidero</t>
  </si>
  <si>
    <t>Demolición de pavimento rígido</t>
  </si>
  <si>
    <t>Demolición pavimento flexible manual e &gt; 0,07 m</t>
  </si>
  <si>
    <t>Desarme de gaviones</t>
  </si>
  <si>
    <t>Limpieza de alcantarillas (circular o de cajón),  incluye descole y retiro manual</t>
  </si>
  <si>
    <t>Limpieza manual de cundetas revestidas  y canales en concreto (disipador, zanjas de coronación),  incluye retiro manual</t>
  </si>
  <si>
    <t>Remoción de alcantarillas</t>
  </si>
  <si>
    <t>Descapote y limpieza con máquina, incluye cargue manual</t>
  </si>
  <si>
    <t>Remoción manual de derrumbes, no incluye retiro</t>
  </si>
  <si>
    <t>2 -  02 EXPLANACIONES</t>
  </si>
  <si>
    <t>Excavación sin clasificar de la explanación (mecánica)</t>
  </si>
  <si>
    <t>Remoción mecánica de derrumbes, no incluye retiro</t>
  </si>
  <si>
    <t>Corte en material común con máquina</t>
  </si>
  <si>
    <t>Corte en conglomerado con máquina</t>
  </si>
  <si>
    <t>Terraplén con material del sitio</t>
  </si>
  <si>
    <t>Terraplén con material transportado</t>
  </si>
  <si>
    <t>Muro en afirmado reforzado con geotextil</t>
  </si>
  <si>
    <t>Muro en tierra reforzado con geotextil</t>
  </si>
  <si>
    <t>Muro en tierra reforzado con geomalla</t>
  </si>
  <si>
    <t>Protección de taludes con tierra orgánica</t>
  </si>
  <si>
    <t>Recubrimiento  de  taludes  con  malla  y mortero  1:4  de e  = 10 cm</t>
  </si>
  <si>
    <t>Lleno  semi-compactado  manual  con  material  del  sitio  tras bordillos para placa huella, a promedio de corona = 0,45 m, h promedio = 0,40 m, área promedio por metro 0,26 m3</t>
  </si>
  <si>
    <t>2 - 03 BASES, SUB BASES Y AFIRMADO</t>
  </si>
  <si>
    <t>Base granular, no incluye transporte</t>
  </si>
  <si>
    <t>Sub-base granular, no incluye transporte</t>
  </si>
  <si>
    <t>Sub-base para conformación de vía,  no incluye transporte</t>
  </si>
  <si>
    <t>Afirmado compactado mecánico no incluye transporte</t>
  </si>
  <si>
    <t>Afirmado  compactado  para  mantenimiento  vial,   no  incluye transporte</t>
  </si>
  <si>
    <t>Escarificado y restitución de base manual</t>
  </si>
  <si>
    <t>Renivelación banca incluye escarificación y conformación</t>
  </si>
  <si>
    <t>2 - 04 PAVIMENTOS ASFÁLTICOS</t>
  </si>
  <si>
    <t>Repavimentación en concreto asfáltico e = 0,07 m</t>
  </si>
  <si>
    <t>Pavimento en concreto asfáltico, no incluye transporte</t>
  </si>
  <si>
    <t>Mezcla abierta en caliente, no incluye transporte</t>
  </si>
  <si>
    <t>Concreto asfáltico para bacheo,  no incluye transporte</t>
  </si>
  <si>
    <t>Parcheo en pavimento flexible e = 0,1 m,  no incluye transporte</t>
  </si>
  <si>
    <t>Imprimación con asfalto líquido</t>
  </si>
  <si>
    <t>Riego de liga con emulsión asfáltica CRR-1 o CCR-2</t>
  </si>
  <si>
    <t>Emulsión para pavimento asfáltico</t>
  </si>
  <si>
    <t>2 - 05 PAVIMENTOS DE CONCRETO HIDRÁULICO</t>
  </si>
  <si>
    <t>Pavimento en concreto 20,7 Mpa en obra, e = 0.15 m, incluye refuerzo, corte con disco y sello de jundtas</t>
  </si>
  <si>
    <t>Pavimento en concreto 20,7 Mpa en obra, e = 0.175 m, incluye refuerzo, corte con disco y sello de jundtas</t>
  </si>
  <si>
    <t>Pavimento  en  concreto  27,6  Mpa  (4000  PSI)  en  obra,  e  = 0.175 m, incluye refuerzo, corte con disco y sello de jundtas</t>
  </si>
  <si>
    <t>Pavimento en concreto 27,6 Mpa (4000 PSI) en obra, e = 0.2 m, incluye refuerzo, corte con disco y sello de jundtas</t>
  </si>
  <si>
    <t>Pavimento en concreto 20,7 Mpa (3000 PSI) premezclado, e = 0.175 m, incluye refuerzo, corte con disco y sello de jundtas</t>
  </si>
  <si>
    <t>Pavimento en concreto 27,6 Mpa (4000 PSI) premezclado, e = 0.175 m, incluye refuerzo, corte con disco y sello de jundtas</t>
  </si>
  <si>
    <t>Pavimento en concreto MR = 4,1 Mpa premezclado, e = 0.15 m, incluye refuerzo, corte con disco y sello de jundtas</t>
  </si>
  <si>
    <t>Pavimento en concreto MR = 4,1 Mpa premezclado, e = 0.175 m, incluye refuerzo, corte con disco y sello de jundtas</t>
  </si>
  <si>
    <t>Pavimento en concreto MR = 4,1 Mpa premezclado, e = 0.2 m, incluye refuerzo, corte con disco y sello de jundtas</t>
  </si>
  <si>
    <t>Sello de jundta autonivelante para pavimento</t>
  </si>
  <si>
    <t>Sello de jundta autonivelante para pavimento a &gt; 6 mm, incluye rollo de espuma</t>
  </si>
  <si>
    <t>Placa Huella en concreto de 20,7 Mpa (3000 PSI), de fraguado rápido (fast track), e = 0,15 m, a (c/u) = 0,90 m (tipo INVÍAS), espacio  entre  ellas  0,90  m,  incluye  refuerzo,  corte  y sello  de jundtas</t>
  </si>
  <si>
    <t>Concreto  ciclópeo  para  placa  huella  de  20,7  Mpa  (3000  PSI, piedra de mano Ø &lt; 12 cm 40 %, concreto 60 %), e = 0,15 m (tipo INVÍAS para placa huella)</t>
  </si>
  <si>
    <t>Viga  riostra  para  placa  huella  de  20,7  Mpa  (3000  PSI),  de fraguado  rápido  (fast track),  a =  0,20 cm y h  = 0,30  cm (tipo INVÍAS), incluye refuerzo y solado e = 0,05 cm</t>
  </si>
  <si>
    <t>Anden en concreto de 20,7 Mpa e = 0,07 m</t>
  </si>
  <si>
    <t>Bordillo de concreto vaciado in situ, incluye la preparación de la superficie de apoyo</t>
  </si>
  <si>
    <t>Bordillo   de   piezas   prefabricadas   de   concreto,   incluye   la preparación de la superficie de apoyo</t>
  </si>
  <si>
    <t>Sardinel en concreto de 20,7 Mpa 0,03 m3/ml, incluye refuerzo, sobre placa</t>
  </si>
  <si>
    <t>Sardinel de gravedad en concreto de 20,7 Mpa (3000 PSI) de b = 0,20 m, corona 0,15 m, h = 0,38 m, v = 0,07 m3/ml, incluye afirmado e = 0,10 m</t>
  </si>
  <si>
    <t>Sardinel prefabricado A80</t>
  </si>
  <si>
    <t>2 - 06 OBRAS DE DRENAJE, CONTENCIÓN Y CIMENTACIÓN</t>
  </si>
  <si>
    <t>Muro  de  contención  en  concreto  20,7  Mpa  (3000  PSI),  no incluye refuerzo</t>
  </si>
  <si>
    <t>Muro  de  contención  en  concreto  27,6  Mpa  (4000  PSI),  no incluye refuerzo</t>
  </si>
  <si>
    <t>Solado en concreto de 10,3 Mpa (1500 PSI)</t>
  </si>
  <si>
    <t>Gaviones de malla de alambre de acero entrelazado  clase 1, recubrimiento de zinc (galvanizado)</t>
  </si>
  <si>
    <t>Filtro  francés  (0,60  x  0,90  m),  sin  tubería,  incluye  piedra  y geotextil NT 1.600</t>
  </si>
  <si>
    <t>Filtro francés (0,60 x 0,90 m), incluye tubería, piedra y geotextil NT 1.600</t>
  </si>
  <si>
    <t>Base  y  cañuela  para  cámara  de  inspección  d  =  1,20  m  en concreto de 20,7 Mpa</t>
  </si>
  <si>
    <t>Cuerpo para cámara de inspección d = 1,20 m, en concreto de 20,7 Mpa (3000 PSI), no incluye refuerzo</t>
  </si>
  <si>
    <t>Cono para cámara de inspección d = 1,20 m, en concreto de 20,7 Mpa (3000 PSI), incluye refuerzo</t>
  </si>
  <si>
    <t>Aro y tapa en plástico cámara de inspección d = 0,67 m</t>
  </si>
  <si>
    <t>Tapa  en  polietileno  de  ±  26,4  kg  con  cuello  en  concreto  de 20,7 Mpa (3000 PSI) d = 0,70 m</t>
  </si>
  <si>
    <t>Sumidero  en  concreto  de  20,7  Mpa  (3000  PSI),  incluye  reja con anticorrosivo</t>
  </si>
  <si>
    <t>Cañuela  en  concreto  de  20,7  Mpa  (3000  PSI)  e  =  0,10,  h  = 0,40, a = 0,30 m sin tapa</t>
  </si>
  <si>
    <t>Cundeta  revestida  en  concreto  20,7  Mpa  (3000  PSI),  incluye excavación y afirmado, a = 1 m</t>
  </si>
  <si>
    <t>Cundeta  en  concreto  reforzado  20,7  Mpa  (3000  PSI),  incluye excavación,  afirmado  y  refuerzo,  a  =  0,72  m.  Longitud  de desarrollo = 1,0 m</t>
  </si>
  <si>
    <t>Cundeta - Bordillo para placa huella, en concreto reforzado, tipo INVÍAS  de  20,7  Mpa  (3000  PSI),  incluye  refuerzo  de  60,000 PSI, excavación, sub-base, a total = 0,70 m, e Prom. = 0,15 m, cortes y sellos de jundtas cada 2,8 m</t>
  </si>
  <si>
    <t>Zanja colectora en concreto de 20,7 Mpa (3000 PSI) a = 0,60 e = 0,10 h = 0,30 m</t>
  </si>
  <si>
    <t>Canal disipador en concreto de 20,7 Mpa (3000 PSI)</t>
  </si>
  <si>
    <t>Base  para  box culvert  en  concreto  impermeabilizado  de 20,7 Mpa (3000 PSI), no incluye refuerzo</t>
  </si>
  <si>
    <t>Lateral y tapa para  box-culvert en  concreto  impermeabilizado de 20,7 Mpa (3000 PSI), no incluye refuerzo</t>
  </si>
  <si>
    <t>Cortina,  estribos  y/o  aletas  en  concreto  de  20,7  Mpa  (3000 PSI)</t>
  </si>
  <si>
    <t>Zarpa para estribos y/o aletas en concreto de 20,7 Mpa (3000 PSI)</t>
  </si>
  <si>
    <t>Estribos y/o aletas en concreto ciclópeo</t>
  </si>
  <si>
    <t>Cortina, muro y/o aletas en concreto ciclópeo</t>
  </si>
  <si>
    <t>Pocetas y cabezotes en concreto ciclópeo</t>
  </si>
  <si>
    <t>Zarpa en concreto ciclópeo</t>
  </si>
  <si>
    <t>Viga y riostra para puente en concreto de 20,7 Mpa (3000 PSI)</t>
  </si>
  <si>
    <t>Placa  maciza  para  puente  en  concreto  de  20,7  Mpa  (3000 PSI) e = 0,30 m</t>
  </si>
  <si>
    <t>Enrocados de fondo</t>
  </si>
  <si>
    <t>Recubrimiento  de  gaviones  en  concreto  de  17,2  Mpa  (2500 PSI) e = 0,10 m</t>
  </si>
  <si>
    <t>Cañuela  labrada  en  suelo,  recubierta  en  concreto  20,7  Mpa (3000  PSI),  semicircular  d  interno  =  0,20  m,  a =  0,40 m,  e = 0,05 m</t>
  </si>
  <si>
    <t>Empotramiento de tubería de alcantarillado de 0,5 x 0,5 x 0,3 m en concreto de 17,2 Mpa (2500 PSI)</t>
  </si>
  <si>
    <t>Acequia de corona, a = 0.30, h = 0.25 e = 0.08 m, en concreto de 10,3 Mpa (1500 PSI)</t>
  </si>
  <si>
    <t>Suministro e instalación de flexocreto con bomba en concreto fluido de 13,8 Mpa (2000 PSI)</t>
  </si>
  <si>
    <t>Suministro  e  instalación  de  flexocreto  manual,  en  concreto fluido de 13,8 Mpa (2000 PSI)</t>
  </si>
  <si>
    <t>Suministro  e  instalación  de  bolsacreto  1101  o  similar,  en concreto fluido de 13,8 Mpa (2000 PSI)</t>
  </si>
  <si>
    <t>Suministro  e  instalación  de  bolsacreto  1401  o  similar,  en concreto fluido de 13,8 Mpa (2000 PSI)</t>
  </si>
  <si>
    <t>Ángulo para puente de 2" x 3/16"</t>
  </si>
  <si>
    <t>Pasamanos en tubería de H. G. de 2" C 14, incluye accesorios</t>
  </si>
  <si>
    <t>Pasamanos en tubería de H. G. de 3", incluye accesorios</t>
  </si>
  <si>
    <t>Tapa de polietileno para cámara de inspección sin cuello</t>
  </si>
  <si>
    <t>Lloraderos en tubería PVC de 3" para puente o muro</t>
  </si>
  <si>
    <t>Caisson d = 1 m, incluye excavación manual, concreto de 20,7 Mpa (3000 PSI) y refuerzo</t>
  </si>
  <si>
    <t>Micro pilote d = 0,4 m, incluye excavación mecánica, acero y concreto de 20,7 Mpa (3000 PSI)</t>
  </si>
  <si>
    <t>Almohadillas de neopreno para puente: Se ha dejado este ítem aquí, para que el evaluador no olvide incluirlo en el respectivo presupuesto. Se anota además que todo puente requiere no solo de almohadillas de apoyo, sino almohadillas laterales,  así  sea  und  pontón.  Son  almohadillas  o  pads  en  neopreno  utilizadas  para  absorber  las deformaciones y/o desplazamientos que presentan las estructuras, causadas por las cargas de los vehículos, los sismos o por cambios de temperatura. Estas almohadillas son situadas en medio de unda estructura que soporta la carga (estribo / pilar) y unda viga. Dada la diversidad de la fundción que cumplen,  como  amortiguadores  de  irregularidades  de  las  superficies,  contracción  y  dilatación térmica de las vigas, peso e inercia del paso de vehículos, esfuerzos ocasionales por colisiones, acciones   del   viento   y   el   agua,   desplazamientos   durante   sismos,   etc.   el   tamaño,   forma, configuración,  anclajes, combinaciones,  dependen de lo requerido y esperado en cada caso, por tanto  el  precio  de  las  almohadillas  es  muy  variable,  al  igual  que  el  de  las  jundtas  por  su conformación, siendo inadecuado calcular und unditario que solo servirá para und caso específico. No así la colocación ángulo para puente de 2" x 3/16", que por lo menos los llevará el puente en sus extremos contra los estribos, cuando no sea factible la construcción de jundtas, cosa que se aplica en und pontón</t>
  </si>
  <si>
    <t>02 - 07SEÑALIZACIÓN Y SEGURIDAD</t>
  </si>
  <si>
    <t>Defensa vial, incluye terminales y capta faros</t>
  </si>
  <si>
    <t>Señal vertical de 0,60 m (con cinta reflectiva)</t>
  </si>
  <si>
    <t>Señal vertical de  transito  tipo  SP, SR  de  75  x 75  con lámina retroreflectiva tipo diamante</t>
  </si>
  <si>
    <t>Señal vertical de 0,90 m (con cinta reflectiva)</t>
  </si>
  <si>
    <t>Líneas de demarcación vial pintura en frío</t>
  </si>
  <si>
    <t>Marcas viales</t>
  </si>
  <si>
    <t>Paleteros</t>
  </si>
  <si>
    <t>Tacha reflectiva undidireccional incluye suministro e instalación</t>
  </si>
  <si>
    <t>Tachón  en  resina  l  =  0,4  m,  a  =  0,15  m,  h  =  0,08  m incluye instalación</t>
  </si>
  <si>
    <t>Poste en guadua pintado, base en concreto de 2500 PSI para cinta seguridad</t>
  </si>
  <si>
    <t>Cerramiento   con   cinta   de   señalización,   incluye   poste   en guadua</t>
  </si>
  <si>
    <t>02 - 08 OBRAS VARIAS</t>
  </si>
  <si>
    <t>Empradización de taludes con trenza</t>
  </si>
  <si>
    <t>Empradización con prado trenza</t>
  </si>
  <si>
    <t>Empradización con prado kikuyo</t>
  </si>
  <si>
    <t>Protector  de  raíz  en  concreto  de  17,2  Mpa  (2500  PSI),  e  = 0,15 m, d Int. = 1,20 m, h = 1,00 m, incluye refuerzo</t>
  </si>
  <si>
    <t>Pedestal  trapezoidal  para  soportar  estructura  metálica  o  de madera en concreto de 20,7 Mpa (3000 PSI) h = 0,30 m, base de 0,40 x 0,40 m, corona de 0,25 x 0,25 m, incluye refuerzo</t>
  </si>
  <si>
    <t>Jundta de icopor e = 1"</t>
  </si>
  <si>
    <r>
      <rPr>
        <sz val="10"/>
        <rFont val="Aptos Narrow"/>
        <family val="2"/>
      </rPr>
      <t>Barrera   plásticas   Jersey   (maletín),   en   polietileno   de   alta densidad de l = 2, h = 1 b = 0,5 m, con sistema de acople al siguiente,  naranja  con  cinta  reflectivas,  llena  de  arena,  para uso ≤ a 30 días, para usos mayores la barrera quedará de la entidad</t>
    </r>
  </si>
  <si>
    <t>Barrera   plásticas   Jersey   (maletín),   en   polietileno   de   alta densidad de l = 2, h = 1 b = 0,5 m, con sistema de acople al siguiente,  naranja  con  cinta  reflectivas,  llena  de  agua,  para uso ≤ a 80 días, para usos mayores la barrera quedará de la entidad</t>
  </si>
  <si>
    <t>02 - 09 TRANSPORTE</t>
  </si>
  <si>
    <t>Transporte material asfáltico</t>
  </si>
  <si>
    <t>ELÉCTRICOS MEDIA TENSIÓN Y EDIFICACIONES</t>
  </si>
  <si>
    <t>3 - 01 RED DE MEDIA TENSIÓN</t>
  </si>
  <si>
    <t>Pundto  transformador  3  ø  instalación  en  camilla  -  13.2  kv. Incluye poste auxiliar de 14 x 750 m x Kg</t>
  </si>
  <si>
    <t>Estructura  para  instalación  de  transformadores  de  corriente red de 13.2 Kv. Se apoyan en estructura en H</t>
  </si>
  <si>
    <t>Estructura para instalación de transformadores de potencial o de tensión red de 13.2 Kv. Se apoyan en estructura en H</t>
  </si>
  <si>
    <t>Herrajería  y  accesorios  de  conexión  para  instalación  de  3 transformadores de medición de energía a 13.2 Kv exterior</t>
  </si>
  <si>
    <t>Cable  ACSR  semiaislado  (ecológico),  13.2  Kv  Nº  2  AWG (puentes   de   red   de   MT   a   transformadores   de   medida   y potencia)</t>
  </si>
  <si>
    <t>Transformador 3ø 150 Kva, 13.2 Kv - 214/123 V, inmerso en aceite, tipo distribución, instalación en camilla</t>
  </si>
  <si>
    <t>Transformador de corriente 15 Kv - 7.5/5 A - 5A, uso exterior</t>
  </si>
  <si>
    <t>Transformador  de  potencial  1.73  x15  Kv  -  1.73  x  120  V  uso exterior</t>
  </si>
  <si>
    <t>3 - 02 ACOMETIDAS ELÉCTRICAS</t>
  </si>
  <si>
    <t>Acometida 3 x Nº 4 (F) + 1 x Nº 4 (N) + 1 x Nº 8 (T), sin ducto. Cables  de  bajo  contenido  halógenos,  baja  emisión  humo. Tablero ensayos</t>
  </si>
  <si>
    <t>Acometida 3 x Nº 2 (F) + 1 x Nº 2 (N) + 1 x Nº 6 (T), sin ducto. Cables  bajo  contenido  halógenos,  baja  emisión  de  humo. Tablero de cargas especiales</t>
  </si>
  <si>
    <t>Acometida 2 x Nº 6 (F) + 1 x Nº 6 (N) + 1 x Nº 8 (T), sin ducto. Cables  de  bajo  contenido  de  halógenos  y  baja  emisión  de humo</t>
  </si>
  <si>
    <t>Bajante galvanizado 4" x 6 m</t>
  </si>
  <si>
    <t>Acometida 3 x Nº 6 (F) + 1 x Nº 6 (N) + 1 x Nº 8 (T), sin ducto. Cables de bajo contenido halógenos, baja emisión humo</t>
  </si>
  <si>
    <t>Acometida 2 x Nº 2/0 (F) + 1 x 4 (N) + 1 x Nº 2 (T), sin ducto. Alimenta tablero equipos de aire acondicionado</t>
  </si>
  <si>
    <t>Acometida 3 x Nº 6 (F) + 1 x Nº 6 (N) + 1 x Nº 8 (T), sin ducto. Cables  de  bajo  contenido  halógenos,  baja  emisión  humo. Tablero subestación</t>
  </si>
  <si>
    <t>Tubería  conduit  EMT  3",  soporte  en  riel  undistrut.  No  incluye curvas ni accesorios de conexión</t>
  </si>
  <si>
    <t>Acometida 3 x Nº 4 (F) + 1 x Nº 4 (N) + 1 x Nº 8 (T), sin ducto. Cables  de  bajo  contenido  halógenos,  baja  emisión  humo  a tablero</t>
  </si>
  <si>
    <t>Acometida 3 x Nº 4 (F) + 1 x Nº 4 (N) + 1 x Nº 8 (T), sin ducto. Cables  de  bajo  contenido  halógenos,  baja  emisión  humo. Tablero ascensor</t>
  </si>
  <si>
    <t>Acometida planta de emergencia 2 x Nº 4/0 (F) + 2 x 4/0 (N), sin ducto, alimenta a TGBT</t>
  </si>
  <si>
    <t>Acometida 2 x Nº 8 (F) + 1 x Nº 6 (N) + 1 x Nº 8 (T), ducto PVC 1" hasta gabinete de medidores</t>
  </si>
  <si>
    <t>Cámara  80  x  80  x  100  cm,  según  Norma  CHEC  para  baja tensión</t>
  </si>
  <si>
    <t>Tubería  conduit  EMT  1  1/2",  soporte  en  riel  undistrut.  No incluye curvas ni accesorios de conexión</t>
  </si>
  <si>
    <t>Tubería  conduit  EMT  2",  soporte  en  riel  undistrut.  No  incluye curvas ni accesorios de conexión</t>
  </si>
  <si>
    <t>Acometida 3 # 2 + 1 # 8 (T) THHN, ducto IMC 2" desde tablero general de equipos AA hasta undidad VRF</t>
  </si>
  <si>
    <t>Acometida 3 # 2 (F) + 1 # 8 (T) THHN, ducto IMC 2". Va desde tablero general de equipos de A. A. a undidad VRF 1</t>
  </si>
  <si>
    <t>Canalización ducto conduit PVC 2 ø 4" DB en andén</t>
  </si>
  <si>
    <t>Acometida 3 x Nº 4 (F) + 1 x Nº (N) + 1 x Nº 8 (T), sin ducto. Cables de bajo contenido halógenos, baja emisión humo</t>
  </si>
  <si>
    <t>Acometida 3 # 2 (F) + 1 # 8 (T) THHN, ducto IMC 2". Va desde tablero general de equipos de A.A. a undidad VRF</t>
  </si>
  <si>
    <t>Cable encauchetado 4 x 14 sin ducto</t>
  </si>
  <si>
    <t>Acometida 2 x (3 # 350 KCM (F) ) + 1 x Nº 350 KCM (N)), sin ducto, acometida desde transformador hasta TGBT</t>
  </si>
  <si>
    <t>Acometida 3 # 2 (F) + 1 # 8 (T) THHN, ducto IMC 2". Va desde tablero general de equipos de A.A. a undidad PKT ROOF</t>
  </si>
  <si>
    <t>Cable encauchetado 4 x 16 sin ducto</t>
  </si>
  <si>
    <t>Acometida 3 # 6 (F) + 1 # 8 (T) THHN, ducto IMC 1.1/2". Va desde tablero general de equipos de A.A. a undidad VRF</t>
  </si>
  <si>
    <t>Acometida 3 # 8 (F) + 1 # 8 (T) THHN, ducto IMC 1 1/2". Va desde   tablero   general   de   equipos   de   A.A.   a   undidad   de ventilación</t>
  </si>
  <si>
    <t>Acometida  2 # 12 (F) + 1  # 1  (T) THHN,  ducto  IMC  3/4". Va desde tablero general de equipos de A.A. a undidad de MS de 24000 BTU</t>
  </si>
  <si>
    <t>Tubería  conduit  EMT  4",  soporte  en  riel  undistrut.  No  incluye curvas ni accesorios de conexión</t>
  </si>
  <si>
    <t>Acometida  cable  de  control  apantallado  3  x  16,  ducto  EMT 3/4". Interconecta las undidades de expansión en los diferentes espacios con las undidades en la terraza de equipos</t>
  </si>
  <si>
    <t>3 - 03 TABLEROS Y PROTECCIONES</t>
  </si>
  <si>
    <t>Tablero 2 ø trifilar, 4H 12 circuitos, con puerta tipo TQ CP 12 SQ</t>
  </si>
  <si>
    <t>Tablero  3  ø  tetrafilar,  5H  12  circuitos,  con  puerta,  chapa  y espacio para totalizador tipo NTQ  412 T SQ</t>
  </si>
  <si>
    <t>Tablero  3  ø  tetrafilar,  5H  30  circuitos,  con  puerta,  chapa  y espacio para totalizador tipo NTQ  430 T SQ</t>
  </si>
  <si>
    <t>Tablero  3  ø  tetrafilar,  5H  36  circuitos,  con  puerta,  chapa  y espacio para totalizador tipo NTQ  436 T SQ</t>
  </si>
  <si>
    <t>Tablero  3  ø  tetrafilar,  5H  42  circuitos,  con  puerta,  chapa  y espacio para totalizador tipo NTQ 442 T SQ</t>
  </si>
  <si>
    <t>Tablero  3  ø  tetrafilar,  5H  18  circuitos,  con  puerta,  chapa  y espacio para totalizador tipo NTQ 418 T SQ</t>
  </si>
  <si>
    <t>Breaker monopolar  enchufable de 1 x 20 A. Incluye formado de cable, peinada en el tablero y marcación de circuitos</t>
  </si>
  <si>
    <t>Interruptor industrial 3 x 60 A - 25 Kamp 240 V</t>
  </si>
  <si>
    <t>Interruptor industrial 3 x 100 A - 25 Kamp 240 V</t>
  </si>
  <si>
    <t>Breaker  bipolar  enchufable  de  2  x  20  A.  Incluye  formado  de cable, peinada en el tablero y marcación de circuitos</t>
  </si>
  <si>
    <t>Interruptor industrial 3 x 80 A - 25 Kamp 240 V</t>
  </si>
  <si>
    <t>Breaker tripolar  enchufable de 3 x 20 A</t>
  </si>
  <si>
    <t>Breaker  tripolar  enchufable  de  3  x 50  A.  Incluye  formado  de cable, peinada en el tablero y marcación de circuitos</t>
  </si>
  <si>
    <t>Caja para instalación totalizador acometida ascensor en cuarto de ascensor en terraza</t>
  </si>
  <si>
    <t>Tablero  control  iluminación,  Philips  Dynalite  o  similar,  incluye controlador + 2 reles 1p-10A on/off, Comp. Dali 3 B Interface TCP/I</t>
  </si>
  <si>
    <t>Tablero de protecciones y operación motores</t>
  </si>
  <si>
    <t>Consola de operación (vinculado a tablero de protecciones)</t>
  </si>
  <si>
    <t>Tablero    general    de    baja    tensión,    incluye    transferencia automática  motorizada  de 450A, según  diseños  del proyecto. No se incluyen protecciones</t>
  </si>
  <si>
    <t>Tablero de protecciones equipos de aire acondicionado</t>
  </si>
  <si>
    <t>3 - 04 SALIDAS DE ILUMINACIÓN</t>
  </si>
  <si>
    <t>Salida  iluminación  fluorescente,  tubería  EMT  ø  3/4".  Incluye accesorios de fijación a estructura</t>
  </si>
  <si>
    <t>Salida  iluminación  en  aplique  interior,  tubería  EMT  ø  3/4", incluye  accesorios  de  fijación  a  estructura,  longitud  promedio 6.0 m</t>
  </si>
  <si>
    <t>Salida  iluminación  en  aplique  exterior,  tubería  IMC  ø  3/4", incluye  accesorios  de  fijación  a  estructura,  longitud  promedio 4.5 m</t>
  </si>
  <si>
    <t>Salida interruptor sencillo, tubería EMT ø 3/4"</t>
  </si>
  <si>
    <t>Salida  iluminación  sistemas  de  emergencia,  tubería  EMT  ø 3/4" (avisos de salida, lámparas de emergencia)</t>
  </si>
  <si>
    <t>Salida iluminación rieles a pared para exhibición, tubería EMT ø 3/4", incluye accesorios de fijación a estructura</t>
  </si>
  <si>
    <t>Salida Interruptor triple, tubería EMT ø 3/4"</t>
  </si>
  <si>
    <t>Salida   interruptor   conmutable   doble,   tubería   EMT   ø   3/4". Conductores libres de halógenos y baja emisión de humos</t>
  </si>
  <si>
    <t>Salida  iluminación  Step  Light,  ducto  PVC  1/2"  (Lámparas  de Piso en contra huellas)</t>
  </si>
  <si>
    <t>Salida interruptor doble, tubería EMT ø 3/4"</t>
  </si>
  <si>
    <t>Salida  iluminación  proyectores,  tubería  EMT  ø  3/4",  incluye accesorios de fijación a estructura</t>
  </si>
  <si>
    <t>Salida  interruptor  conmutable  sencillo,  tubería  EMT  ø  3/4". Conductores libres de halógenos y baja emisión de humos</t>
  </si>
  <si>
    <t>Acometida  cable  de  control  apantallado  3  x  16,  ducto  EMT 3/4". Control sistema de dimerización</t>
  </si>
  <si>
    <t>3 - 05 LÁMPARAS DE USO INTERIOR</t>
  </si>
  <si>
    <t>Lámpara sellada IT100, 2 tubos LED 16 W, ILTEC. Incluye 1.5 m de cable encauchetado y clavija</t>
  </si>
  <si>
    <t>Luminaria tipo Atenea 2.5 Lens, 3 LED LINE de 26 W, ILTEC. Incluye 1.5 m de cable encauchetado y clavija</t>
  </si>
  <si>
    <t>Luminaria  Block  Lens  30  x  120  cm,  4400  Lúmenes,  LED, ILTEC. Incluye 1.5 m de cable encauchetado y Clavija</t>
  </si>
  <si>
    <t>Luminaria  de  sobreponer  tipo  tortuga,  CF  23  W,   ILTEC  o similar. Incluye 0.7 m de cable encauchetado y clavija</t>
  </si>
  <si>
    <t>Luminaria tipo Atenea 2.5 Lens, 4 LED LINE de 26 W, ILTEC. Incluye 1.5 m de Cable Encauchetado y Clavija</t>
  </si>
  <si>
    <t>03,05.06</t>
  </si>
  <si>
    <t>Luminaria, tipo  Tria Lens sobreponer, 2 tubos  LED de  18 W, ILTEC. Incluye 1.5 m de cable encauchetado y clavija</t>
  </si>
  <si>
    <t>Luminaria Bala 13 W, tipo 1850 Lúmenes, LED, ILTEC. Incluye 1.5 m de cable encauchetado y clavija</t>
  </si>
  <si>
    <t>Lámpara aviso salida, multivoltaje. autonomía 90 minutos tipo ILTEC</t>
  </si>
  <si>
    <t>Lámpara  de  emergencia,  2  Led  2  W,  multivoltaje.  autonomía 90 minutos</t>
  </si>
  <si>
    <t>Luminaria tipo Atenea 2.5 Lens, 5 LED LINE de 26 W, ILTEC. Incluye 1.5 m de cable encauchetado y clavija</t>
  </si>
  <si>
    <t>Luminaria tipo Atenea 2.5 Lens, 6 LED LINE de 26 W, ILTEC. Incluye 1.5 m de cable encauchetado y clavija</t>
  </si>
  <si>
    <t>Luminaria de aplique tipo Begonia, 2 LED 7 W,  ILTEC. Incluye 0.7 m de cable encauchetado y clavija</t>
  </si>
  <si>
    <t>Luminaria tipo Atenea 2.5 Lens, 7 LED LINE de 26 W, ILTEC. Incluye 1.5 m de cable encauchetado y clavija</t>
  </si>
  <si>
    <t>Luminaria bala led 23 W, 1850 lúmenes, ILTEC. Incluye 1.5 m de cable encauchetado y clavija</t>
  </si>
  <si>
    <t>Luminaria tipo Coral, 6600 Lúmenes, LED,  ILTEC. Incluye 1.5 m de cable encauchetado y clavija</t>
  </si>
  <si>
    <t>Luminaria  tipo  block  Lens  60  x  60  cm,  8000  Lúmenes  LED, ILTEC. Incluye 1.5 m de cable encauchetado y clavija</t>
  </si>
  <si>
    <t>Proyector  LED,  tipo  RGB,  ILTEC.  Incluye  1.5  m  de  cable encauchetado y clavija. Compatible DALI</t>
  </si>
  <si>
    <t>3 - 06 SALIDAS DE TOMA CORRIENTES</t>
  </si>
  <si>
    <t>Salida toma doble polo a tierra  EMT ø 3/4", longitud promedio 6 m</t>
  </si>
  <si>
    <t>Salida toma doble polo a tierra aislada, tubería EMT ø 3/4"</t>
  </si>
  <si>
    <t>Salida   Toma   20   A,   Polo   a   Tierra    EMT   ø   3/4",   longitud promedio 6 m</t>
  </si>
  <si>
    <t>Salida  toma  doble  polo  a  tierra   GFCI,  tubería  EMT  ø  3/4", longitud promedio 6 m</t>
  </si>
  <si>
    <t>Salida  toma  doble  polo  a  tierra   aislada,  tubería  EMT  ø  3/4", longitud promedio 6 m</t>
  </si>
  <si>
    <t>Salida toma 20 A, polo a tierra  EMT ø 3/4", longitud promedio 15 m</t>
  </si>
  <si>
    <t>Salida alimentación equipos tipo cassette, tubería EMT ø 3/4", longitud promedio 9 m</t>
  </si>
  <si>
    <t>Salida toma doble polo a tierra  EMT ø 3/4", longitud promedio 4.5 m para alimentación de equipos de A A tipo cassette</t>
  </si>
  <si>
    <t>Salida  toma  tipo  industrial  de  63  A,   EMT  ø  1",  longitud promedio 2 m. Incluye elementos de soporte y toma industrial de sobre poner</t>
  </si>
  <si>
    <t>Clavija de seguridad tipo industrial,  63 Amp. 3 fases + neutro + tierra</t>
  </si>
  <si>
    <t>3 - 07 RED DE TELEVISIÓN</t>
  </si>
  <si>
    <t>Salida toma de TV, ducto EMT ø 3/4", longitud promedio 15 m, incluye cable coaxial RG-6</t>
  </si>
  <si>
    <t>3 - 08 RED VOZ Y DATOS</t>
  </si>
  <si>
    <t>Salida   doble   voz/  datos   Cat  6A  (canalización   y  aparato), tubería EMT, no incluye cable</t>
  </si>
  <si>
    <t>Cable UTP Categoría 6A, Leviton o similar</t>
  </si>
  <si>
    <t>Rack de piso, cerrado con puerta de vidrio, 6´ x 22.5" x 24" (36 UR)</t>
  </si>
  <si>
    <t>Patch Panel de 24 Puertos Cat. 6A, Marca Leviton o similar</t>
  </si>
  <si>
    <t>Patch Cord 4 Pares 6A de 1.5 m (5´)</t>
  </si>
  <si>
    <t>Patch Cord 2 pares 6A de 3 m</t>
  </si>
  <si>
    <t>Certificación salidas lógicas 6A, 7</t>
  </si>
  <si>
    <t>3 - 09 SISTEMA DE SONIDO</t>
  </si>
  <si>
    <t>Canalización para salida de sonido frontal, tubería EMT</t>
  </si>
  <si>
    <t>Canalización para salidas de sonido laterales, tubería EMT</t>
  </si>
  <si>
    <t>3 - 10 GABINETES MEDIDORES</t>
  </si>
  <si>
    <t>Gabinete  instalación  de  medidor  de  energía  lectura indirecta, fijación en poste</t>
  </si>
  <si>
    <t>Gabinete 4 medidores de energía trifilar</t>
  </si>
  <si>
    <t>Medidor  electrónico  multi  tarifa/  multi  modo,  Elster  clase  0.5, lectura indirecta</t>
  </si>
  <si>
    <t>Medidor  de  energía  trifilar,  3H,  240/120  V  -  15/80  A,  lectura directa. Incluye protocolo de pruebas</t>
  </si>
  <si>
    <t>3 - 11 CONDUCTORES Y CANALIZACIONES</t>
  </si>
  <si>
    <t>Bandeja  portacable  tipo  canasta  CABLOFIL  54  x  400  mm, colgada</t>
  </si>
  <si>
    <t>Soporte  colgante  bandeja  portacable tipo  canasta  CABLOFIL de 200 mm</t>
  </si>
  <si>
    <t>3 - 12 SISTEMA DE PUESTA A TIERRA</t>
  </si>
  <si>
    <t>Malla de puesta a tierra rectangular, 5 x 10 m, cable 2/0 AWG, varillas de cobre ø 5/8" x 2.4 m</t>
  </si>
  <si>
    <t>3 - 13 SISTEMA DE GENERACIÓN DE ENERGÍA ELÉCTRICA</t>
  </si>
  <si>
    <t>Planta  de  Emergencia  100  Kw,  Perkins  -  Stamford  o  similar 214-123 V insonorizada o similar</t>
  </si>
  <si>
    <t>3 - 14 ALUMBRADO PÚBLICO</t>
  </si>
  <si>
    <t>Salida iluminación exterior, ducto PVC de 3/4"</t>
  </si>
  <si>
    <t>Poste metálico de 4 m galvanizado en caliente (por inmersión) con brazo curvo, sencillo de 1 m</t>
  </si>
  <si>
    <t>Luminaria    ornamental    LED    de    reparto    simétrico    para instalación a 4 m de altura. Incluye base para fotocelda</t>
  </si>
  <si>
    <t>3 - 15 PROTECCIÓN EXTERIOR CONTRA RAYOS</t>
  </si>
  <si>
    <t>Alambrón de aluminio sólido, a = 50 mm2 (1/0 AWG Aprox.)</t>
  </si>
  <si>
    <t>Soporte  de  vástago  largo  para  cable  de  aluminio  ø  8  mm, Incluye elementos de fijación a superficie</t>
  </si>
  <si>
    <t>Pundta captadora en aluminio ø 5/8" x 600 mm. Incluye base de fijación en acero inoxidable, cable de conexión y conectores</t>
  </si>
  <si>
    <t>Bajante de apantallamiento a puesta a tierra</t>
  </si>
  <si>
    <t>Conector en cruz, galvanizado, RD 810 o similar</t>
  </si>
  <si>
    <t>Puesta a tierra 1 varilla de cobre 5/8" x 2.4 m y cable de cobre Nº 2 (longitud promedio: 19 m) para apantallamiento</t>
  </si>
  <si>
    <t>3 - 16 SUMINISTROS</t>
  </si>
  <si>
    <t>Suministro, Instalación, configuración  y puesta  en  servicio de UPS  3  ø  10  KVA,  208/120  V,  usada  como   respaldo  de  las salidas reguladas para V/D</t>
  </si>
  <si>
    <t>3 - 17 LEGALIZACIÓN INFRAESTRUCTURA ELÉCTRICA</t>
  </si>
  <si>
    <t>Derechos  ante  CHEC  por  cortes  de  energía,  revisión  y  de conexión del sistema eléctrico</t>
  </si>
  <si>
    <t>Derechos para certificación de conformidad con RETIE</t>
  </si>
  <si>
    <t>3 - 18 ÍTEMS ELÉCTRICOS USO EDIFICACIONES</t>
  </si>
  <si>
    <t>Tablero  monofásico  6  circuitos  con  barraje  de 75  A, barrajes de neutro y tierra. Incluye unda protección de 1 x 20 A 10 KA. Empotrado</t>
  </si>
  <si>
    <t>Tablero  bifásico  4  circuitos  con  barraje  de  75  A,  barrajes  de neutro  y  tierra.  Incluye  unda  protección  de  1  x  20  A  10  KA. Empotrado</t>
  </si>
  <si>
    <t>Tablero bifásico 8 circuitos con barrajes de 125 A, barrajes de neutro y tierra, chapa. Incluye unda protección de 2 x 20 A 10 KA y unda protección de 1 x 20 A 10 KA. Empotrado</t>
  </si>
  <si>
    <t>Tablero trifásico 12  circuitos con barraje de 200 A, barrajes de neutro y tierra, puerta y chapa. Incluye unda protección de 3 x 20  A  10  KA,  unda  protección  de  2  x  20  A  10  KA  y  unda protección de 1 x 20 A 10 KA. Empotrado</t>
  </si>
  <si>
    <t>Tablero trifásico 18 circuitos con barraje de 200 A, barrajes de neutro y tierra, puerta y chapa. Incluye unda protección de 3 x 20  A  10  KA,  unda  protección  de  2  x  20  A  10  KA  y  unda protección de 1 x 20 A 10 KA. Empotrado</t>
  </si>
  <si>
    <t>Tablero trifásico 24 circuitos con barraje de 200 A, barrajes de neutro y tierra, puerta y chapa. Incluye unda protección de 3 x 30 A 10 KA, unda de 3 x 20 A 10 KA, unda protección de 2 x 20 A 10 KA y unda protección de 1 x 20 A 10 KA. Empotrado</t>
  </si>
  <si>
    <t>Salida interruptor sencillo cable Cu # 12 THHN AWG, tubería PVC 1/2" longitud promedio 4,5 m</t>
  </si>
  <si>
    <t>Salida  interruptor  sencillo  cable  Cu  #  12  HFFR  LS,  tubería PVC 1/2" longitud promedio 4,5 m</t>
  </si>
  <si>
    <t>Salida  interruptor  doble  cable  Cu  #  12  THHN  AWG,  tubería PVC 1/2"  longitud promedio 4,5 m</t>
  </si>
  <si>
    <t>Salida interruptor doble cable Cu # 12 HFFR LS, tubería PVC 1/2"  longitud promedio 4,5 m</t>
  </si>
  <si>
    <t>Salida  interruptor  triple  cable  Cu  #  12  THHN  AWG,  tubería PVC 1/2"  longitud promedio 4,5 m</t>
  </si>
  <si>
    <t>Salida interruptor triple cable Cu # 12 HFFR LS, tubería PVC 1/2"  longitud promedio 4,5 m</t>
  </si>
  <si>
    <t>Salida  interruptor  conmutable  sencillo  cable  Cu  #  12  THHN AWG, tubería PVC 1/2"  longitud promedio 4,5 m</t>
  </si>
  <si>
    <t>Salida  toma  doble  polo  a  tierra  cable  Cu  #  12  THHN  AWG, tubería PVC 1/2" longitud promedio 6 m</t>
  </si>
  <si>
    <t>Salida  toma  doble  polo  a  tierra  cable  Cu  #  12  THHN  AWG, tubería conduit EMT 3/4" longitud promedio 6 m</t>
  </si>
  <si>
    <t>Salida  toma  doble  tipo  GFCI  cable  Cu  #  12  THHN  AWG, tubería PVC 1/2" longitud promedio 6 m</t>
  </si>
  <si>
    <t>Salida  para  A.A.  toma  208  V,  4  hilos,  cable  Cu  #  12  THHN AWG, Tubería conduit PVC 3/4" longitud promedio 6 m</t>
  </si>
  <si>
    <t>Salida  lámpara  hermética  2  x  32  W,  cable  Cu  #  12  THHN AWG,  tubería  PVC  1/2"  longitud  promedio  6 m.  Incluye toma doble polo a tierra, clavija y cable encauchetado 3 x 12 AWG</t>
  </si>
  <si>
    <t>Alambrón de Al 8 mm para apantallamiento, incluye accesorios de soporte y fijación</t>
  </si>
  <si>
    <t>Caja de transición sistema de apantallamiento</t>
  </si>
  <si>
    <t>Cable     Cu     desnudo     1/0     anillo     inferior     sistema     de apantallamiento, brecha 0,3 m ancho por 0,7 m profunddidad</t>
  </si>
  <si>
    <t>Percha pesada de und puesto incluye aislador tipo carrete</t>
  </si>
  <si>
    <t>Conector de perforación de aislamiento JZ2- 95 para cable Nº 4</t>
  </si>
  <si>
    <t>Cable cobre trenzado o concéntrico 2 x 8 + 8</t>
  </si>
  <si>
    <t>Medidor   trifilar   de   15/60   A   neutro   incorporado,   demanda sencilla,  electrónico. Incluye canalización y caja metálica tipo intemperie</t>
  </si>
  <si>
    <t>Canalización en tubería PVC 1"</t>
  </si>
  <si>
    <t>Circuito en cable 3x8 HFFR LS</t>
  </si>
  <si>
    <t>Canalización en tubería PVC 1/2"</t>
  </si>
  <si>
    <t>Circuito en cable 3 x 12 HFFR LS</t>
  </si>
  <si>
    <t>Canalización en cielo tubería PVC 1/2" SCH 40</t>
  </si>
  <si>
    <t>Salida  toma  doble  polo  a  tierra  cable  Cu  #  12  HFFR  LS, tubería PVC 1/2" longitud promedio 6 m</t>
  </si>
  <si>
    <t>Salida toma doble tipo GFCI cable Cu # 12 HFFR LS, tubería PVC 1/2" longitud promedio 6 m</t>
  </si>
  <si>
    <t>Salida lámpara Panel Led Sobreponer 60x60 48 W, Cable Cu aislado # 12 HFFR LS, tubería PVC 1/2" longitud promedio 6 m.   Incluye   toma   doble   polo   a    tierra,   clavija    y   cable encauchetado 3 x 12 AWG</t>
  </si>
  <si>
    <t>Caja de inspección para instalación eléctrica, de 0,30 x 0,30 x 0,50 m en concreto de 17,2 Mpa (2500 psi), tapa reforzada en concreto de 20,7 Mpa (3.000 psi), sin base</t>
  </si>
  <si>
    <t>Caja  de  inspección  de  0,60  x  0,60  x  0,60  m  en  ladrillo, concreto  de  17,2  Mpa  y  tapa  reforzada  en  concreto  de  20,7 Mpa para instalaciones eléctricas</t>
  </si>
  <si>
    <t>Kilogramo</t>
  </si>
  <si>
    <t>Impermeabilizante integral para morteros x 4 kg</t>
  </si>
  <si>
    <t>Recubrimiento impermeable para zonas húmedas, tanques y piscinas x 2 kg</t>
  </si>
  <si>
    <t>Recubrimiento impermeable para zonas húmedas, tanques y piscinas x 25 kg</t>
  </si>
  <si>
    <t xml:space="preserve">Aditivo para la adherencia de morteros y revestimientos </t>
  </si>
  <si>
    <t xml:space="preserve">Geotextil 1700 Tejido Ancho 3.85 m </t>
  </si>
  <si>
    <t xml:space="preserve">Geotextil 2100 Tejido Ancho 3.85 m </t>
  </si>
  <si>
    <t xml:space="preserve">Geotextil 2400 Tejido Ancho 3.85 m </t>
  </si>
  <si>
    <t xml:space="preserve">Impermeabilizante (asfáltico anticorrosivo) x 18kg </t>
  </si>
  <si>
    <t>Recubrimiento protector reflectivo acabado en aluminio x 16 kilos</t>
  </si>
  <si>
    <t>Recubrimiento protector reflectivo acabado en aluminio x 3 kilos</t>
  </si>
  <si>
    <t>Sellador y adhesivo elástico de un componente cualquier color de 300ml</t>
  </si>
  <si>
    <t>Acero de refuerzo. Varilla corrugada w60 x 6m. Diámetro de 1/4”</t>
  </si>
  <si>
    <t>Acero de refuerzo. Varilla corrugada w60 x 6m. Diámetro de 3/8”</t>
  </si>
  <si>
    <t>Acero de refuerzo. Varilla corrugada w60 x 6m. Diámetro de 7/8”</t>
  </si>
  <si>
    <t>Malla de acero electrosoldada abertura de 15x15 grafil 5 mm</t>
  </si>
  <si>
    <t>Malla de acero electrosoldada abertura de 15x15 grafil 6 mm</t>
  </si>
  <si>
    <t>Malla de acero electrosoldada abertura de 15x15 grafil 7 mm</t>
  </si>
  <si>
    <t>Malla de acero electrosoldada abertura de 15x15 grafil 8 mm</t>
  </si>
  <si>
    <t>Malla de acero electrosoldada abertura de 15x25 grafil 4 mm</t>
  </si>
  <si>
    <t>Malla de acero electrosoldada abertura de 15x30 grafil 4 mm</t>
  </si>
  <si>
    <t>Malla de acero electrosoldada abertura de 15x30 grafil 5 mm</t>
  </si>
  <si>
    <t>Malla de acero electrosoldada abertura de 20x20 grafil 5 mm</t>
  </si>
  <si>
    <t>Malla de acero electrosoldada abertura de 25x25 grafil 4 mm</t>
  </si>
  <si>
    <t>Afirmado base granular de tamaño máximo 1"</t>
  </si>
  <si>
    <t>Afirmado base granular de tamaño máximo 3/4"</t>
  </si>
  <si>
    <t>Afirmado sub base granular de tamaño máximo 3"</t>
  </si>
  <si>
    <t>Gravilla de río</t>
  </si>
  <si>
    <t>Bloque de cemento abusardado o split 40 x 20 x 12 cm</t>
  </si>
  <si>
    <t>Bloque de cemento abusardado o split 40 x 20 x 15 cm</t>
  </si>
  <si>
    <t>Bloque de cemento abusardado o split 40 x 20 x 20 cm</t>
  </si>
  <si>
    <t>Cuneta en concreto prefabricada de 20 cm x 30 cm x 1 m</t>
  </si>
  <si>
    <t>División metalica para baño</t>
  </si>
  <si>
    <t>Puerta entamborada en lamina galvanizada calibre 20 incluye marco anticorrosivo y pintura</t>
  </si>
  <si>
    <t>Cerradura de pomo bola para entrada alcoba o baño con caja, cantonera, pestillos en acero</t>
  </si>
  <si>
    <t>Cerradura de pomo madera para entrada, alcoba o baño con caja, cantonera, pestillos en acero</t>
  </si>
  <si>
    <t>Cerradura de sobreponer con caja, cantonera, pestillos en acero, para puertas izquierdas o derechas.</t>
  </si>
  <si>
    <t>Teja plástica perfil trapezoidal (ajota) 0,82 x 2,44 m</t>
  </si>
  <si>
    <t>Teja termo acústica trapezoidal A-360 0,82 x 1 m cualquier color</t>
  </si>
  <si>
    <t>Cable acometida antifraude concéntrica 1x8+8 AWG</t>
  </si>
  <si>
    <t>Cable acometida antifraude concéntrica 2x8+8 AWG</t>
  </si>
  <si>
    <t>Cable de cobre aislado AWG-THW N° 10</t>
  </si>
  <si>
    <t>Cable de cobre aislado AWG-THW N° 12</t>
  </si>
  <si>
    <t>Cable de cobre aislado AWG-THW N° 14</t>
  </si>
  <si>
    <t>Cable de cobre aislado AWG-THW N° 2</t>
  </si>
  <si>
    <t>Cable de cobre aislado AWG-THW N° 4</t>
  </si>
  <si>
    <t>Cable de cobre aislado AWG-THW N° 6</t>
  </si>
  <si>
    <t>Cable de cobre aislado AWG-THW N° 8</t>
  </si>
  <si>
    <t>Lámpara reflectora para postes de 400w tipo HPIT a 220 vatios tipo mettalhalay</t>
  </si>
  <si>
    <t>Taco mono polar enchufable o atornillable 100 amperios</t>
  </si>
  <si>
    <t>Taco mono polar enchufable o atornillable 50 amperios</t>
  </si>
  <si>
    <t>Varilla Cooper Weld de 5/8 x 1,50 de Cobre Macizo</t>
  </si>
  <si>
    <t>Varilla Cooper Weld de 5/8 x 1,80 de Cobre Macizo</t>
  </si>
  <si>
    <t>Varilla Cooper Weld de 5/8 x 2,40 de Cobre Macizo</t>
  </si>
  <si>
    <t>Tablero madera MDF - 2.44 m x 1.83 m espesor 15 mm</t>
  </si>
  <si>
    <t>Tablero madera pino - 2.44 x 1.83 m espesor 15 mm</t>
  </si>
  <si>
    <t>Tabla madera caracolí cepillada 0,025 x 0,15</t>
  </si>
  <si>
    <t>Bulto</t>
  </si>
  <si>
    <t>Grata pulidora cónica entorchada de 4"x 5/8"</t>
  </si>
  <si>
    <t>Malla eslabonada altura 1,20 m hueco de 2 1/4" x 2 1/4"</t>
  </si>
  <si>
    <t>Unión rápida de 2” para manguera de 150 PSI</t>
  </si>
  <si>
    <t>Unión rápida de 3” para manguera de 150 PSI</t>
  </si>
  <si>
    <t>Waipe o estopa</t>
  </si>
  <si>
    <t>Caja</t>
  </si>
  <si>
    <t>Baldosa cemento estriada 25 cm x 25 cm x 2,3 mm</t>
  </si>
  <si>
    <t>Canal para perfilería drywall para muros de 90mm x 0,46 mm x 2,40 m</t>
  </si>
  <si>
    <t>Cerámica de pared o piso trafico 5 de 45 x 45 cm</t>
  </si>
  <si>
    <t>Grifería lavamanos mezclador individual (Referencia prisma, piscis o equivalente)</t>
  </si>
  <si>
    <t>Grifería para lavaplatos con dos mezcladores (Referencia piscis o equivalente)</t>
  </si>
  <si>
    <t>Grifería para lavaplatos con un mezclador (Referencia athenea o equivalente)</t>
  </si>
  <si>
    <t>Juego</t>
  </si>
  <si>
    <t xml:space="preserve">Pegante cerámico blanco </t>
  </si>
  <si>
    <t xml:space="preserve">Pegante cerámico gris </t>
  </si>
  <si>
    <t xml:space="preserve">Pegante para bloque de vidrio </t>
  </si>
  <si>
    <t>Perfil en C dimensión 100 x 50 mm espesor 1.2 mm x 6 metros con anticorrosivo</t>
  </si>
  <si>
    <t>Perfil en C dimensión 220 x 80 mm espesor 2.0 mm x 6 metros con anticorrosivo</t>
  </si>
  <si>
    <t>Perfil en C dimensión 76 x 38 mm espesor 1.5 mm x 6 metros</t>
  </si>
  <si>
    <t>Perfil en C dimensión 76 x 38 mm espesor 2.0 mm x 6 metros</t>
  </si>
  <si>
    <t>Acople para sanitarios plástico x 40 cm. 1/2 X 7/8”</t>
  </si>
  <si>
    <t>Tubo presión PVC RDE 11. Diámetro 3/4" x 6m</t>
  </si>
  <si>
    <t>Tubo presión PVC RDE 21. Diámetro 1" x 6m</t>
  </si>
  <si>
    <t>Tubo presión PVC RDE 21. Diámetro 2 1/2" x 6m</t>
  </si>
  <si>
    <t>Aviso para pared en acrílico de 5mm medidas 70 x 55 cm laminado al calor en vinilo blanco mate, incluye dilatadores en aluminio pequeños</t>
  </si>
  <si>
    <t>Cielorraso en PVC Blanco Mate o Brillante de 25cm</t>
  </si>
  <si>
    <t xml:space="preserve">Loseta gris o de color 40x40x6 cm tráfico peatonal </t>
  </si>
  <si>
    <t xml:space="preserve">Loseta alerta gris o de color 40x40x6 cm tráfico peatonal </t>
  </si>
  <si>
    <t xml:space="preserve">Loseta alerta 8 taches gris o de color 40x40x6 cm tráfico peatonal </t>
  </si>
  <si>
    <t xml:space="preserve">Loseta táctil guia gris o de color 40x40x6 cm tráfico peatonal </t>
  </si>
  <si>
    <t>Sardinel prefabricado SC-A85 80 x 20 x 30cm</t>
  </si>
  <si>
    <t>Cuneta 57 (superior)/60(inferior) x 33 x 14cm</t>
  </si>
  <si>
    <t>Cruceta Plástica Juntas 2mm x 100un</t>
  </si>
  <si>
    <t xml:space="preserve">Unidad </t>
  </si>
  <si>
    <t xml:space="preserve">Limatesa en fibrocemento </t>
  </si>
  <si>
    <t xml:space="preserve">GALON </t>
  </si>
  <si>
    <t>2</t>
  </si>
  <si>
    <t>EXCAVACIONES, RELLENOS Y SISTEMA DE DRENAJE</t>
  </si>
  <si>
    <t>Cerramiento en lona verde incluye estructura</t>
  </si>
  <si>
    <t>Trazado y replanteo</t>
  </si>
  <si>
    <t>2,01</t>
  </si>
  <si>
    <t>2,02</t>
  </si>
  <si>
    <t>2,03</t>
  </si>
  <si>
    <t>2,04</t>
  </si>
  <si>
    <t>2,05</t>
  </si>
  <si>
    <t>3</t>
  </si>
  <si>
    <t>ESTRUCTURAS DE CONTENCIÓN</t>
  </si>
  <si>
    <t>3,01</t>
  </si>
  <si>
    <t>Excavacion zanjas de drenaje y de carcamo</t>
  </si>
  <si>
    <t>Instalacion de sistema de drenaje frances</t>
  </si>
  <si>
    <t>Nivelación del terreno con corte</t>
  </si>
  <si>
    <t>Nivelacion y relleno de la cancha, incluye compactacion</t>
  </si>
  <si>
    <t>4</t>
  </si>
  <si>
    <t>4,01</t>
  </si>
  <si>
    <t>4,02</t>
  </si>
  <si>
    <t>FUNDACIÓN</t>
  </si>
  <si>
    <t>MAGDALENA</t>
  </si>
  <si>
    <t>ALCALDÍA MUNICIPAL DE FUNDACIÓN - MAGDALENA</t>
  </si>
  <si>
    <t>JAVIER JOSÉ ROSADO MENDINUETA</t>
  </si>
  <si>
    <t>PROFESIONAL APOYO</t>
  </si>
  <si>
    <t>MP: 08700-52350</t>
  </si>
  <si>
    <t>ACTIVIDADES ADICIONALES A LA ADECUACIÓN DE LA CANCHA DE FÚTBOL (ID 2615), VEREDA COMUNIDAD CRISTALINA BAJA (ID 200), MUNICIPIO DE FUNDACION, MAGDALENA</t>
  </si>
  <si>
    <t>Cerramiento para carcamo</t>
  </si>
  <si>
    <t>Cerramiento muro de contencion</t>
  </si>
  <si>
    <t>Trazado zanjas de drenaje</t>
  </si>
  <si>
    <t>Trazado carcamo</t>
  </si>
  <si>
    <t>Trazado Gaviones</t>
  </si>
  <si>
    <t>Zanja A</t>
  </si>
  <si>
    <t>Zanjas B</t>
  </si>
  <si>
    <t>Zanjas C</t>
  </si>
  <si>
    <t>Zanjas D</t>
  </si>
  <si>
    <t>Zanjas E</t>
  </si>
  <si>
    <t>Zanjas F</t>
  </si>
  <si>
    <t>Borde norte de la cancha</t>
  </si>
  <si>
    <t>Noreste de la cancha</t>
  </si>
  <si>
    <t>borde norte de la cancha</t>
  </si>
  <si>
    <t>noreste de la cancha</t>
  </si>
  <si>
    <r>
      <rPr>
        <b/>
        <sz val="11"/>
        <rFont val="Arial Narrow"/>
        <family val="2"/>
      </rPr>
      <t>Observacion:</t>
    </r>
    <r>
      <rPr>
        <sz val="11"/>
        <rFont val="Arial Narrow"/>
        <family val="2"/>
      </rPr>
      <t xml:space="preserve"> Volumenes obtenidos apartir del programada civil 3D,  revisar plano topografico y cartera de volumenes. </t>
    </r>
  </si>
  <si>
    <t>Borde este de la cancha</t>
  </si>
  <si>
    <t>Borde sur de la cancha</t>
  </si>
  <si>
    <t>Borde oeste de la cancha</t>
  </si>
  <si>
    <t>Postes</t>
  </si>
  <si>
    <t>Transporte de materiales</t>
  </si>
  <si>
    <t>Herramienta Menor</t>
  </si>
  <si>
    <t>Consumibles</t>
  </si>
  <si>
    <t>Malla para gaviones tipo a (C13) 2X1X1</t>
  </si>
  <si>
    <t>Suministro acabados de pintura anticorrosiva</t>
  </si>
  <si>
    <t>Suministro e instalacion luminaria</t>
  </si>
  <si>
    <t>Muro de gaviones</t>
  </si>
  <si>
    <t>Administración (20%)</t>
  </si>
  <si>
    <t>Imprevistos (7%)</t>
  </si>
  <si>
    <t>Utilidad (3%)</t>
  </si>
  <si>
    <t>Sur-oeste cancha</t>
  </si>
  <si>
    <t>2,07</t>
  </si>
  <si>
    <t>2,06</t>
  </si>
  <si>
    <t>Suministro e instalacion tuberia de alcantarillado corrugada 8"</t>
  </si>
  <si>
    <t>Manhole</t>
  </si>
  <si>
    <t>Concreto 3000 psi APORTE ALCALDIA</t>
  </si>
  <si>
    <t>IVA 19% SOBRE LA UTILIDAD</t>
  </si>
  <si>
    <t xml:space="preserve">Cunetas prefabricadas en concreto </t>
  </si>
  <si>
    <t>ACABADOS</t>
  </si>
  <si>
    <t>Lamina galvanizada cal. 20 100 cm x 200 cm</t>
  </si>
  <si>
    <t>Graniplast esgrafiado (Pintuco o equivalente) cualquier color (Galón de 6kg)</t>
  </si>
  <si>
    <t>Incrustaciones sanitarias en cerámica, incluye (porta papel, jabonera, gancho y toallero) (Juego)</t>
  </si>
  <si>
    <t>Pintura a base de agua para uso exterior Koraza cualquier color (cuñete)</t>
  </si>
  <si>
    <t>Pintura a base de agua para uso interior Vinilo Tipo 1 cualquier color (cuñete)</t>
  </si>
  <si>
    <t>A.C.P.M. (GALON)</t>
  </si>
  <si>
    <t>Aceite de 2 tiempos (GALON)</t>
  </si>
  <si>
    <t>Aceite de 4 tiempos (GALON)</t>
  </si>
  <si>
    <t>Gasolina corriente (GALON)</t>
  </si>
  <si>
    <t>Aceite quemado (GALON)</t>
  </si>
  <si>
    <t>Impermeabilizante (asfáltico anticorrosivo) x 18kg</t>
  </si>
  <si>
    <t>Malla de acero electrosoldada abertura de 15x15 grafil 4 mm 6m x 2.35 m</t>
  </si>
  <si>
    <t>Malla de acero electrosoldada abertura de 15x15 grafil 5 mm 6m x 2.35 m</t>
  </si>
  <si>
    <t>Malla de acero electrosoldada abertura de 15x15 grafil 6 mm 6m x 2.35 m</t>
  </si>
  <si>
    <t>Malla de acero electrosoldada abertura de 15x15 grafil 7 mm  6m x 2.35 m</t>
  </si>
  <si>
    <t>Malla de acero electrosoldada abertura de 15x15 grafil 8 mm 6m x 2.35 m</t>
  </si>
  <si>
    <t>Malla de acero electrosoldada abertura de 15x25 grafil 4 mm 6m x 2.35 m</t>
  </si>
  <si>
    <t>Malla de acero electrosoldada abertura de 25x25 - grafil 4 mm  6m x 2.35 m</t>
  </si>
  <si>
    <t>Adoquín de concreto tipo colmena 20X20X8</t>
  </si>
  <si>
    <t>Adoquín de concreto tipo colonial 23X14X6</t>
  </si>
  <si>
    <t>Bloque calado en cemento 12 x 19 x 19 cm</t>
  </si>
  <si>
    <t>Bloque de cemento abusardado o split 40 x 19 x 12 cm</t>
  </si>
  <si>
    <t>Bloque de cemento abusardado o split 40 x 20 x 14.5 cm</t>
  </si>
  <si>
    <t>Teja de zinc arquitectónica Calibre 30 0,80 x 3,05 m</t>
  </si>
  <si>
    <t>Teja de zinc arquitectónica Calibre 30 0,80 x 3,66 m</t>
  </si>
  <si>
    <t>Teja plástica perfil trapezoidal (ajota) 0,83x 1,83 m</t>
  </si>
  <si>
    <t>Caballete cubierta termo acústica A-360 marina trapezoidal 0.80 x 0.60 m x 2 ml</t>
  </si>
  <si>
    <t>Lámpara fluorescente 60 x 60 cm de incrustar o sobreponer</t>
  </si>
  <si>
    <t>Reflector LED 400W IP65 Uso exterior</t>
  </si>
  <si>
    <t>Tomacorriente GFCI 20a</t>
  </si>
  <si>
    <t>Silicona multiuso transparente 300ml</t>
  </si>
  <si>
    <t>Tornillo para madera avellanado 5" x 1"</t>
  </si>
  <si>
    <t>Tornillo para madera avellanado 6" x 1/2"</t>
  </si>
  <si>
    <t>Angulo 30 mm x 20 mm x 2.44 m para perfilería drywall cielo raso</t>
  </si>
  <si>
    <t>Boquilla x 5 kg</t>
  </si>
  <si>
    <t>Kit Orinal mediano de pared tipo Push</t>
  </si>
  <si>
    <t>Kit Orinal petite de pared tipo Push</t>
  </si>
  <si>
    <t>Pegante para bloque de vidrio (10 Kilogramo)</t>
  </si>
  <si>
    <t>Perfil en C dimensión 120 x 60 mm espesor 1.5 mm x 6 metros</t>
  </si>
  <si>
    <t>Tubo redondo galvanizado 1/2" 1,5 mm x 6 m</t>
  </si>
  <si>
    <t>Acople para sanitarios en acero x 40 cm. 1/2 X 7/8”</t>
  </si>
  <si>
    <t>Cielorraso en PVC Blanco Mate o Brillante de 25cm x  10 mm x 3 metros</t>
  </si>
  <si>
    <t>Tornillo Cubierta Acero 12-14x2 1/2 Rosca Completa x50 unidades</t>
  </si>
  <si>
    <t>Loseta gris o de color 40x40x6 cm tráfico peatonal</t>
  </si>
  <si>
    <t>Loseta alerta gris o de color 40x40x6 cm tráfico peatonal</t>
  </si>
  <si>
    <t>Loseta alerta 8 taches gris o de color 40x40x6 cm tráfico peatonal</t>
  </si>
  <si>
    <t>Loseta táctil guia gris o de color 40x40x6 cm tráfico peatonal</t>
  </si>
  <si>
    <t>Cruceta Plástica Juntas 2mm x 300un</t>
  </si>
  <si>
    <t>Teja de Fibrocemento P7 #4</t>
  </si>
  <si>
    <t>Teja de Fibrocemento P7 #6</t>
  </si>
  <si>
    <t>Teja de Fibrocemento P7 #8</t>
  </si>
  <si>
    <t>Teja de Fibrocemento P7 #10</t>
  </si>
  <si>
    <t>Limatesa en fibrocemento</t>
  </si>
  <si>
    <t>Martillo carpintero 16 onzas mango fibra</t>
  </si>
  <si>
    <t>Serrucho profesional de 18 pulgadas</t>
  </si>
  <si>
    <t>Machete tres canales</t>
  </si>
  <si>
    <t>Lima Triangular Con Mango 6"</t>
  </si>
  <si>
    <t>BARRA CAVADORA 1-1/8" de 16 Libras</t>
  </si>
  <si>
    <t>Paladraga Cavadora de 6 pulgadas</t>
  </si>
  <si>
    <t>Manguera Polietileno de baja densidad de 1” ½  x 100 metros</t>
  </si>
  <si>
    <t>Manguera Polietileno de baja densidad de 1” x 100 metros</t>
  </si>
  <si>
    <t>Aditivo para la adherencia de morteros y revestimientos</t>
  </si>
  <si>
    <t>Pegante cerámico blanco</t>
  </si>
  <si>
    <t>Pegante cerámico gris</t>
  </si>
  <si>
    <t>Geotextil 1600S No Tejido Ancho 3.50 m</t>
  </si>
  <si>
    <t>Geotextil 1700 Tejido Ancho 3.85 m</t>
  </si>
  <si>
    <t>Geotextil 2100 Tejido Ancho 3.85 m</t>
  </si>
  <si>
    <t>Geotextil 2400 Tejido Ancho 3.85 m</t>
  </si>
  <si>
    <t>Placa compactadora tipo compactadora incluye operador e insumos necesarios para su operación</t>
  </si>
  <si>
    <t xml:space="preserve">TOTAL COSTO DIRECTO+ COSTO INDIRECTO DE M.O. TRANSPORTE Y EQUIPOS </t>
  </si>
  <si>
    <t>TOTAL M.O. TRANSPORTE Y EQUIPOS UARIV</t>
  </si>
  <si>
    <t>CDP M.O. TRANSPORTE Y EQUIPOS</t>
  </si>
  <si>
    <t>VALOR UNITARIO OFERTA (EQUIPO,TRANSPORTE, MDO)</t>
  </si>
  <si>
    <t>VALOR PARCIAL OFERTA (EQUIPO,TRANSPORTE, MDO)</t>
  </si>
  <si>
    <t>TOTAL COSTO INDIRECTO DE M.O.TRANSPORTE Y EQUIPOS OFERTA</t>
  </si>
  <si>
    <t>TOTAL M.O TRANSPORTE Y EQUIPOS OFERENTE</t>
  </si>
  <si>
    <t>TOTAL COSTO DIRECTO DE M.O.TRANSPORTE Y EQUIPOS</t>
  </si>
  <si>
    <t>Oferta</t>
  </si>
  <si>
    <t>UARIV</t>
  </si>
  <si>
    <t>VALOR UNITARIO UARIV (EQUIPO,TRANSPORTE, MDO)</t>
  </si>
  <si>
    <t>VALOR PARCIAL UARIV (EQUIPO,TRANSPORTE, MDO)</t>
  </si>
  <si>
    <t>VALOR UNITARIO TOTAL (EQUIPO,TRANSPORTE, MDO)</t>
  </si>
  <si>
    <t>VALOR PARCIAL TOTAL (EQUIPO,TRANSPORTE, MDO)</t>
  </si>
  <si>
    <t>TOTAL COSTOS DIRECTOS (EQUIPO,TRANSPORTE, MDO)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</si>
</sst>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1">
    <numFmt numFmtId="6" formatCode="&quot;$&quot;\ #,##0;[Red]\-&quot;$&quot;\ #,##0"/>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F800]dddd\,\ mmmm\ dd\,\ yyyy"/>
    <numFmt numFmtId="165" formatCode="m\-dd\-yy;@"/>
    <numFmt numFmtId="166" formatCode="\ * #,##0.00_-;\-\ * #,##0.00_-;_-\ * &quot;-&quot;??_-;_-@_-"/>
    <numFmt numFmtId="167" formatCode="_(* #,##0.00_);_(* \(#,##0.00\);_(* &quot;-&quot;??_);_(@_)"/>
    <numFmt numFmtId="168" formatCode="_(&quot;$&quot;* #,##0.00_);_(&quot;$&quot;* \(#,##0.00\);_(&quot;$&quot;* &quot;-&quot;??_);_(@_)"/>
    <numFmt numFmtId="169" formatCode="&quot;$&quot;\ #,##0.00"/>
    <numFmt numFmtId="170" formatCode="_(* #,##0.0_);_(* \(#,##0.0\);_(* &quot;-&quot;??_);_(@_)"/>
    <numFmt numFmtId="171" formatCode="_-* #,##0\ _P_t_s_-;\-* #,##0\ _P_t_s_-;_-* &quot;-&quot;\ _P_t_s_-;_-@_-"/>
    <numFmt numFmtId="172" formatCode="_-* #,##0.000_-;\-* #,##0.000_-;_-* &quot;-&quot;_-;_-@_-"/>
    <numFmt numFmtId="173" formatCode="_-* #,##0.00_-;\-* #,##0.00_-;_-* &quot;-&quot;_-;_-@_-"/>
    <numFmt numFmtId="174" formatCode="0.000"/>
    <numFmt numFmtId="175" formatCode="_-* #,##0.0_-;\-* #,##0.0_-;_-* &quot;-&quot;?_-;_-@_-"/>
    <numFmt numFmtId="176" formatCode="_-&quot;$&quot;\ * #,##0.00_-;\-&quot;$&quot;\ * #,##0.00_-;_-&quot;$&quot;\ * &quot;-&quot;_-;_-@_-"/>
    <numFmt numFmtId="177" formatCode="\ * #,##0.000_-;\-\ * #,##0.000_-;_-\ * &quot;-&quot;??_-;_-@_-"/>
    <numFmt numFmtId="178" formatCode="&quot;$&quot;_-* #,##0.000_-;\-* #,##0.000_-;_-* &quot;-&quot;_-;_-@_-"/>
  </numFmts>
  <fonts count="55" x14ac:knownFonts="1">
    <font>
      <sz val="11"/>
      <color theme="1"/>
      <name val="Aptos Narrow"/>
      <family val="2"/>
      <scheme val="minor"/>
    </font>
    <font>
      <sz val="11"/>
      <color theme="1"/>
      <name val="Aptos Narrow"/>
      <family val="2"/>
      <scheme val="minor"/>
    </font>
    <font>
      <sz val="11"/>
      <color rgb="FFFF0000"/>
      <name val="Aptos Narrow"/>
      <family val="2"/>
      <scheme val="minor"/>
    </font>
    <font>
      <sz val="11"/>
      <color theme="0"/>
      <name val="Aptos Narrow"/>
      <family val="2"/>
      <scheme val="minor"/>
    </font>
    <font>
      <b/>
      <sz val="11"/>
      <name val="Arial Nova"/>
      <family val="2"/>
    </font>
    <font>
      <b/>
      <i/>
      <sz val="11"/>
      <name val="Arial Nova"/>
      <family val="2"/>
    </font>
    <font>
      <sz val="11"/>
      <color theme="1"/>
      <name val="Trebuchet MS"/>
      <family val="2"/>
    </font>
    <font>
      <i/>
      <sz val="11"/>
      <name val="Arial Nova"/>
      <family val="2"/>
    </font>
    <font>
      <sz val="11"/>
      <name val="Arial Nova"/>
      <family val="2"/>
    </font>
    <font>
      <i/>
      <sz val="11"/>
      <color indexed="8"/>
      <name val="Arial Nova"/>
      <family val="2"/>
    </font>
    <font>
      <b/>
      <sz val="11"/>
      <name val="Arial Narrow"/>
      <family val="2"/>
    </font>
    <font>
      <sz val="11"/>
      <name val="Arial Narrow"/>
      <family val="2"/>
    </font>
    <font>
      <i/>
      <sz val="11"/>
      <color rgb="FFFF0000"/>
      <name val="Arial Nova"/>
      <family val="2"/>
    </font>
    <font>
      <b/>
      <sz val="12"/>
      <name val="Arial Narrow"/>
      <family val="2"/>
    </font>
    <font>
      <u/>
      <sz val="10"/>
      <color indexed="12"/>
      <name val="Arial"/>
      <family val="2"/>
    </font>
    <font>
      <b/>
      <sz val="11"/>
      <color theme="1"/>
      <name val="Arial Narrow"/>
      <family val="2"/>
    </font>
    <font>
      <b/>
      <sz val="10"/>
      <name val="Aptos Narrow"/>
      <family val="2"/>
    </font>
    <font>
      <sz val="10"/>
      <name val="Aptos Narrow"/>
      <family val="2"/>
    </font>
    <font>
      <sz val="10"/>
      <color rgb="FF000000"/>
      <name val="Aptos Narrow"/>
      <family val="2"/>
    </font>
    <font>
      <sz val="8"/>
      <name val="Aptos Narrow"/>
      <family val="2"/>
      <scheme val="minor"/>
    </font>
    <font>
      <sz val="10"/>
      <name val="Arial"/>
      <family val="2"/>
    </font>
    <font>
      <b/>
      <vertAlign val="superscript"/>
      <sz val="12"/>
      <name val="Arial Narrow"/>
      <family val="2"/>
    </font>
    <font>
      <sz val="11"/>
      <color theme="1"/>
      <name val="Arial Narrow"/>
      <family val="2"/>
    </font>
    <font>
      <b/>
      <sz val="11"/>
      <color rgb="FFFF0000"/>
      <name val="Arial Narrow"/>
      <family val="2"/>
    </font>
    <font>
      <sz val="10"/>
      <name val="Arial Narrow"/>
      <family val="2"/>
    </font>
    <font>
      <b/>
      <i/>
      <sz val="11"/>
      <name val="Arial Narrow"/>
      <family val="2"/>
    </font>
    <font>
      <i/>
      <sz val="11"/>
      <name val="Arial Narrow"/>
      <family val="2"/>
    </font>
    <font>
      <sz val="10"/>
      <color theme="1"/>
      <name val="Arial"/>
      <family val="2"/>
    </font>
    <font>
      <sz val="3"/>
      <color theme="1"/>
      <name val="Aptos Narrow"/>
      <family val="2"/>
      <scheme val="minor"/>
    </font>
    <font>
      <b/>
      <vertAlign val="superscript"/>
      <sz val="3"/>
      <name val="Arial Narrow"/>
      <family val="2"/>
    </font>
    <font>
      <b/>
      <sz val="9"/>
      <name val="Arial Narrow"/>
      <family val="2"/>
    </font>
    <font>
      <i/>
      <sz val="9"/>
      <name val="Arial Narrow"/>
      <family val="2"/>
    </font>
    <font>
      <b/>
      <i/>
      <sz val="10"/>
      <name val="Arial Narrow"/>
      <family val="2"/>
    </font>
    <font>
      <b/>
      <i/>
      <sz val="9"/>
      <name val="Arial Narrow"/>
      <family val="2"/>
    </font>
    <font>
      <sz val="9"/>
      <name val="Arial Narrow"/>
      <family val="2"/>
    </font>
    <font>
      <sz val="11"/>
      <color indexed="8"/>
      <name val="Trebuchet MS"/>
      <family val="2"/>
    </font>
    <font>
      <sz val="11"/>
      <color theme="1" tint="4.9989318521683403E-2"/>
      <name val="Aptos Narrow"/>
      <family val="2"/>
      <scheme val="minor"/>
    </font>
    <font>
      <i/>
      <sz val="3"/>
      <name val="Arial Narrow"/>
      <family val="2"/>
    </font>
    <font>
      <b/>
      <i/>
      <sz val="9"/>
      <color theme="0"/>
      <name val="Arial Narrow"/>
      <family val="2"/>
    </font>
    <font>
      <sz val="11"/>
      <name val="Aptos Narrow"/>
      <family val="2"/>
      <scheme val="minor"/>
    </font>
    <font>
      <sz val="11"/>
      <color rgb="FFC00000"/>
      <name val="Aptos Narrow"/>
      <family val="2"/>
      <scheme val="minor"/>
    </font>
    <font>
      <sz val="11"/>
      <color rgb="FFFF0000"/>
      <name val="Arial Narrow"/>
      <family val="2"/>
    </font>
    <font>
      <sz val="11"/>
      <color rgb="FFC00000"/>
      <name val="Arial Narrow"/>
      <family val="2"/>
    </font>
    <font>
      <i/>
      <sz val="9"/>
      <color theme="0" tint="-0.14999847407452621"/>
      <name val="Arial Narrow"/>
      <family val="2"/>
    </font>
    <font>
      <b/>
      <i/>
      <sz val="9"/>
      <color theme="0" tint="-0.14999847407452621"/>
      <name val="Arial Narrow"/>
      <family val="2"/>
    </font>
    <font>
      <sz val="11"/>
      <color rgb="FF000000"/>
      <name val="Calibri"/>
      <family val="2"/>
    </font>
    <font>
      <sz val="11"/>
      <color theme="1"/>
      <name val="Aptos Display"/>
      <family val="2"/>
      <scheme val="major"/>
    </font>
    <font>
      <sz val="11"/>
      <name val="Aptos Display"/>
      <family val="2"/>
      <scheme val="major"/>
    </font>
    <font>
      <b/>
      <sz val="11"/>
      <name val="Aptos Display"/>
      <family val="2"/>
      <scheme val="major"/>
    </font>
    <font>
      <b/>
      <u/>
      <sz val="11"/>
      <name val="Aptos Display"/>
      <family val="2"/>
      <scheme val="major"/>
    </font>
    <font>
      <b/>
      <sz val="11"/>
      <color theme="1"/>
      <name val="Aptos Display"/>
      <family val="2"/>
      <scheme val="major"/>
    </font>
    <font>
      <u/>
      <sz val="11"/>
      <name val="Aptos Display"/>
      <family val="2"/>
      <scheme val="major"/>
    </font>
    <font>
      <i/>
      <sz val="11"/>
      <name val="Aptos Display"/>
      <family val="2"/>
      <scheme val="major"/>
    </font>
    <font>
      <b/>
      <u/>
      <sz val="11"/>
      <color theme="1"/>
      <name val="Aptos Display"/>
      <family val="2"/>
      <scheme val="major"/>
    </font>
    <font>
      <b/>
      <i/>
      <sz val="11"/>
      <name val="Aptos Display"/>
      <family val="2"/>
      <scheme val="major"/>
    </font>
  </fonts>
  <fills count="15">
    <fill>
      <patternFill patternType="none"/>
    </fill>
    <fill>
      <patternFill patternType="gray125"/>
    </fill>
    <fill>
      <patternFill patternType="solid">
        <fgColor rgb="FF9DEDC9"/>
      </patternFill>
    </fill>
    <fill>
      <patternFill patternType="solid">
        <fgColor rgb="FFBDF3DC"/>
      </patternFill>
    </fill>
    <fill>
      <patternFill patternType="solid">
        <fgColor theme="7" tint="0.79998168889431442"/>
        <bgColor indexed="64"/>
      </patternFill>
    </fill>
    <fill>
      <patternFill patternType="solid">
        <fgColor indexed="9"/>
        <bgColor indexed="64"/>
      </patternFill>
    </fill>
    <fill>
      <patternFill patternType="solid">
        <fgColor indexed="22"/>
        <bgColor indexed="64"/>
      </patternFill>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theme="0" tint="-0.34998626667073579"/>
        <bgColor indexed="64"/>
      </patternFill>
    </fill>
    <fill>
      <patternFill patternType="solid">
        <fgColor theme="4" tint="0.79998168889431442"/>
        <bgColor indexed="64"/>
      </patternFill>
    </fill>
    <fill>
      <patternFill patternType="solid">
        <fgColor theme="9" tint="0.79998168889431442"/>
        <bgColor indexed="64"/>
      </patternFill>
    </fill>
  </fills>
  <borders count="10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auto="1"/>
      </right>
      <top/>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bottom/>
      <diagonal/>
    </border>
    <border>
      <left/>
      <right style="medium">
        <color indexed="64"/>
      </right>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style="hair">
        <color indexed="64"/>
      </left>
      <right style="medium">
        <color indexed="64"/>
      </right>
      <top style="medium">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diagonal/>
    </border>
    <border>
      <left style="hair">
        <color indexed="64"/>
      </left>
      <right style="medium">
        <color indexed="64"/>
      </right>
      <top/>
      <bottom/>
      <diagonal/>
    </border>
    <border>
      <left style="hair">
        <color indexed="64"/>
      </left>
      <right style="medium">
        <color indexed="64"/>
      </right>
      <top/>
      <bottom style="hair">
        <color indexed="64"/>
      </bottom>
      <diagonal/>
    </border>
    <border>
      <left/>
      <right style="hair">
        <color indexed="64"/>
      </right>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style="thin">
        <color indexed="64"/>
      </bottom>
      <diagonal/>
    </border>
    <border>
      <left style="medium">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hair">
        <color indexed="64"/>
      </left>
      <right style="medium">
        <color indexed="64"/>
      </right>
      <top style="thin">
        <color indexed="64"/>
      </top>
      <bottom style="hair">
        <color indexed="64"/>
      </bottom>
      <diagonal/>
    </border>
    <border>
      <left style="medium">
        <color indexed="64"/>
      </left>
      <right/>
      <top style="hair">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hair">
        <color indexed="64"/>
      </bottom>
      <diagonal/>
    </border>
    <border>
      <left/>
      <right style="hair">
        <color indexed="64"/>
      </right>
      <top/>
      <bottom style="hair">
        <color indexed="64"/>
      </bottom>
      <diagonal/>
    </border>
    <border>
      <left/>
      <right style="hair">
        <color indexed="64"/>
      </right>
      <top style="hair">
        <color indexed="64"/>
      </top>
      <bottom/>
      <diagonal/>
    </border>
    <border>
      <left style="thin">
        <color indexed="64"/>
      </left>
      <right/>
      <top/>
      <bottom/>
      <diagonal/>
    </border>
    <border>
      <left/>
      <right style="thin">
        <color indexed="64"/>
      </right>
      <top/>
      <bottom/>
      <diagonal/>
    </border>
    <border>
      <left/>
      <right/>
      <top style="hair">
        <color indexed="64"/>
      </top>
      <bottom/>
      <diagonal/>
    </border>
    <border>
      <left style="thin">
        <color indexed="64"/>
      </left>
      <right style="thin">
        <color indexed="64"/>
      </right>
      <top/>
      <bottom style="thin">
        <color indexed="64"/>
      </bottom>
      <diagonal/>
    </border>
    <border>
      <left style="thin">
        <color indexed="64"/>
      </left>
      <right/>
      <top style="medium">
        <color indexed="64"/>
      </top>
      <bottom style="medium">
        <color indexed="64"/>
      </bottom>
      <diagonal/>
    </border>
    <border>
      <left style="medium">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style="medium">
        <color indexed="64"/>
      </bottom>
      <diagonal/>
    </border>
    <border>
      <left style="medium">
        <color indexed="64"/>
      </left>
      <right style="medium">
        <color indexed="64"/>
      </right>
      <top/>
      <bottom/>
      <diagonal/>
    </border>
    <border>
      <left/>
      <right style="thin">
        <color indexed="64"/>
      </right>
      <top/>
      <bottom style="medium">
        <color indexed="64"/>
      </bottom>
      <diagonal/>
    </border>
    <border>
      <left style="thin">
        <color theme="1"/>
      </left>
      <right style="thin">
        <color theme="1"/>
      </right>
      <top style="thin">
        <color theme="1"/>
      </top>
      <bottom style="thin">
        <color theme="1"/>
      </bottom>
      <diagonal/>
    </border>
  </borders>
  <cellStyleXfs count="16">
    <xf numFmtId="0" fontId="0" fillId="0" borderId="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0" fontId="6" fillId="0" borderId="0"/>
    <xf numFmtId="43" fontId="1" fillId="0" borderId="0" applyFont="0" applyFill="0" applyBorder="0" applyAlignment="0" applyProtection="0"/>
    <xf numFmtId="0" fontId="14" fillId="0" borderId="0" applyNumberFormat="0" applyFill="0" applyBorder="0" applyAlignment="0" applyProtection="0">
      <alignment vertical="top"/>
      <protection locked="0"/>
    </xf>
    <xf numFmtId="0" fontId="20" fillId="0" borderId="0"/>
    <xf numFmtId="167" fontId="1" fillId="0" borderId="0" applyFont="0" applyFill="0" applyBorder="0" applyAlignment="0" applyProtection="0"/>
    <xf numFmtId="41" fontId="1" fillId="0" borderId="0" applyFont="0" applyFill="0" applyBorder="0" applyAlignment="0" applyProtection="0"/>
    <xf numFmtId="0" fontId="1" fillId="0" borderId="0"/>
    <xf numFmtId="168" fontId="1" fillId="0" borderId="0" applyFont="0" applyFill="0" applyBorder="0" applyAlignment="0" applyProtection="0"/>
    <xf numFmtId="171" fontId="20" fillId="0" borderId="0" applyFont="0" applyFill="0" applyBorder="0" applyAlignment="0" applyProtection="0"/>
    <xf numFmtId="167" fontId="35" fillId="0" borderId="0" applyFont="0" applyFill="0" applyBorder="0" applyAlignment="0" applyProtection="0"/>
    <xf numFmtId="42" fontId="35" fillId="0" borderId="0" applyFont="0" applyFill="0" applyBorder="0" applyAlignment="0" applyProtection="0"/>
    <xf numFmtId="0" fontId="45" fillId="0" borderId="0" applyNumberFormat="0" applyBorder="0" applyAlignment="0"/>
  </cellStyleXfs>
  <cellXfs count="595">
    <xf numFmtId="0" fontId="0" fillId="0" borderId="0" xfId="0"/>
    <xf numFmtId="0" fontId="8" fillId="0" borderId="0" xfId="0" applyFont="1" applyAlignment="1">
      <alignment horizontal="left" wrapText="1"/>
    </xf>
    <xf numFmtId="0" fontId="8" fillId="0" borderId="0" xfId="0" applyFont="1" applyAlignment="1">
      <alignment wrapText="1"/>
    </xf>
    <xf numFmtId="0" fontId="9" fillId="0" borderId="0" xfId="4" applyFont="1" applyAlignment="1">
      <alignment horizontal="center" vertical="center" wrapText="1"/>
    </xf>
    <xf numFmtId="0" fontId="5" fillId="0" borderId="8" xfId="0" applyFont="1" applyBorder="1" applyAlignment="1">
      <alignment horizontal="left" vertical="center" wrapText="1"/>
    </xf>
    <xf numFmtId="164" fontId="7" fillId="0" borderId="8" xfId="4" applyNumberFormat="1" applyFont="1" applyBorder="1" applyAlignment="1" applyProtection="1">
      <alignment horizontal="center" vertical="center" wrapText="1"/>
      <protection locked="0"/>
    </xf>
    <xf numFmtId="0" fontId="5" fillId="0" borderId="8" xfId="0" applyFont="1" applyBorder="1" applyAlignment="1">
      <alignment horizontal="center" vertical="center" wrapText="1"/>
    </xf>
    <xf numFmtId="0" fontId="7" fillId="0" borderId="8" xfId="4" applyFont="1" applyBorder="1" applyAlignment="1" applyProtection="1">
      <alignment horizontal="center" vertical="center" wrapText="1"/>
      <protection locked="0"/>
    </xf>
    <xf numFmtId="0" fontId="8" fillId="0" borderId="0" xfId="0" applyFont="1" applyAlignment="1">
      <alignment vertical="center" wrapText="1"/>
    </xf>
    <xf numFmtId="1" fontId="7" fillId="0" borderId="8" xfId="4" applyNumberFormat="1" applyFont="1" applyBorder="1" applyAlignment="1" applyProtection="1">
      <alignment horizontal="center" vertical="center" wrapText="1"/>
      <protection locked="0"/>
    </xf>
    <xf numFmtId="0" fontId="5" fillId="0" borderId="8" xfId="0" applyFont="1" applyBorder="1" applyAlignment="1">
      <alignment horizontal="left" wrapText="1"/>
    </xf>
    <xf numFmtId="43" fontId="10" fillId="0" borderId="0" xfId="5" applyFont="1" applyBorder="1" applyAlignment="1">
      <alignment vertical="center"/>
    </xf>
    <xf numFmtId="43" fontId="11" fillId="0" borderId="0" xfId="5" applyFont="1" applyBorder="1" applyAlignment="1">
      <alignment vertical="center"/>
    </xf>
    <xf numFmtId="0" fontId="0" fillId="0" borderId="0" xfId="0" applyAlignment="1">
      <alignment horizontal="center"/>
    </xf>
    <xf numFmtId="0" fontId="16" fillId="2" borderId="27" xfId="0" applyFont="1" applyFill="1" applyBorder="1" applyAlignment="1">
      <alignment vertical="center"/>
    </xf>
    <xf numFmtId="0" fontId="16" fillId="2" borderId="28" xfId="0" applyFont="1" applyFill="1" applyBorder="1" applyAlignment="1">
      <alignment vertical="center"/>
    </xf>
    <xf numFmtId="0" fontId="16" fillId="2" borderId="29" xfId="0" applyFont="1" applyFill="1" applyBorder="1" applyAlignment="1">
      <alignment vertical="center"/>
    </xf>
    <xf numFmtId="0" fontId="16" fillId="2" borderId="30" xfId="0" applyFont="1" applyFill="1" applyBorder="1" applyAlignment="1">
      <alignment horizontal="left" vertical="center"/>
    </xf>
    <xf numFmtId="0" fontId="16" fillId="2" borderId="27" xfId="0" applyFont="1" applyFill="1" applyBorder="1" applyAlignment="1">
      <alignment horizontal="left" vertical="center"/>
    </xf>
    <xf numFmtId="0" fontId="16" fillId="2" borderId="30" xfId="0" applyFont="1" applyFill="1" applyBorder="1" applyAlignment="1">
      <alignment horizontal="center" vertical="center"/>
    </xf>
    <xf numFmtId="0" fontId="17" fillId="0" borderId="30" xfId="0" applyFont="1" applyBorder="1" applyAlignment="1">
      <alignment horizontal="left" vertical="center"/>
    </xf>
    <xf numFmtId="0" fontId="17" fillId="0" borderId="27" xfId="0" applyFont="1" applyBorder="1" applyAlignment="1">
      <alignment horizontal="left" vertical="center"/>
    </xf>
    <xf numFmtId="0" fontId="18" fillId="0" borderId="30" xfId="0" applyFont="1" applyBorder="1" applyAlignment="1">
      <alignment horizontal="center" vertical="center"/>
    </xf>
    <xf numFmtId="3" fontId="18" fillId="0" borderId="30" xfId="0" applyNumberFormat="1" applyFont="1" applyBorder="1" applyAlignment="1">
      <alignment horizontal="center" vertical="center" shrinkToFit="1"/>
    </xf>
    <xf numFmtId="0" fontId="17" fillId="0" borderId="30" xfId="0" applyFont="1" applyBorder="1" applyAlignment="1">
      <alignment horizontal="center" vertical="center"/>
    </xf>
    <xf numFmtId="0" fontId="16" fillId="2" borderId="30" xfId="0" applyFont="1" applyFill="1" applyBorder="1" applyAlignment="1">
      <alignment vertical="center"/>
    </xf>
    <xf numFmtId="165" fontId="18" fillId="0" borderId="27" xfId="0" applyNumberFormat="1" applyFont="1" applyBorder="1" applyAlignment="1">
      <alignment horizontal="left" vertical="center" shrinkToFit="1"/>
    </xf>
    <xf numFmtId="0" fontId="17" fillId="0" borderId="28" xfId="0" applyFont="1" applyBorder="1" applyAlignment="1">
      <alignment horizontal="left" vertical="center"/>
    </xf>
    <xf numFmtId="0" fontId="18" fillId="0" borderId="28" xfId="0" applyFont="1" applyBorder="1" applyAlignment="1">
      <alignment horizontal="center" vertical="center"/>
    </xf>
    <xf numFmtId="3" fontId="18" fillId="0" borderId="29" xfId="0" applyNumberFormat="1" applyFont="1" applyBorder="1" applyAlignment="1">
      <alignment horizontal="center" vertical="center" shrinkToFit="1"/>
    </xf>
    <xf numFmtId="165" fontId="18" fillId="0" borderId="30" xfId="0" applyNumberFormat="1" applyFont="1" applyBorder="1" applyAlignment="1">
      <alignment horizontal="left" vertical="center" shrinkToFit="1"/>
    </xf>
    <xf numFmtId="0" fontId="18" fillId="0" borderId="30" xfId="0" applyFont="1" applyBorder="1" applyAlignment="1">
      <alignment horizontal="left" vertical="center"/>
    </xf>
    <xf numFmtId="0" fontId="17" fillId="0" borderId="28" xfId="0" applyFont="1" applyBorder="1" applyAlignment="1">
      <alignment horizontal="center" vertical="center"/>
    </xf>
    <xf numFmtId="0" fontId="18" fillId="0" borderId="28" xfId="0" applyFont="1" applyBorder="1" applyAlignment="1">
      <alignment horizontal="left" vertical="center"/>
    </xf>
    <xf numFmtId="1" fontId="18" fillId="0" borderId="30" xfId="0" applyNumberFormat="1" applyFont="1" applyBorder="1" applyAlignment="1">
      <alignment horizontal="center" vertical="center" shrinkToFit="1"/>
    </xf>
    <xf numFmtId="0" fontId="18" fillId="2" borderId="30" xfId="0" applyFont="1" applyFill="1" applyBorder="1" applyAlignment="1">
      <alignment vertical="center"/>
    </xf>
    <xf numFmtId="165" fontId="18" fillId="0" borderId="31" xfId="0" applyNumberFormat="1" applyFont="1" applyBorder="1" applyAlignment="1">
      <alignment horizontal="left" vertical="center" shrinkToFit="1"/>
    </xf>
    <xf numFmtId="0" fontId="18" fillId="0" borderId="32" xfId="0" applyFont="1" applyBorder="1" applyAlignment="1">
      <alignment horizontal="left" vertical="center"/>
    </xf>
    <xf numFmtId="0" fontId="17" fillId="0" borderId="32" xfId="0" applyFont="1" applyBorder="1" applyAlignment="1">
      <alignment horizontal="center" vertical="center"/>
    </xf>
    <xf numFmtId="3" fontId="18" fillId="0" borderId="33" xfId="0" applyNumberFormat="1" applyFont="1" applyBorder="1" applyAlignment="1">
      <alignment horizontal="center" vertical="center" shrinkToFit="1"/>
    </xf>
    <xf numFmtId="0" fontId="16" fillId="3" borderId="30" xfId="0" applyFont="1" applyFill="1" applyBorder="1" applyAlignment="1">
      <alignment vertical="center"/>
    </xf>
    <xf numFmtId="3" fontId="18" fillId="0" borderId="28" xfId="0" applyNumberFormat="1" applyFont="1" applyBorder="1" applyAlignment="1">
      <alignment horizontal="center" vertical="center" shrinkToFit="1"/>
    </xf>
    <xf numFmtId="0" fontId="11" fillId="0" borderId="17" xfId="7" applyFont="1" applyBorder="1" applyAlignment="1">
      <alignment horizontal="centerContinuous" vertical="center" wrapText="1"/>
    </xf>
    <xf numFmtId="0" fontId="11" fillId="0" borderId="18" xfId="7" applyFont="1" applyBorder="1" applyAlignment="1">
      <alignment horizontal="centerContinuous" vertical="center" wrapText="1"/>
    </xf>
    <xf numFmtId="166" fontId="11" fillId="0" borderId="18" xfId="7" applyNumberFormat="1" applyFont="1" applyBorder="1" applyAlignment="1">
      <alignment horizontal="centerContinuous" vertical="center" wrapText="1"/>
    </xf>
    <xf numFmtId="0" fontId="11" fillId="0" borderId="19" xfId="7" applyFont="1" applyBorder="1" applyAlignment="1">
      <alignment horizontal="centerContinuous" vertical="center" wrapText="1"/>
    </xf>
    <xf numFmtId="0" fontId="11" fillId="0" borderId="35" xfId="7" applyFont="1" applyBorder="1" applyAlignment="1">
      <alignment horizontal="centerContinuous" vertical="center" wrapText="1"/>
    </xf>
    <xf numFmtId="0" fontId="11" fillId="0" borderId="42" xfId="7" applyFont="1" applyBorder="1" applyAlignment="1">
      <alignment horizontal="center" vertical="center" wrapText="1"/>
    </xf>
    <xf numFmtId="0" fontId="3" fillId="0" borderId="0" xfId="0" applyFont="1"/>
    <xf numFmtId="0" fontId="5" fillId="0" borderId="50" xfId="0" applyFont="1" applyBorder="1" applyAlignment="1">
      <alignment horizontal="left" vertical="center" wrapText="1"/>
    </xf>
    <xf numFmtId="0" fontId="8" fillId="0" borderId="51" xfId="4" applyFont="1" applyBorder="1" applyAlignment="1" applyProtection="1">
      <alignment horizontal="centerContinuous" vertical="center" wrapText="1"/>
      <protection locked="0"/>
    </xf>
    <xf numFmtId="0" fontId="8" fillId="0" borderId="43" xfId="4" applyFont="1" applyBorder="1" applyAlignment="1" applyProtection="1">
      <alignment horizontal="centerContinuous" vertical="center" wrapText="1"/>
      <protection locked="0"/>
    </xf>
    <xf numFmtId="0" fontId="2" fillId="0" borderId="0" xfId="0" applyFont="1"/>
    <xf numFmtId="0" fontId="27" fillId="0" borderId="0" xfId="0" applyFont="1" applyAlignment="1">
      <alignment horizontal="center" vertical="center" wrapText="1"/>
    </xf>
    <xf numFmtId="0" fontId="27" fillId="0" borderId="0" xfId="0" applyFont="1" applyAlignment="1">
      <alignment horizontal="center" vertical="center"/>
    </xf>
    <xf numFmtId="168" fontId="27" fillId="0" borderId="0" xfId="11" applyFont="1" applyFill="1" applyBorder="1" applyAlignment="1">
      <alignment horizontal="center" vertical="center"/>
    </xf>
    <xf numFmtId="168" fontId="27" fillId="0" borderId="0" xfId="0" applyNumberFormat="1" applyFont="1" applyAlignment="1">
      <alignment horizontal="center" vertical="center"/>
    </xf>
    <xf numFmtId="8" fontId="27" fillId="0" borderId="0" xfId="0" applyNumberFormat="1" applyFont="1" applyAlignment="1">
      <alignment horizontal="center" vertical="center"/>
    </xf>
    <xf numFmtId="0" fontId="7" fillId="0" borderId="8" xfId="4" applyFont="1" applyBorder="1" applyAlignment="1" applyProtection="1">
      <alignment horizontal="centerContinuous" vertical="center" wrapText="1"/>
      <protection locked="0"/>
    </xf>
    <xf numFmtId="0" fontId="12" fillId="0" borderId="8" xfId="4" applyFont="1" applyBorder="1" applyAlignment="1" applyProtection="1">
      <alignment horizontal="centerContinuous" vertical="center" wrapText="1"/>
      <protection locked="0"/>
    </xf>
    <xf numFmtId="0" fontId="12" fillId="0" borderId="50" xfId="4" applyFont="1" applyBorder="1" applyAlignment="1" applyProtection="1">
      <alignment horizontal="centerContinuous" vertical="center" wrapText="1"/>
      <protection locked="0"/>
    </xf>
    <xf numFmtId="0" fontId="7" fillId="0" borderId="51" xfId="4" applyFont="1" applyBorder="1" applyAlignment="1" applyProtection="1">
      <alignment horizontal="centerContinuous" vertical="center" wrapText="1"/>
      <protection locked="0"/>
    </xf>
    <xf numFmtId="0" fontId="7" fillId="0" borderId="43" xfId="4" applyFont="1" applyBorder="1" applyAlignment="1" applyProtection="1">
      <alignment horizontal="centerContinuous" vertical="center" wrapText="1"/>
      <protection locked="0"/>
    </xf>
    <xf numFmtId="0" fontId="30" fillId="0" borderId="20" xfId="7" applyFont="1" applyBorder="1" applyAlignment="1">
      <alignment horizontal="centerContinuous" vertical="center"/>
    </xf>
    <xf numFmtId="0" fontId="30" fillId="0" borderId="21" xfId="7" applyFont="1" applyBorder="1" applyAlignment="1">
      <alignment horizontal="centerContinuous" vertical="center"/>
    </xf>
    <xf numFmtId="0" fontId="30" fillId="0" borderId="22" xfId="7" applyFont="1" applyBorder="1" applyAlignment="1">
      <alignment horizontal="centerContinuous" vertical="center"/>
    </xf>
    <xf numFmtId="0" fontId="31" fillId="0" borderId="2" xfId="7" applyFont="1" applyBorder="1" applyAlignment="1">
      <alignment vertical="center" wrapText="1"/>
    </xf>
    <xf numFmtId="0" fontId="31" fillId="0" borderId="3" xfId="7" applyFont="1" applyBorder="1" applyAlignment="1">
      <alignment horizontal="right" vertical="center" wrapText="1"/>
    </xf>
    <xf numFmtId="0" fontId="30" fillId="0" borderId="4" xfId="7" applyFont="1" applyBorder="1" applyAlignment="1">
      <alignment horizontal="centerContinuous" vertical="center"/>
    </xf>
    <xf numFmtId="0" fontId="30" fillId="0" borderId="5" xfId="7" applyFont="1" applyBorder="1" applyAlignment="1">
      <alignment horizontal="centerContinuous" vertical="center"/>
    </xf>
    <xf numFmtId="0" fontId="30" fillId="0" borderId="6" xfId="7" applyFont="1" applyBorder="1" applyAlignment="1">
      <alignment horizontal="centerContinuous" vertical="center"/>
    </xf>
    <xf numFmtId="0" fontId="31" fillId="0" borderId="0" xfId="7" applyFont="1" applyAlignment="1">
      <alignment vertical="center" wrapText="1"/>
    </xf>
    <xf numFmtId="0" fontId="31" fillId="0" borderId="41" xfId="7" applyFont="1" applyBorder="1" applyAlignment="1">
      <alignment horizontal="right" vertical="center" wrapText="1"/>
    </xf>
    <xf numFmtId="0" fontId="30" fillId="0" borderId="40" xfId="7" applyFont="1" applyBorder="1" applyAlignment="1">
      <alignment horizontal="centerContinuous" vertical="center"/>
    </xf>
    <xf numFmtId="0" fontId="30" fillId="0" borderId="0" xfId="7" applyFont="1" applyAlignment="1">
      <alignment horizontal="centerContinuous" vertical="center"/>
    </xf>
    <xf numFmtId="0" fontId="30" fillId="0" borderId="41" xfId="7" applyFont="1" applyBorder="1" applyAlignment="1">
      <alignment horizontal="centerContinuous" vertical="center"/>
    </xf>
    <xf numFmtId="0" fontId="33" fillId="0" borderId="40" xfId="7" applyFont="1" applyBorder="1" applyAlignment="1">
      <alignment horizontal="centerContinuous" vertical="center" wrapText="1"/>
    </xf>
    <xf numFmtId="0" fontId="33" fillId="0" borderId="0" xfId="7" applyFont="1" applyAlignment="1">
      <alignment horizontal="centerContinuous" vertical="center" wrapText="1"/>
    </xf>
    <xf numFmtId="0" fontId="33" fillId="0" borderId="41" xfId="7" applyFont="1" applyBorder="1" applyAlignment="1">
      <alignment horizontal="centerContinuous" vertical="center" wrapText="1"/>
    </xf>
    <xf numFmtId="0" fontId="33" fillId="5" borderId="53" xfId="7" applyFont="1" applyFill="1" applyBorder="1" applyAlignment="1">
      <alignment horizontal="center" vertical="center"/>
    </xf>
    <xf numFmtId="170" fontId="31" fillId="0" borderId="25" xfId="7" applyNumberFormat="1" applyFont="1" applyBorder="1" applyAlignment="1">
      <alignment horizontal="right" vertical="center"/>
    </xf>
    <xf numFmtId="0" fontId="33" fillId="5" borderId="23" xfId="7" applyFont="1" applyFill="1" applyBorder="1" applyAlignment="1">
      <alignment vertical="center" wrapText="1"/>
    </xf>
    <xf numFmtId="0" fontId="31" fillId="0" borderId="53" xfId="7" applyFont="1" applyBorder="1" applyAlignment="1">
      <alignment horizontal="centerContinuous" vertical="center" wrapText="1"/>
    </xf>
    <xf numFmtId="0" fontId="31" fillId="0" borderId="21" xfId="7" applyFont="1" applyBorder="1" applyAlignment="1">
      <alignment horizontal="centerContinuous" vertical="center" wrapText="1"/>
    </xf>
    <xf numFmtId="44" fontId="33" fillId="5" borderId="24" xfId="2" applyFont="1" applyFill="1" applyBorder="1" applyAlignment="1">
      <alignment horizontal="center" vertical="center"/>
    </xf>
    <xf numFmtId="0" fontId="31" fillId="0" borderId="53" xfId="7" applyFont="1" applyBorder="1" applyAlignment="1">
      <alignment horizontal="center" vertical="center"/>
    </xf>
    <xf numFmtId="0" fontId="33" fillId="5" borderId="54" xfId="7" applyFont="1" applyFill="1" applyBorder="1" applyAlignment="1">
      <alignment horizontal="center" vertical="center"/>
    </xf>
    <xf numFmtId="170" fontId="31" fillId="0" borderId="48" xfId="7" applyNumberFormat="1" applyFont="1" applyBorder="1" applyAlignment="1">
      <alignment horizontal="right" vertical="center"/>
    </xf>
    <xf numFmtId="0" fontId="33" fillId="5" borderId="26" xfId="7" applyFont="1" applyFill="1" applyBorder="1" applyAlignment="1">
      <alignment vertical="center" wrapText="1"/>
    </xf>
    <xf numFmtId="0" fontId="31" fillId="0" borderId="55" xfId="7" applyFont="1" applyBorder="1" applyAlignment="1">
      <alignment horizontal="centerContinuous" vertical="center" wrapText="1"/>
    </xf>
    <xf numFmtId="0" fontId="33" fillId="5" borderId="56" xfId="0" applyFont="1" applyFill="1" applyBorder="1" applyAlignment="1">
      <alignment horizontal="center" vertical="center"/>
    </xf>
    <xf numFmtId="0" fontId="33" fillId="0" borderId="40" xfId="7" applyFont="1" applyBorder="1" applyAlignment="1">
      <alignment vertical="center" wrapText="1"/>
    </xf>
    <xf numFmtId="0" fontId="31" fillId="0" borderId="0" xfId="7" applyFont="1" applyAlignment="1">
      <alignment horizontal="center" vertical="center"/>
    </xf>
    <xf numFmtId="44" fontId="31" fillId="0" borderId="0" xfId="2" applyFont="1" applyBorder="1" applyAlignment="1">
      <alignment horizontal="center" vertical="center"/>
    </xf>
    <xf numFmtId="0" fontId="34" fillId="0" borderId="0" xfId="7" applyFont="1" applyAlignment="1">
      <alignment vertical="center"/>
    </xf>
    <xf numFmtId="0" fontId="34" fillId="0" borderId="41" xfId="7" applyFont="1" applyBorder="1" applyAlignment="1">
      <alignment horizontal="right" vertical="center"/>
    </xf>
    <xf numFmtId="0" fontId="34" fillId="0" borderId="58" xfId="0" applyFont="1" applyBorder="1" applyAlignment="1">
      <alignment vertical="center"/>
    </xf>
    <xf numFmtId="0" fontId="34" fillId="0" borderId="59" xfId="0" applyFont="1" applyBorder="1" applyAlignment="1">
      <alignment vertical="center"/>
    </xf>
    <xf numFmtId="44" fontId="31" fillId="0" borderId="60" xfId="2" applyFont="1" applyBorder="1" applyAlignment="1">
      <alignment horizontal="center" vertical="center"/>
    </xf>
    <xf numFmtId="1" fontId="31" fillId="0" borderId="60" xfId="7" applyNumberFormat="1" applyFont="1" applyBorder="1" applyAlignment="1">
      <alignment horizontal="center" vertical="center"/>
    </xf>
    <xf numFmtId="0" fontId="31" fillId="0" borderId="61" xfId="7" applyFont="1" applyBorder="1" applyAlignment="1">
      <alignment horizontal="right" vertical="center"/>
    </xf>
    <xf numFmtId="9" fontId="31" fillId="0" borderId="60" xfId="7" applyNumberFormat="1" applyFont="1" applyBorder="1" applyAlignment="1">
      <alignment horizontal="center" vertical="center"/>
    </xf>
    <xf numFmtId="0" fontId="31" fillId="0" borderId="62" xfId="7" applyFont="1" applyBorder="1" applyAlignment="1">
      <alignment horizontal="right" vertical="center"/>
    </xf>
    <xf numFmtId="0" fontId="31" fillId="0" borderId="63" xfId="7" applyFont="1" applyBorder="1" applyAlignment="1">
      <alignment horizontal="right" vertical="center"/>
    </xf>
    <xf numFmtId="0" fontId="33" fillId="6" borderId="4" xfId="7" applyFont="1" applyFill="1" applyBorder="1" applyAlignment="1">
      <alignment vertical="center"/>
    </xf>
    <xf numFmtId="0" fontId="33" fillId="6" borderId="5" xfId="7" applyFont="1" applyFill="1" applyBorder="1" applyAlignment="1">
      <alignment vertical="center"/>
    </xf>
    <xf numFmtId="0" fontId="33" fillId="6" borderId="64" xfId="7" applyFont="1" applyFill="1" applyBorder="1" applyAlignment="1">
      <alignment vertical="center"/>
    </xf>
    <xf numFmtId="42" fontId="33" fillId="0" borderId="65" xfId="7" applyNumberFormat="1" applyFont="1" applyBorder="1" applyAlignment="1">
      <alignment horizontal="right" vertical="center"/>
    </xf>
    <xf numFmtId="0" fontId="33" fillId="0" borderId="66" xfId="7" applyFont="1" applyBorder="1" applyAlignment="1">
      <alignment vertical="center" wrapText="1"/>
    </xf>
    <xf numFmtId="0" fontId="31" fillId="0" borderId="67" xfId="7" applyFont="1" applyBorder="1" applyAlignment="1">
      <alignment horizontal="center" vertical="center"/>
    </xf>
    <xf numFmtId="0" fontId="31" fillId="0" borderId="67" xfId="7" applyFont="1" applyBorder="1" applyAlignment="1">
      <alignment vertical="center"/>
    </xf>
    <xf numFmtId="44" fontId="31" fillId="0" borderId="67" xfId="2" applyFont="1" applyBorder="1" applyAlignment="1">
      <alignment horizontal="center" vertical="center"/>
    </xf>
    <xf numFmtId="0" fontId="33" fillId="0" borderId="67" xfId="7" applyFont="1" applyBorder="1" applyAlignment="1">
      <alignment vertical="center"/>
    </xf>
    <xf numFmtId="42" fontId="33" fillId="0" borderId="68" xfId="7" applyNumberFormat="1" applyFont="1" applyBorder="1" applyAlignment="1">
      <alignment horizontal="right" vertical="center"/>
    </xf>
    <xf numFmtId="0" fontId="31" fillId="0" borderId="72" xfId="7" applyFont="1" applyBorder="1" applyAlignment="1">
      <alignment vertical="center"/>
    </xf>
    <xf numFmtId="0" fontId="31" fillId="0" borderId="60" xfId="7" applyFont="1" applyBorder="1" applyAlignment="1">
      <alignment vertical="center"/>
    </xf>
    <xf numFmtId="172" fontId="31" fillId="0" borderId="60" xfId="12" applyNumberFormat="1" applyFont="1" applyFill="1" applyBorder="1" applyAlignment="1">
      <alignment horizontal="center" vertical="center"/>
    </xf>
    <xf numFmtId="42" fontId="31" fillId="0" borderId="73" xfId="13" applyNumberFormat="1" applyFont="1" applyFill="1" applyBorder="1" applyAlignment="1">
      <alignment horizontal="center" vertical="center"/>
    </xf>
    <xf numFmtId="0" fontId="31" fillId="0" borderId="60" xfId="7" applyFont="1" applyBorder="1" applyAlignment="1">
      <alignment vertical="center" wrapText="1"/>
    </xf>
    <xf numFmtId="0" fontId="31" fillId="0" borderId="74" xfId="7" applyFont="1" applyBorder="1" applyAlignment="1">
      <alignment vertical="center"/>
    </xf>
    <xf numFmtId="0" fontId="31" fillId="0" borderId="75" xfId="7" applyFont="1" applyBorder="1" applyAlignment="1">
      <alignment vertical="center" wrapText="1"/>
    </xf>
    <xf numFmtId="172" fontId="31" fillId="0" borderId="75" xfId="12" applyNumberFormat="1" applyFont="1" applyFill="1" applyBorder="1" applyAlignment="1">
      <alignment horizontal="center" vertical="center"/>
    </xf>
    <xf numFmtId="0" fontId="31" fillId="0" borderId="75" xfId="7" applyFont="1" applyBorder="1" applyAlignment="1">
      <alignment horizontal="center" vertical="center"/>
    </xf>
    <xf numFmtId="44" fontId="31" fillId="0" borderId="75" xfId="2" applyFont="1" applyBorder="1" applyAlignment="1">
      <alignment horizontal="center" vertical="center"/>
    </xf>
    <xf numFmtId="0" fontId="31" fillId="0" borderId="51" xfId="7" applyFont="1" applyBorder="1" applyAlignment="1">
      <alignment horizontal="center" vertical="center"/>
    </xf>
    <xf numFmtId="0" fontId="31" fillId="0" borderId="51" xfId="7" applyFont="1" applyBorder="1" applyAlignment="1">
      <alignment vertical="center"/>
    </xf>
    <xf numFmtId="44" fontId="31" fillId="0" borderId="51" xfId="2" applyFont="1" applyBorder="1" applyAlignment="1">
      <alignment horizontal="center" vertical="center"/>
    </xf>
    <xf numFmtId="172" fontId="31" fillId="0" borderId="60" xfId="7" applyNumberFormat="1" applyFont="1" applyBorder="1" applyAlignment="1">
      <alignment horizontal="center" vertical="center"/>
    </xf>
    <xf numFmtId="171" fontId="31" fillId="0" borderId="60" xfId="12" applyFont="1" applyFill="1" applyBorder="1" applyAlignment="1">
      <alignment horizontal="center" vertical="center"/>
    </xf>
    <xf numFmtId="0" fontId="31" fillId="0" borderId="60" xfId="7" applyFont="1" applyBorder="1" applyAlignment="1">
      <alignment horizontal="center" vertical="center"/>
    </xf>
    <xf numFmtId="0" fontId="33" fillId="0" borderId="40" xfId="7" applyFont="1" applyBorder="1" applyAlignment="1">
      <alignment vertical="center"/>
    </xf>
    <xf numFmtId="6" fontId="31" fillId="0" borderId="60" xfId="14" applyNumberFormat="1" applyFont="1" applyFill="1" applyBorder="1" applyAlignment="1">
      <alignment horizontal="center" vertical="center"/>
    </xf>
    <xf numFmtId="10" fontId="31" fillId="0" borderId="60" xfId="7" applyNumberFormat="1" applyFont="1" applyBorder="1" applyAlignment="1">
      <alignment horizontal="center" vertical="center"/>
    </xf>
    <xf numFmtId="44" fontId="31" fillId="0" borderId="60" xfId="2" applyFont="1" applyFill="1" applyBorder="1" applyAlignment="1">
      <alignment horizontal="center" vertical="center"/>
    </xf>
    <xf numFmtId="174" fontId="31" fillId="0" borderId="60" xfId="7" applyNumberFormat="1" applyFont="1" applyBorder="1" applyAlignment="1">
      <alignment horizontal="center" vertical="center"/>
    </xf>
    <xf numFmtId="0" fontId="33" fillId="6" borderId="78" xfId="7" applyFont="1" applyFill="1" applyBorder="1" applyAlignment="1">
      <alignment vertical="center"/>
    </xf>
    <xf numFmtId="0" fontId="33" fillId="6" borderId="79" xfId="7" applyFont="1" applyFill="1" applyBorder="1" applyAlignment="1">
      <alignment vertical="center"/>
    </xf>
    <xf numFmtId="0" fontId="33" fillId="6" borderId="80" xfId="7" applyFont="1" applyFill="1" applyBorder="1" applyAlignment="1">
      <alignment vertical="center"/>
    </xf>
    <xf numFmtId="0" fontId="33" fillId="0" borderId="0" xfId="7" applyFont="1" applyAlignment="1">
      <alignment vertical="center"/>
    </xf>
    <xf numFmtId="0" fontId="31" fillId="0" borderId="41" xfId="7" applyFont="1" applyBorder="1" applyAlignment="1">
      <alignment horizontal="right" vertical="center"/>
    </xf>
    <xf numFmtId="0" fontId="31" fillId="0" borderId="40" xfId="7" applyFont="1" applyBorder="1" applyAlignment="1">
      <alignment vertical="center" wrapText="1"/>
    </xf>
    <xf numFmtId="0" fontId="31" fillId="0" borderId="0" xfId="7" applyFont="1" applyAlignment="1">
      <alignment vertical="center"/>
    </xf>
    <xf numFmtId="0" fontId="31" fillId="0" borderId="82" xfId="7" applyFont="1" applyBorder="1" applyAlignment="1">
      <alignment horizontal="right" vertical="center"/>
    </xf>
    <xf numFmtId="0" fontId="33" fillId="0" borderId="50" xfId="7" applyFont="1" applyBorder="1" applyAlignment="1">
      <alignment vertical="center"/>
    </xf>
    <xf numFmtId="0" fontId="33" fillId="0" borderId="51" xfId="7" applyFont="1" applyBorder="1" applyAlignment="1">
      <alignment vertical="center"/>
    </xf>
    <xf numFmtId="0" fontId="33" fillId="0" borderId="43" xfId="7" applyFont="1" applyBorder="1" applyAlignment="1">
      <alignment vertical="center"/>
    </xf>
    <xf numFmtId="4" fontId="31" fillId="0" borderId="68" xfId="7" applyNumberFormat="1" applyFont="1" applyBorder="1" applyAlignment="1">
      <alignment horizontal="right" vertical="center"/>
    </xf>
    <xf numFmtId="0" fontId="31" fillId="0" borderId="40" xfId="7" applyFont="1" applyBorder="1" applyAlignment="1">
      <alignment vertical="center"/>
    </xf>
    <xf numFmtId="0" fontId="31" fillId="0" borderId="81" xfId="7" applyFont="1" applyBorder="1" applyAlignment="1">
      <alignment vertical="center" wrapText="1"/>
    </xf>
    <xf numFmtId="0" fontId="31" fillId="0" borderId="54" xfId="4" applyFont="1" applyBorder="1" applyAlignment="1">
      <alignment vertical="center"/>
    </xf>
    <xf numFmtId="0" fontId="31" fillId="0" borderId="67" xfId="4" applyFont="1" applyBorder="1" applyAlignment="1">
      <alignment vertical="center"/>
    </xf>
    <xf numFmtId="0" fontId="31" fillId="0" borderId="83" xfId="4" applyFont="1" applyBorder="1" applyAlignment="1">
      <alignment vertical="center"/>
    </xf>
    <xf numFmtId="0" fontId="31" fillId="0" borderId="5" xfId="4" applyFont="1" applyBorder="1" applyAlignment="1">
      <alignment vertical="center"/>
    </xf>
    <xf numFmtId="0" fontId="31" fillId="0" borderId="42" xfId="4" applyFont="1" applyBorder="1" applyAlignment="1">
      <alignment vertical="center"/>
    </xf>
    <xf numFmtId="0" fontId="31" fillId="0" borderId="84" xfId="4" applyFont="1" applyBorder="1" applyAlignment="1">
      <alignment vertical="center"/>
    </xf>
    <xf numFmtId="0" fontId="31" fillId="0" borderId="59" xfId="7" applyFont="1" applyBorder="1" applyAlignment="1">
      <alignment vertical="center"/>
    </xf>
    <xf numFmtId="0" fontId="31" fillId="0" borderId="87" xfId="7" applyFont="1" applyBorder="1" applyAlignment="1">
      <alignment vertical="center"/>
    </xf>
    <xf numFmtId="0" fontId="31" fillId="0" borderId="0" xfId="0" applyFont="1" applyAlignment="1">
      <alignment vertical="center"/>
    </xf>
    <xf numFmtId="0" fontId="31" fillId="0" borderId="0" xfId="4" applyFont="1" applyAlignment="1">
      <alignment vertical="center"/>
    </xf>
    <xf numFmtId="0" fontId="33" fillId="0" borderId="0" xfId="4" applyFont="1" applyAlignment="1">
      <alignment vertical="center"/>
    </xf>
    <xf numFmtId="0" fontId="31" fillId="0" borderId="88" xfId="4" applyFont="1" applyBorder="1" applyAlignment="1">
      <alignment vertical="center"/>
    </xf>
    <xf numFmtId="0" fontId="31" fillId="0" borderId="89" xfId="4" applyFont="1" applyBorder="1" applyAlignment="1">
      <alignment vertical="center"/>
    </xf>
    <xf numFmtId="0" fontId="33" fillId="0" borderId="89" xfId="4" applyFont="1" applyBorder="1" applyAlignment="1">
      <alignment vertical="center"/>
    </xf>
    <xf numFmtId="166" fontId="24" fillId="0" borderId="8" xfId="7" applyNumberFormat="1" applyFont="1" applyBorder="1" applyAlignment="1">
      <alignment horizontal="center" vertical="center" wrapText="1"/>
    </xf>
    <xf numFmtId="0" fontId="37" fillId="0" borderId="44" xfId="7" applyFont="1" applyBorder="1" applyAlignment="1">
      <alignment vertical="center" wrapText="1"/>
    </xf>
    <xf numFmtId="0" fontId="37" fillId="0" borderId="45" xfId="7" applyFont="1" applyBorder="1" applyAlignment="1">
      <alignment horizontal="center" vertical="center"/>
    </xf>
    <xf numFmtId="0" fontId="37" fillId="0" borderId="45" xfId="7" applyFont="1" applyBorder="1" applyAlignment="1">
      <alignment vertical="center"/>
    </xf>
    <xf numFmtId="0" fontId="37" fillId="0" borderId="45" xfId="4" applyFont="1" applyBorder="1" applyAlignment="1">
      <alignment vertical="center"/>
    </xf>
    <xf numFmtId="0" fontId="37" fillId="0" borderId="46" xfId="7" applyFont="1" applyBorder="1" applyAlignment="1">
      <alignment horizontal="right" vertical="center"/>
    </xf>
    <xf numFmtId="42" fontId="38" fillId="0" borderId="0" xfId="7" applyNumberFormat="1" applyFont="1" applyAlignment="1">
      <alignment horizontal="right" vertical="center"/>
    </xf>
    <xf numFmtId="178" fontId="31" fillId="0" borderId="60" xfId="12" applyNumberFormat="1" applyFont="1" applyFill="1" applyBorder="1" applyAlignment="1">
      <alignment horizontal="center" vertical="center"/>
    </xf>
    <xf numFmtId="42" fontId="31" fillId="0" borderId="73" xfId="7" applyNumberFormat="1" applyFont="1" applyBorder="1" applyAlignment="1">
      <alignment horizontal="center" vertical="center"/>
    </xf>
    <xf numFmtId="44" fontId="31" fillId="0" borderId="73" xfId="7" applyNumberFormat="1" applyFont="1" applyBorder="1" applyAlignment="1">
      <alignment vertical="center"/>
    </xf>
    <xf numFmtId="0" fontId="34" fillId="0" borderId="90" xfId="0" applyFont="1" applyBorder="1" applyAlignment="1">
      <alignment vertical="center"/>
    </xf>
    <xf numFmtId="0" fontId="34" fillId="0" borderId="87" xfId="0" applyFont="1" applyBorder="1" applyAlignment="1">
      <alignment vertical="center"/>
    </xf>
    <xf numFmtId="9" fontId="31" fillId="0" borderId="75" xfId="7" applyNumberFormat="1" applyFont="1" applyBorder="1" applyAlignment="1">
      <alignment horizontal="center" vertical="center"/>
    </xf>
    <xf numFmtId="44" fontId="31" fillId="0" borderId="76" xfId="7" applyNumberFormat="1" applyFont="1" applyBorder="1" applyAlignment="1">
      <alignment vertical="center"/>
    </xf>
    <xf numFmtId="42" fontId="31" fillId="0" borderId="73" xfId="7" applyNumberFormat="1" applyFont="1" applyBorder="1" applyAlignment="1">
      <alignment vertical="center"/>
    </xf>
    <xf numFmtId="0" fontId="31" fillId="0" borderId="75" xfId="7" applyFont="1" applyBorder="1" applyAlignment="1">
      <alignment vertical="center"/>
    </xf>
    <xf numFmtId="173" fontId="31" fillId="0" borderId="75" xfId="12" applyNumberFormat="1" applyFont="1" applyFill="1" applyBorder="1" applyAlignment="1">
      <alignment horizontal="center" vertical="center"/>
    </xf>
    <xf numFmtId="42" fontId="31" fillId="0" borderId="76" xfId="7" applyNumberFormat="1" applyFont="1" applyBorder="1" applyAlignment="1">
      <alignment vertical="center"/>
    </xf>
    <xf numFmtId="0" fontId="31" fillId="0" borderId="59" xfId="7" applyFont="1" applyBorder="1" applyAlignment="1">
      <alignment vertical="center" wrapText="1"/>
    </xf>
    <xf numFmtId="44" fontId="31" fillId="0" borderId="73" xfId="13" applyNumberFormat="1" applyFont="1" applyFill="1" applyBorder="1" applyAlignment="1">
      <alignment horizontal="center" vertical="center"/>
    </xf>
    <xf numFmtId="0" fontId="31" fillId="0" borderId="87" xfId="7" applyFont="1" applyBorder="1" applyAlignment="1">
      <alignment vertical="center" wrapText="1"/>
    </xf>
    <xf numFmtId="6" fontId="31" fillId="0" borderId="75" xfId="14" applyNumberFormat="1" applyFont="1" applyFill="1" applyBorder="1" applyAlignment="1">
      <alignment horizontal="center" vertical="center"/>
    </xf>
    <xf numFmtId="10" fontId="31" fillId="0" borderId="75" xfId="7" applyNumberFormat="1" applyFont="1" applyBorder="1" applyAlignment="1">
      <alignment horizontal="center" vertical="center"/>
    </xf>
    <xf numFmtId="44" fontId="31" fillId="0" borderId="75" xfId="2" applyFont="1" applyFill="1" applyBorder="1" applyAlignment="1">
      <alignment horizontal="center" vertical="center"/>
    </xf>
    <xf numFmtId="174" fontId="31" fillId="0" borderId="75" xfId="7" applyNumberFormat="1" applyFont="1" applyBorder="1" applyAlignment="1">
      <alignment horizontal="center" vertical="center"/>
    </xf>
    <xf numFmtId="44" fontId="31" fillId="0" borderId="76" xfId="13" applyNumberFormat="1" applyFont="1" applyFill="1" applyBorder="1" applyAlignment="1">
      <alignment horizontal="center" vertical="center"/>
    </xf>
    <xf numFmtId="2" fontId="3" fillId="0" borderId="0" xfId="0" applyNumberFormat="1" applyFont="1"/>
    <xf numFmtId="176" fontId="33" fillId="0" borderId="65" xfId="7" applyNumberFormat="1" applyFont="1" applyBorder="1" applyAlignment="1">
      <alignment horizontal="right" vertical="center"/>
    </xf>
    <xf numFmtId="166" fontId="24" fillId="0" borderId="49" xfId="7" applyNumberFormat="1" applyFont="1" applyBorder="1" applyAlignment="1">
      <alignment horizontal="center" vertical="center" wrapText="1"/>
    </xf>
    <xf numFmtId="177" fontId="24" fillId="0" borderId="8" xfId="7" applyNumberFormat="1" applyFont="1" applyBorder="1" applyAlignment="1">
      <alignment horizontal="center" vertical="center" wrapText="1"/>
    </xf>
    <xf numFmtId="0" fontId="0" fillId="0" borderId="0" xfId="0" applyAlignment="1">
      <alignment vertical="center" wrapText="1"/>
    </xf>
    <xf numFmtId="49" fontId="31" fillId="0" borderId="13" xfId="1" applyNumberFormat="1" applyFont="1" applyBorder="1" applyAlignment="1" applyProtection="1">
      <alignment horizontal="right" vertical="center"/>
    </xf>
    <xf numFmtId="0" fontId="3" fillId="0" borderId="0" xfId="0" applyFont="1" applyProtection="1">
      <protection hidden="1"/>
    </xf>
    <xf numFmtId="2" fontId="3" fillId="0" borderId="0" xfId="0" applyNumberFormat="1" applyFont="1" applyProtection="1">
      <protection hidden="1"/>
    </xf>
    <xf numFmtId="175" fontId="3" fillId="0" borderId="0" xfId="0" applyNumberFormat="1" applyFont="1" applyProtection="1">
      <protection hidden="1"/>
    </xf>
    <xf numFmtId="42" fontId="38" fillId="0" borderId="0" xfId="7" applyNumberFormat="1" applyFont="1" applyAlignment="1" applyProtection="1">
      <alignment horizontal="right" vertical="center"/>
      <protection hidden="1"/>
    </xf>
    <xf numFmtId="0" fontId="0" fillId="0" borderId="0" xfId="0" applyAlignment="1">
      <alignment wrapText="1"/>
    </xf>
    <xf numFmtId="0" fontId="13" fillId="8" borderId="15" xfId="7" applyFont="1" applyFill="1" applyBorder="1" applyAlignment="1">
      <alignment horizontal="centerContinuous" vertical="center" wrapText="1"/>
    </xf>
    <xf numFmtId="0" fontId="13" fillId="9" borderId="15" xfId="7" applyFont="1" applyFill="1" applyBorder="1" applyAlignment="1">
      <alignment horizontal="centerContinuous" vertical="center" wrapText="1"/>
    </xf>
    <xf numFmtId="0" fontId="32" fillId="9" borderId="14" xfId="7" applyFont="1" applyFill="1" applyBorder="1" applyAlignment="1">
      <alignment horizontal="centerContinuous" vertical="center" wrapText="1"/>
    </xf>
    <xf numFmtId="0" fontId="32" fillId="9" borderId="15" xfId="7" applyFont="1" applyFill="1" applyBorder="1" applyAlignment="1">
      <alignment horizontal="centerContinuous" vertical="center" wrapText="1"/>
    </xf>
    <xf numFmtId="0" fontId="32" fillId="9" borderId="16" xfId="7" applyFont="1" applyFill="1" applyBorder="1" applyAlignment="1">
      <alignment horizontal="centerContinuous" vertical="center" wrapText="1"/>
    </xf>
    <xf numFmtId="0" fontId="31" fillId="9" borderId="85" xfId="7" applyFont="1" applyFill="1" applyBorder="1" applyAlignment="1">
      <alignment vertical="center"/>
    </xf>
    <xf numFmtId="44" fontId="31" fillId="9" borderId="70" xfId="2" applyFont="1" applyFill="1" applyBorder="1" applyAlignment="1">
      <alignment horizontal="center" vertical="center" wrapText="1"/>
    </xf>
    <xf numFmtId="0" fontId="31" fillId="9" borderId="70" xfId="7" applyFont="1" applyFill="1" applyBorder="1" applyAlignment="1">
      <alignment horizontal="center" vertical="center" wrapText="1"/>
    </xf>
    <xf numFmtId="0" fontId="31" fillId="9" borderId="71" xfId="7" applyFont="1" applyFill="1" applyBorder="1" applyAlignment="1">
      <alignment horizontal="center" vertical="center" wrapText="1"/>
    </xf>
    <xf numFmtId="0" fontId="31" fillId="9" borderId="57" xfId="7" applyFont="1" applyFill="1" applyBorder="1" applyAlignment="1">
      <alignment horizontal="right" vertical="center"/>
    </xf>
    <xf numFmtId="0" fontId="31" fillId="9" borderId="69" xfId="7" applyFont="1" applyFill="1" applyBorder="1" applyAlignment="1">
      <alignment horizontal="centerContinuous" vertical="center"/>
    </xf>
    <xf numFmtId="0" fontId="31" fillId="9" borderId="70" xfId="7" applyFont="1" applyFill="1" applyBorder="1" applyAlignment="1">
      <alignment horizontal="center" vertical="center"/>
    </xf>
    <xf numFmtId="44" fontId="31" fillId="9" borderId="70" xfId="2" applyFont="1" applyFill="1" applyBorder="1" applyAlignment="1">
      <alignment horizontal="center" vertical="center"/>
    </xf>
    <xf numFmtId="0" fontId="31" fillId="9" borderId="71" xfId="7" applyFont="1" applyFill="1" applyBorder="1" applyAlignment="1">
      <alignment horizontal="center" vertical="center"/>
    </xf>
    <xf numFmtId="0" fontId="31" fillId="9" borderId="63" xfId="7" applyFont="1" applyFill="1" applyBorder="1" applyAlignment="1">
      <alignment horizontal="right" vertical="center"/>
    </xf>
    <xf numFmtId="0" fontId="31" fillId="9" borderId="77" xfId="7" applyFont="1" applyFill="1" applyBorder="1" applyAlignment="1">
      <alignment horizontal="right" vertical="center"/>
    </xf>
    <xf numFmtId="0" fontId="43" fillId="9" borderId="70" xfId="7" applyFont="1" applyFill="1" applyBorder="1" applyAlignment="1">
      <alignment horizontal="centerContinuous" vertical="center"/>
    </xf>
    <xf numFmtId="0" fontId="44" fillId="9" borderId="70" xfId="7" applyFont="1" applyFill="1" applyBorder="1" applyAlignment="1">
      <alignment horizontal="centerContinuous" vertical="center"/>
    </xf>
    <xf numFmtId="0" fontId="31" fillId="9" borderId="86" xfId="7" applyFont="1" applyFill="1" applyBorder="1" applyAlignment="1">
      <alignment vertical="center" wrapText="1"/>
    </xf>
    <xf numFmtId="0" fontId="33" fillId="9" borderId="81" xfId="7" applyFont="1" applyFill="1" applyBorder="1" applyAlignment="1">
      <alignment vertical="center"/>
    </xf>
    <xf numFmtId="0" fontId="33" fillId="9" borderId="51" xfId="7" applyFont="1" applyFill="1" applyBorder="1" applyAlignment="1">
      <alignment vertical="center"/>
    </xf>
    <xf numFmtId="0" fontId="33" fillId="9" borderId="43" xfId="7" applyFont="1" applyFill="1" applyBorder="1" applyAlignment="1">
      <alignment vertical="center"/>
    </xf>
    <xf numFmtId="4" fontId="33" fillId="9" borderId="68" xfId="7" applyNumberFormat="1" applyFont="1" applyFill="1" applyBorder="1" applyAlignment="1">
      <alignment horizontal="right" vertical="center"/>
    </xf>
    <xf numFmtId="0" fontId="10" fillId="0" borderId="0" xfId="0" applyFont="1" applyAlignment="1">
      <alignment horizontal="center" vertical="center" wrapText="1"/>
    </xf>
    <xf numFmtId="0" fontId="10" fillId="0" borderId="0" xfId="7" applyFont="1" applyAlignment="1">
      <alignment horizontal="center" vertical="center" wrapText="1"/>
    </xf>
    <xf numFmtId="8" fontId="0" fillId="0" borderId="0" xfId="0" applyNumberFormat="1" applyAlignment="1">
      <alignment vertical="center" wrapText="1"/>
    </xf>
    <xf numFmtId="2" fontId="0" fillId="0" borderId="0" xfId="0" applyNumberFormat="1" applyAlignment="1">
      <alignment vertical="center" wrapText="1"/>
    </xf>
    <xf numFmtId="8" fontId="0" fillId="0" borderId="0" xfId="0" applyNumberFormat="1"/>
    <xf numFmtId="0" fontId="0" fillId="0" borderId="0" xfId="0" applyAlignment="1">
      <alignment horizontal="right"/>
    </xf>
    <xf numFmtId="0" fontId="29" fillId="8" borderId="14" xfId="7" applyFont="1" applyFill="1" applyBorder="1" applyAlignment="1">
      <alignment horizontal="right" wrapText="1"/>
    </xf>
    <xf numFmtId="0" fontId="21" fillId="8" borderId="15" xfId="7" applyFont="1" applyFill="1" applyBorder="1" applyAlignment="1">
      <alignment horizontal="centerContinuous" vertical="center" wrapText="1"/>
    </xf>
    <xf numFmtId="0" fontId="29" fillId="8" borderId="16" xfId="7" applyFont="1" applyFill="1" applyBorder="1" applyAlignment="1" applyProtection="1">
      <alignment horizontal="right" wrapText="1"/>
      <protection hidden="1"/>
    </xf>
    <xf numFmtId="0" fontId="3" fillId="0" borderId="0" xfId="0" applyFont="1" applyAlignment="1" applyProtection="1">
      <alignment wrapText="1"/>
      <protection hidden="1"/>
    </xf>
    <xf numFmtId="0" fontId="2" fillId="0" borderId="0" xfId="0" applyFont="1" applyAlignment="1" applyProtection="1">
      <alignment wrapText="1"/>
      <protection hidden="1"/>
    </xf>
    <xf numFmtId="0" fontId="0" fillId="0" borderId="0" xfId="0" applyAlignment="1" applyProtection="1">
      <alignment wrapText="1"/>
      <protection hidden="1"/>
    </xf>
    <xf numFmtId="0" fontId="28" fillId="0" borderId="44" xfId="0" applyFont="1" applyBorder="1" applyAlignment="1">
      <alignment horizontal="left" wrapText="1"/>
    </xf>
    <xf numFmtId="0" fontId="0" fillId="0" borderId="45" xfId="0" applyBorder="1" applyAlignment="1">
      <alignment vertical="center" wrapText="1"/>
    </xf>
    <xf numFmtId="166" fontId="0" fillId="0" borderId="45" xfId="0" applyNumberFormat="1" applyBorder="1" applyAlignment="1">
      <alignment vertical="center" wrapText="1"/>
    </xf>
    <xf numFmtId="43" fontId="26" fillId="0" borderId="45" xfId="5" applyFont="1" applyBorder="1" applyAlignment="1">
      <alignment vertical="center" wrapText="1"/>
    </xf>
    <xf numFmtId="0" fontId="28" fillId="0" borderId="46" xfId="0" applyFont="1" applyBorder="1" applyAlignment="1" applyProtection="1">
      <alignment horizontal="right" vertical="center" wrapText="1"/>
      <protection hidden="1"/>
    </xf>
    <xf numFmtId="0" fontId="10" fillId="0" borderId="34" xfId="7" applyFont="1" applyBorder="1" applyAlignment="1">
      <alignment horizontal="left" vertical="center" wrapText="1"/>
    </xf>
    <xf numFmtId="0" fontId="10" fillId="0" borderId="34" xfId="7" applyFont="1" applyBorder="1" applyAlignment="1">
      <alignment horizontal="center" vertical="center" wrapText="1"/>
    </xf>
    <xf numFmtId="0" fontId="10" fillId="0" borderId="14" xfId="7" applyFont="1" applyBorder="1" applyAlignment="1">
      <alignment horizontal="centerContinuous" vertical="center" wrapText="1"/>
    </xf>
    <xf numFmtId="0" fontId="10" fillId="0" borderId="15" xfId="7" applyFont="1" applyBorder="1" applyAlignment="1">
      <alignment horizontal="centerContinuous" vertical="center" wrapText="1"/>
    </xf>
    <xf numFmtId="0" fontId="10" fillId="0" borderId="16" xfId="7" applyFont="1" applyBorder="1" applyAlignment="1">
      <alignment horizontal="centerContinuous" vertical="center" wrapText="1"/>
    </xf>
    <xf numFmtId="0" fontId="15" fillId="0" borderId="1" xfId="0" applyFont="1" applyBorder="1" applyAlignment="1">
      <alignment horizontal="centerContinuous" wrapText="1"/>
    </xf>
    <xf numFmtId="0" fontId="15" fillId="0" borderId="2" xfId="0" applyFont="1" applyBorder="1" applyAlignment="1">
      <alignment horizontal="centerContinuous" wrapText="1"/>
    </xf>
    <xf numFmtId="0" fontId="15" fillId="0" borderId="3" xfId="0" applyFont="1" applyBorder="1" applyAlignment="1">
      <alignment horizontal="centerContinuous" wrapText="1"/>
    </xf>
    <xf numFmtId="0" fontId="10" fillId="0" borderId="16" xfId="7" applyFont="1" applyBorder="1" applyAlignment="1" applyProtection="1">
      <alignment horizontal="centerContinuous" vertical="center" wrapText="1"/>
      <protection hidden="1"/>
    </xf>
    <xf numFmtId="0" fontId="11" fillId="0" borderId="34" xfId="7" applyFont="1" applyBorder="1" applyAlignment="1">
      <alignment horizontal="center" vertical="center" wrapText="1"/>
    </xf>
    <xf numFmtId="0" fontId="22" fillId="0" borderId="1" xfId="0" applyFont="1" applyBorder="1" applyAlignment="1">
      <alignment horizontal="centerContinuous" wrapText="1"/>
    </xf>
    <xf numFmtId="0" fontId="22" fillId="0" borderId="2" xfId="0" applyFont="1" applyBorder="1" applyAlignment="1">
      <alignment horizontal="centerContinuous" wrapText="1"/>
    </xf>
    <xf numFmtId="0" fontId="22" fillId="0" borderId="3" xfId="0" applyFont="1" applyBorder="1" applyAlignment="1">
      <alignment horizontal="centerContinuous" wrapText="1"/>
    </xf>
    <xf numFmtId="167" fontId="11" fillId="0" borderId="17" xfId="7" applyNumberFormat="1" applyFont="1" applyBorder="1" applyAlignment="1">
      <alignment horizontal="centerContinuous" vertical="center" wrapText="1"/>
    </xf>
    <xf numFmtId="14" fontId="11" fillId="0" borderId="16" xfId="7" applyNumberFormat="1" applyFont="1" applyBorder="1" applyAlignment="1" applyProtection="1">
      <alignment horizontal="centerContinuous" vertical="center" wrapText="1"/>
      <protection hidden="1"/>
    </xf>
    <xf numFmtId="0" fontId="11" fillId="0" borderId="38" xfId="7" applyFont="1" applyBorder="1" applyAlignment="1">
      <alignment horizontal="center" vertical="center" wrapText="1"/>
    </xf>
    <xf numFmtId="0" fontId="11" fillId="0" borderId="39" xfId="7" applyFont="1" applyBorder="1" applyAlignment="1">
      <alignment horizontal="center" vertical="center" wrapText="1"/>
    </xf>
    <xf numFmtId="2" fontId="11" fillId="0" borderId="24" xfId="8" applyNumberFormat="1" applyFont="1" applyFill="1" applyBorder="1" applyAlignment="1">
      <alignment horizontal="center" vertical="center" wrapText="1"/>
    </xf>
    <xf numFmtId="2" fontId="11" fillId="0" borderId="25" xfId="9" applyNumberFormat="1" applyFont="1" applyFill="1" applyBorder="1" applyAlignment="1" applyProtection="1">
      <alignment horizontal="center" vertical="center" wrapText="1"/>
      <protection hidden="1"/>
    </xf>
    <xf numFmtId="2" fontId="11" fillId="0" borderId="8" xfId="8" applyNumberFormat="1" applyFont="1" applyFill="1" applyBorder="1" applyAlignment="1">
      <alignment horizontal="center" vertical="center" wrapText="1"/>
    </xf>
    <xf numFmtId="2" fontId="11" fillId="0" borderId="9" xfId="8" applyNumberFormat="1" applyFont="1" applyFill="1" applyBorder="1" applyAlignment="1" applyProtection="1">
      <alignment horizontal="center" vertical="center" wrapText="1"/>
      <protection hidden="1"/>
    </xf>
    <xf numFmtId="0" fontId="10" fillId="0" borderId="47" xfId="7" applyFont="1" applyBorder="1" applyAlignment="1">
      <alignment horizontal="center" vertical="center" wrapText="1"/>
    </xf>
    <xf numFmtId="167" fontId="10" fillId="0" borderId="12" xfId="8" applyFont="1" applyBorder="1" applyAlignment="1">
      <alignment horizontal="center" vertical="center" wrapText="1"/>
    </xf>
    <xf numFmtId="167" fontId="23" fillId="0" borderId="13" xfId="8" applyFont="1" applyBorder="1" applyAlignment="1" applyProtection="1">
      <alignment horizontal="center" vertical="center" wrapText="1"/>
      <protection hidden="1"/>
    </xf>
    <xf numFmtId="2" fontId="3" fillId="0" borderId="0" xfId="0" applyNumberFormat="1" applyFont="1" applyAlignment="1" applyProtection="1">
      <alignment wrapText="1"/>
      <protection hidden="1"/>
    </xf>
    <xf numFmtId="0" fontId="11" fillId="0" borderId="1" xfId="7" applyFont="1" applyBorder="1" applyAlignment="1">
      <alignment horizontal="left" vertical="center" wrapText="1"/>
    </xf>
    <xf numFmtId="0" fontId="11" fillId="0" borderId="2" xfId="7" applyFont="1" applyBorder="1" applyAlignment="1">
      <alignment vertical="center" wrapText="1"/>
    </xf>
    <xf numFmtId="166" fontId="11" fillId="0" borderId="2" xfId="7" applyNumberFormat="1" applyFont="1" applyBorder="1" applyAlignment="1">
      <alignment vertical="center" wrapText="1"/>
    </xf>
    <xf numFmtId="0" fontId="0" fillId="0" borderId="41" xfId="0" applyBorder="1" applyAlignment="1" applyProtection="1">
      <alignment horizontal="center" wrapText="1"/>
      <protection hidden="1"/>
    </xf>
    <xf numFmtId="0" fontId="10" fillId="0" borderId="1" xfId="7" applyFont="1" applyBorder="1" applyAlignment="1">
      <alignment horizontal="centerContinuous" vertical="center" wrapText="1"/>
    </xf>
    <xf numFmtId="0" fontId="10" fillId="0" borderId="2" xfId="7" applyFont="1" applyBorder="1" applyAlignment="1">
      <alignment horizontal="centerContinuous" vertical="center" wrapText="1"/>
    </xf>
    <xf numFmtId="166" fontId="10" fillId="0" borderId="3" xfId="7" applyNumberFormat="1" applyFont="1" applyBorder="1" applyAlignment="1">
      <alignment horizontal="centerContinuous" vertical="center" wrapText="1"/>
    </xf>
    <xf numFmtId="0" fontId="3" fillId="0" borderId="0" xfId="0" applyFont="1" applyAlignment="1">
      <alignment wrapText="1"/>
    </xf>
    <xf numFmtId="0" fontId="3" fillId="0" borderId="41" xfId="0" applyFont="1" applyBorder="1" applyAlignment="1" applyProtection="1">
      <alignment horizontal="center" wrapText="1"/>
      <protection hidden="1"/>
    </xf>
    <xf numFmtId="0" fontId="10" fillId="0" borderId="17" xfId="7" applyFont="1" applyBorder="1" applyAlignment="1">
      <alignment horizontal="center" vertical="center" wrapText="1"/>
    </xf>
    <xf numFmtId="0" fontId="10" fillId="0" borderId="18" xfId="7" applyFont="1" applyBorder="1" applyAlignment="1">
      <alignment horizontal="center" vertical="center" wrapText="1"/>
    </xf>
    <xf numFmtId="166" fontId="10" fillId="0" borderId="19" xfId="7" applyNumberFormat="1" applyFont="1" applyBorder="1" applyAlignment="1">
      <alignment horizontal="center" vertical="center" wrapText="1"/>
    </xf>
    <xf numFmtId="0" fontId="23" fillId="0" borderId="0" xfId="7" applyFont="1" applyAlignment="1">
      <alignment horizontal="center" vertical="center" wrapText="1"/>
    </xf>
    <xf numFmtId="0" fontId="2" fillId="0" borderId="0" xfId="0" applyFont="1" applyAlignment="1">
      <alignment wrapText="1"/>
    </xf>
    <xf numFmtId="166" fontId="24" fillId="0" borderId="25" xfId="7" applyNumberFormat="1" applyFont="1" applyBorder="1" applyAlignment="1">
      <alignment horizontal="center" vertical="center" wrapText="1"/>
    </xf>
    <xf numFmtId="0" fontId="3" fillId="0" borderId="0" xfId="0" applyFont="1" applyAlignment="1" applyProtection="1">
      <alignment horizontal="center" wrapText="1"/>
      <protection hidden="1"/>
    </xf>
    <xf numFmtId="169" fontId="3" fillId="0" borderId="0" xfId="2" applyNumberFormat="1" applyFont="1" applyBorder="1" applyAlignment="1">
      <alignment horizontal="center" wrapText="1"/>
    </xf>
    <xf numFmtId="8" fontId="3" fillId="0" borderId="0" xfId="0" applyNumberFormat="1" applyFont="1" applyAlignment="1">
      <alignment horizontal="center" wrapText="1"/>
    </xf>
    <xf numFmtId="166" fontId="24" fillId="0" borderId="9" xfId="7" applyNumberFormat="1" applyFont="1" applyBorder="1" applyAlignment="1">
      <alignment horizontal="center" vertical="center" wrapText="1"/>
    </xf>
    <xf numFmtId="0" fontId="40" fillId="0" borderId="0" xfId="0" applyFont="1" applyAlignment="1">
      <alignment wrapText="1"/>
    </xf>
    <xf numFmtId="166" fontId="24" fillId="0" borderId="68" xfId="7" applyNumberFormat="1" applyFont="1" applyBorder="1" applyAlignment="1">
      <alignment horizontal="center" vertical="center" wrapText="1"/>
    </xf>
    <xf numFmtId="166" fontId="24" fillId="0" borderId="26" xfId="7" applyNumberFormat="1" applyFont="1" applyBorder="1" applyAlignment="1">
      <alignment horizontal="center" vertical="center" wrapText="1"/>
    </xf>
    <xf numFmtId="166" fontId="24" fillId="0" borderId="12" xfId="7" applyNumberFormat="1" applyFont="1" applyBorder="1" applyAlignment="1">
      <alignment horizontal="center" vertical="center" wrapText="1"/>
    </xf>
    <xf numFmtId="177" fontId="24" fillId="0" borderId="12" xfId="7" applyNumberFormat="1" applyFont="1" applyBorder="1" applyAlignment="1">
      <alignment horizontal="center" vertical="center" wrapText="1"/>
    </xf>
    <xf numFmtId="166" fontId="24" fillId="0" borderId="13" xfId="7" applyNumberFormat="1" applyFont="1" applyBorder="1" applyAlignment="1">
      <alignment horizontal="center" vertical="center" wrapText="1"/>
    </xf>
    <xf numFmtId="166" fontId="24" fillId="0" borderId="0" xfId="7" applyNumberFormat="1" applyFont="1" applyAlignment="1">
      <alignment horizontal="center" vertical="center" wrapText="1"/>
    </xf>
    <xf numFmtId="169" fontId="40" fillId="0" borderId="0" xfId="2" applyNumberFormat="1" applyFont="1" applyBorder="1" applyAlignment="1">
      <alignment wrapText="1"/>
    </xf>
    <xf numFmtId="2" fontId="3" fillId="0" borderId="0" xfId="0" applyNumberFormat="1" applyFont="1" applyAlignment="1">
      <alignment horizontal="center" wrapText="1"/>
    </xf>
    <xf numFmtId="0" fontId="11" fillId="0" borderId="0" xfId="7" applyFont="1" applyAlignment="1">
      <alignment vertical="center" wrapText="1"/>
    </xf>
    <xf numFmtId="166" fontId="11" fillId="0" borderId="0" xfId="7" applyNumberFormat="1" applyFont="1" applyAlignment="1">
      <alignment vertical="center" wrapText="1"/>
    </xf>
    <xf numFmtId="43" fontId="42" fillId="0" borderId="5" xfId="5" applyFont="1" applyBorder="1" applyAlignment="1">
      <alignment vertical="center" wrapText="1"/>
    </xf>
    <xf numFmtId="43" fontId="11" fillId="0" borderId="5" xfId="5" applyFont="1" applyBorder="1" applyAlignment="1">
      <alignment vertical="center" wrapText="1"/>
    </xf>
    <xf numFmtId="43" fontId="11" fillId="0" borderId="0" xfId="5" applyFont="1" applyBorder="1" applyAlignment="1">
      <alignment vertical="center" wrapText="1"/>
    </xf>
    <xf numFmtId="43" fontId="11" fillId="0" borderId="41" xfId="5" applyFont="1" applyBorder="1" applyAlignment="1" applyProtection="1">
      <alignment horizontal="center" vertical="center" wrapText="1"/>
      <protection hidden="1"/>
    </xf>
    <xf numFmtId="0" fontId="11" fillId="0" borderId="40" xfId="7" applyFont="1" applyBorder="1" applyAlignment="1">
      <alignment horizontal="left" vertical="center" wrapText="1"/>
    </xf>
    <xf numFmtId="43" fontId="25" fillId="0" borderId="0" xfId="5" applyFont="1" applyBorder="1" applyAlignment="1">
      <alignment horizontal="centerContinuous" vertical="center" wrapText="1"/>
    </xf>
    <xf numFmtId="43" fontId="11" fillId="0" borderId="0" xfId="5" applyFont="1" applyBorder="1" applyAlignment="1">
      <alignment horizontal="centerContinuous" vertical="center" wrapText="1"/>
    </xf>
    <xf numFmtId="43" fontId="11" fillId="0" borderId="41" xfId="5" applyFont="1" applyBorder="1" applyAlignment="1">
      <alignment horizontal="center" vertical="center" wrapText="1"/>
    </xf>
    <xf numFmtId="43" fontId="26" fillId="0" borderId="0" xfId="5" applyFont="1" applyBorder="1" applyAlignment="1">
      <alignment horizontal="centerContinuous" vertical="center" wrapText="1"/>
    </xf>
    <xf numFmtId="0" fontId="28" fillId="0" borderId="46" xfId="0" applyFont="1" applyBorder="1" applyAlignment="1">
      <alignment horizontal="right" vertical="center" wrapText="1"/>
    </xf>
    <xf numFmtId="49" fontId="39" fillId="0" borderId="8" xfId="0" applyNumberFormat="1" applyFont="1" applyBorder="1" applyAlignment="1">
      <alignment horizontal="right" vertical="center" wrapText="1"/>
    </xf>
    <xf numFmtId="14" fontId="11" fillId="0" borderId="16" xfId="7" applyNumberFormat="1" applyFont="1" applyBorder="1" applyAlignment="1">
      <alignment horizontal="centerContinuous" vertical="center" wrapText="1"/>
    </xf>
    <xf numFmtId="2" fontId="11" fillId="0" borderId="25" xfId="9" applyNumberFormat="1" applyFont="1" applyFill="1" applyBorder="1" applyAlignment="1">
      <alignment horizontal="center" vertical="center" wrapText="1"/>
    </xf>
    <xf numFmtId="2" fontId="11" fillId="0" borderId="9" xfId="8" applyNumberFormat="1" applyFont="1" applyFill="1" applyBorder="1" applyAlignment="1">
      <alignment horizontal="center" vertical="center" wrapText="1"/>
    </xf>
    <xf numFmtId="167" fontId="23" fillId="0" borderId="13" xfId="8" applyFont="1" applyBorder="1" applyAlignment="1">
      <alignment horizontal="center" vertical="center" wrapText="1"/>
    </xf>
    <xf numFmtId="0" fontId="0" fillId="0" borderId="41" xfId="0" applyBorder="1" applyAlignment="1">
      <alignment horizontal="center" wrapText="1"/>
    </xf>
    <xf numFmtId="0" fontId="3" fillId="0" borderId="41" xfId="0" applyFont="1" applyBorder="1" applyAlignment="1">
      <alignment horizontal="center" wrapText="1"/>
    </xf>
    <xf numFmtId="0" fontId="40" fillId="0" borderId="41" xfId="0" applyFont="1" applyBorder="1" applyAlignment="1">
      <alignment horizontal="center" wrapText="1"/>
    </xf>
    <xf numFmtId="169" fontId="3" fillId="0" borderId="0" xfId="2" applyNumberFormat="1" applyFont="1" applyBorder="1" applyAlignment="1" applyProtection="1">
      <alignment horizontal="center" wrapText="1"/>
      <protection hidden="1"/>
    </xf>
    <xf numFmtId="8" fontId="3" fillId="0" borderId="0" xfId="0" applyNumberFormat="1" applyFont="1" applyAlignment="1" applyProtection="1">
      <alignment horizontal="center" wrapText="1"/>
      <protection hidden="1"/>
    </xf>
    <xf numFmtId="2" fontId="3" fillId="0" borderId="0" xfId="0" applyNumberFormat="1" applyFont="1" applyAlignment="1" applyProtection="1">
      <alignment horizontal="center" wrapText="1"/>
      <protection hidden="1"/>
    </xf>
    <xf numFmtId="0" fontId="41" fillId="0" borderId="0" xfId="7" applyFont="1" applyAlignment="1">
      <alignment vertical="center" wrapText="1"/>
    </xf>
    <xf numFmtId="43" fontId="41" fillId="0" borderId="5" xfId="5" applyFont="1" applyBorder="1" applyAlignment="1">
      <alignment vertical="center" wrapText="1"/>
    </xf>
    <xf numFmtId="43" fontId="26" fillId="0" borderId="45" xfId="5" applyFont="1" applyBorder="1" applyAlignment="1">
      <alignment horizontal="centerContinuous" vertical="center" wrapText="1"/>
    </xf>
    <xf numFmtId="0" fontId="0" fillId="0" borderId="45" xfId="0" applyBorder="1" applyAlignment="1">
      <alignment horizontal="centerContinuous" vertical="center" wrapText="1"/>
    </xf>
    <xf numFmtId="0" fontId="29" fillId="9" borderId="14" xfId="7" applyFont="1" applyFill="1" applyBorder="1" applyAlignment="1">
      <alignment horizontal="right" wrapText="1"/>
    </xf>
    <xf numFmtId="0" fontId="21" fillId="9" borderId="15" xfId="7" applyFont="1" applyFill="1" applyBorder="1" applyAlignment="1">
      <alignment horizontal="centerContinuous" vertical="center" wrapText="1"/>
    </xf>
    <xf numFmtId="0" fontId="29" fillId="9" borderId="16" xfId="7" applyFont="1" applyFill="1" applyBorder="1" applyAlignment="1">
      <alignment horizontal="right" wrapText="1"/>
    </xf>
    <xf numFmtId="0" fontId="3" fillId="0" borderId="0" xfId="0" applyFont="1" applyAlignment="1" applyProtection="1">
      <alignment vertical="center" wrapText="1"/>
      <protection hidden="1"/>
    </xf>
    <xf numFmtId="0" fontId="2" fillId="0" borderId="0" xfId="0" applyFont="1" applyAlignment="1">
      <alignment vertical="center" wrapText="1"/>
    </xf>
    <xf numFmtId="0" fontId="15" fillId="0" borderId="1" xfId="0" applyFont="1" applyBorder="1" applyAlignment="1">
      <alignment horizontal="centerContinuous" vertical="center" wrapText="1"/>
    </xf>
    <xf numFmtId="0" fontId="15" fillId="0" borderId="2" xfId="0" applyFont="1" applyBorder="1" applyAlignment="1">
      <alignment horizontal="centerContinuous" vertical="center" wrapText="1"/>
    </xf>
    <xf numFmtId="0" fontId="15" fillId="0" borderId="3" xfId="0" applyFont="1" applyBorder="1" applyAlignment="1">
      <alignment horizontal="centerContinuous" vertical="center" wrapText="1"/>
    </xf>
    <xf numFmtId="0" fontId="2" fillId="0" borderId="0" xfId="0" applyFont="1" applyAlignment="1" applyProtection="1">
      <alignment vertical="center" wrapText="1"/>
      <protection hidden="1"/>
    </xf>
    <xf numFmtId="0" fontId="2" fillId="0" borderId="0" xfId="0" applyFont="1" applyProtection="1">
      <protection hidden="1"/>
    </xf>
    <xf numFmtId="176" fontId="3" fillId="0" borderId="0" xfId="0" applyNumberFormat="1" applyFont="1"/>
    <xf numFmtId="167" fontId="3" fillId="0" borderId="0" xfId="0" applyNumberFormat="1" applyFont="1" applyAlignment="1" applyProtection="1">
      <alignment wrapText="1"/>
      <protection hidden="1"/>
    </xf>
    <xf numFmtId="172" fontId="3" fillId="0" borderId="0" xfId="0" applyNumberFormat="1" applyFont="1"/>
    <xf numFmtId="42" fontId="3" fillId="0" borderId="0" xfId="0" applyNumberFormat="1" applyFont="1" applyProtection="1">
      <protection hidden="1"/>
    </xf>
    <xf numFmtId="8" fontId="3" fillId="0" borderId="0" xfId="0" applyNumberFormat="1" applyFont="1"/>
    <xf numFmtId="0" fontId="3" fillId="0" borderId="0" xfId="0" applyFont="1" applyAlignment="1">
      <alignment vertical="center" wrapText="1"/>
    </xf>
    <xf numFmtId="4" fontId="31" fillId="0" borderId="60" xfId="7" applyNumberFormat="1" applyFont="1" applyBorder="1" applyAlignment="1">
      <alignment horizontal="center" vertical="center"/>
    </xf>
    <xf numFmtId="8" fontId="31" fillId="0" borderId="2" xfId="7" applyNumberFormat="1" applyFont="1" applyBorder="1" applyAlignment="1">
      <alignment vertical="center" wrapText="1"/>
    </xf>
    <xf numFmtId="8" fontId="31" fillId="0" borderId="0" xfId="7" applyNumberFormat="1" applyFont="1" applyAlignment="1">
      <alignment vertical="center" wrapText="1"/>
    </xf>
    <xf numFmtId="8" fontId="33" fillId="5" borderId="53" xfId="7" applyNumberFormat="1" applyFont="1" applyFill="1" applyBorder="1" applyAlignment="1">
      <alignment horizontal="center" vertical="center"/>
    </xf>
    <xf numFmtId="8" fontId="33" fillId="5" borderId="54" xfId="7" applyNumberFormat="1" applyFont="1" applyFill="1" applyBorder="1" applyAlignment="1">
      <alignment horizontal="center" vertical="center"/>
    </xf>
    <xf numFmtId="8" fontId="33" fillId="5" borderId="56" xfId="0" applyNumberFormat="1" applyFont="1" applyFill="1" applyBorder="1" applyAlignment="1">
      <alignment horizontal="center" vertical="center"/>
    </xf>
    <xf numFmtId="8" fontId="34" fillId="0" borderId="0" xfId="7" applyNumberFormat="1" applyFont="1" applyAlignment="1">
      <alignment vertical="center"/>
    </xf>
    <xf numFmtId="8" fontId="31" fillId="9" borderId="71" xfId="7" applyNumberFormat="1" applyFont="1" applyFill="1" applyBorder="1" applyAlignment="1">
      <alignment horizontal="center" vertical="center" wrapText="1"/>
    </xf>
    <xf numFmtId="8" fontId="31" fillId="0" borderId="73" xfId="7" applyNumberFormat="1" applyFont="1" applyBorder="1" applyAlignment="1">
      <alignment horizontal="center" vertical="center"/>
    </xf>
    <xf numFmtId="8" fontId="31" fillId="0" borderId="73" xfId="7" applyNumberFormat="1" applyFont="1" applyBorder="1" applyAlignment="1">
      <alignment vertical="center"/>
    </xf>
    <xf numFmtId="8" fontId="31" fillId="0" borderId="76" xfId="7" applyNumberFormat="1" applyFont="1" applyBorder="1" applyAlignment="1">
      <alignment vertical="center"/>
    </xf>
    <xf numFmtId="8" fontId="33" fillId="6" borderId="64" xfId="7" applyNumberFormat="1" applyFont="1" applyFill="1" applyBorder="1" applyAlignment="1">
      <alignment vertical="center"/>
    </xf>
    <xf numFmtId="8" fontId="33" fillId="0" borderId="67" xfId="7" applyNumberFormat="1" applyFont="1" applyBorder="1" applyAlignment="1">
      <alignment vertical="center"/>
    </xf>
    <xf numFmtId="8" fontId="31" fillId="9" borderId="71" xfId="7" applyNumberFormat="1" applyFont="1" applyFill="1" applyBorder="1" applyAlignment="1">
      <alignment horizontal="center" vertical="center"/>
    </xf>
    <xf numFmtId="8" fontId="31" fillId="0" borderId="73" xfId="13" applyNumberFormat="1" applyFont="1" applyFill="1" applyBorder="1" applyAlignment="1">
      <alignment horizontal="center" vertical="center"/>
    </xf>
    <xf numFmtId="8" fontId="31" fillId="0" borderId="51" xfId="7" applyNumberFormat="1" applyFont="1" applyBorder="1" applyAlignment="1">
      <alignment vertical="center"/>
    </xf>
    <xf numFmtId="8" fontId="31" fillId="0" borderId="76" xfId="13" applyNumberFormat="1" applyFont="1" applyFill="1" applyBorder="1" applyAlignment="1">
      <alignment horizontal="center" vertical="center"/>
    </xf>
    <xf numFmtId="8" fontId="33" fillId="6" borderId="80" xfId="7" applyNumberFormat="1" applyFont="1" applyFill="1" applyBorder="1" applyAlignment="1">
      <alignment vertical="center"/>
    </xf>
    <xf numFmtId="8" fontId="33" fillId="0" borderId="0" xfId="7" applyNumberFormat="1" applyFont="1" applyAlignment="1">
      <alignment vertical="center"/>
    </xf>
    <xf numFmtId="8" fontId="33" fillId="9" borderId="43" xfId="7" applyNumberFormat="1" applyFont="1" applyFill="1" applyBorder="1" applyAlignment="1">
      <alignment vertical="center"/>
    </xf>
    <xf numFmtId="8" fontId="31" fillId="0" borderId="0" xfId="7" applyNumberFormat="1" applyFont="1" applyAlignment="1">
      <alignment vertical="center"/>
    </xf>
    <xf numFmtId="8" fontId="33" fillId="0" borderId="43" xfId="7" applyNumberFormat="1" applyFont="1" applyBorder="1" applyAlignment="1">
      <alignment vertical="center"/>
    </xf>
    <xf numFmtId="8" fontId="31" fillId="0" borderId="0" xfId="0" applyNumberFormat="1" applyFont="1" applyAlignment="1">
      <alignment vertical="center"/>
    </xf>
    <xf numFmtId="8" fontId="31" fillId="0" borderId="83" xfId="4" applyNumberFormat="1" applyFont="1" applyBorder="1" applyAlignment="1">
      <alignment vertical="center"/>
    </xf>
    <xf numFmtId="8" fontId="31" fillId="0" borderId="89" xfId="4" applyNumberFormat="1" applyFont="1" applyBorder="1" applyAlignment="1">
      <alignment vertical="center"/>
    </xf>
    <xf numFmtId="8" fontId="33" fillId="0" borderId="89" xfId="4" applyNumberFormat="1" applyFont="1" applyBorder="1" applyAlignment="1">
      <alignment vertical="center"/>
    </xf>
    <xf numFmtId="8" fontId="31" fillId="0" borderId="42" xfId="4" applyNumberFormat="1" applyFont="1" applyBorder="1" applyAlignment="1">
      <alignment vertical="center"/>
    </xf>
    <xf numFmtId="8" fontId="37" fillId="0" borderId="45" xfId="4" applyNumberFormat="1" applyFont="1" applyBorder="1" applyAlignment="1">
      <alignment vertical="center"/>
    </xf>
    <xf numFmtId="44" fontId="31" fillId="0" borderId="73" xfId="2" applyFont="1" applyBorder="1" applyAlignment="1">
      <alignment horizontal="center" vertical="center"/>
    </xf>
    <xf numFmtId="44" fontId="31" fillId="0" borderId="73" xfId="2" applyFont="1" applyBorder="1" applyAlignment="1">
      <alignment vertical="center"/>
    </xf>
    <xf numFmtId="4" fontId="31" fillId="0" borderId="60" xfId="12" applyNumberFormat="1" applyFont="1" applyFill="1" applyBorder="1" applyAlignment="1">
      <alignment horizontal="center" vertical="center"/>
    </xf>
    <xf numFmtId="4" fontId="31" fillId="0" borderId="75" xfId="12" applyNumberFormat="1" applyFont="1" applyFill="1" applyBorder="1" applyAlignment="1">
      <alignment horizontal="center" vertical="center"/>
    </xf>
    <xf numFmtId="0" fontId="46" fillId="0" borderId="0" xfId="0" applyFont="1"/>
    <xf numFmtId="0" fontId="47" fillId="0" borderId="0" xfId="0" applyFont="1" applyAlignment="1">
      <alignment vertical="center"/>
    </xf>
    <xf numFmtId="0" fontId="48" fillId="7" borderId="14" xfId="0" applyFont="1" applyFill="1" applyBorder="1" applyAlignment="1" applyProtection="1">
      <alignment horizontal="centerContinuous" vertical="center" wrapText="1"/>
      <protection locked="0"/>
    </xf>
    <xf numFmtId="0" fontId="48" fillId="7" borderId="15" xfId="0" applyFont="1" applyFill="1" applyBorder="1" applyAlignment="1" applyProtection="1">
      <alignment horizontal="centerContinuous" vertical="center" wrapText="1"/>
      <protection locked="0"/>
    </xf>
    <xf numFmtId="2" fontId="48" fillId="7" borderId="15" xfId="0" applyNumberFormat="1" applyFont="1" applyFill="1" applyBorder="1" applyAlignment="1" applyProtection="1">
      <alignment horizontal="centerContinuous" vertical="center" wrapText="1"/>
      <protection locked="0"/>
    </xf>
    <xf numFmtId="0" fontId="49" fillId="7" borderId="15" xfId="0" applyFont="1" applyFill="1" applyBorder="1" applyAlignment="1">
      <alignment horizontal="centerContinuous" vertical="center"/>
    </xf>
    <xf numFmtId="0" fontId="48" fillId="7" borderId="16" xfId="0" applyFont="1" applyFill="1" applyBorder="1" applyAlignment="1">
      <alignment horizontal="centerContinuous" vertical="center"/>
    </xf>
    <xf numFmtId="0" fontId="46" fillId="0" borderId="0" xfId="0" applyFont="1" applyAlignment="1">
      <alignment vertical="center"/>
    </xf>
    <xf numFmtId="2" fontId="48" fillId="7" borderId="17" xfId="0" applyNumberFormat="1" applyFont="1" applyFill="1" applyBorder="1" applyAlignment="1" applyProtection="1">
      <alignment horizontal="center" vertical="center" wrapText="1"/>
      <protection locked="0"/>
    </xf>
    <xf numFmtId="2" fontId="48" fillId="7" borderId="52" xfId="0" applyNumberFormat="1" applyFont="1" applyFill="1" applyBorder="1" applyAlignment="1" applyProtection="1">
      <alignment horizontal="center" vertical="center" wrapText="1"/>
      <protection locked="0"/>
    </xf>
    <xf numFmtId="0" fontId="48" fillId="7" borderId="18" xfId="0" applyFont="1" applyFill="1" applyBorder="1" applyAlignment="1" applyProtection="1">
      <alignment horizontal="left" vertical="center" wrapText="1"/>
      <protection locked="0"/>
    </xf>
    <xf numFmtId="0" fontId="48" fillId="7" borderId="18" xfId="0" applyFont="1" applyFill="1" applyBorder="1" applyAlignment="1" applyProtection="1">
      <alignment horizontal="center" vertical="center" wrapText="1"/>
      <protection locked="0"/>
    </xf>
    <xf numFmtId="0" fontId="50" fillId="0" borderId="17" xfId="0" applyFont="1" applyBorder="1" applyAlignment="1">
      <alignment horizontal="center" vertical="center" wrapText="1"/>
    </xf>
    <xf numFmtId="0" fontId="50" fillId="0" borderId="18" xfId="0" applyFont="1" applyBorder="1" applyAlignment="1">
      <alignment horizontal="center" vertical="center" wrapText="1"/>
    </xf>
    <xf numFmtId="0" fontId="50" fillId="0" borderId="19" xfId="0" applyFont="1" applyBorder="1" applyAlignment="1">
      <alignment horizontal="center" vertical="center" wrapText="1"/>
    </xf>
    <xf numFmtId="0" fontId="50" fillId="0" borderId="16" xfId="0" applyFont="1" applyBorder="1" applyAlignment="1">
      <alignment horizontal="center" vertical="center" wrapText="1"/>
    </xf>
    <xf numFmtId="0" fontId="50" fillId="0" borderId="100" xfId="0" applyFont="1" applyBorder="1" applyAlignment="1">
      <alignment horizontal="center" vertical="center" wrapText="1"/>
    </xf>
    <xf numFmtId="0" fontId="50" fillId="0" borderId="38" xfId="0" applyFont="1" applyBorder="1" applyAlignment="1">
      <alignment horizontal="center" vertical="center" wrapText="1"/>
    </xf>
    <xf numFmtId="0" fontId="50" fillId="0" borderId="98" xfId="0" applyFont="1" applyBorder="1" applyAlignment="1">
      <alignment horizontal="center" vertical="center" wrapText="1"/>
    </xf>
    <xf numFmtId="0" fontId="50" fillId="0" borderId="39" xfId="0" applyFont="1" applyBorder="1" applyAlignment="1">
      <alignment horizontal="center" vertical="center" wrapText="1"/>
    </xf>
    <xf numFmtId="49" fontId="47" fillId="0" borderId="0" xfId="0" applyNumberFormat="1" applyFont="1" applyAlignment="1">
      <alignment horizontal="right" vertical="center"/>
    </xf>
    <xf numFmtId="0" fontId="48" fillId="7" borderId="14" xfId="6" applyFont="1" applyFill="1" applyBorder="1" applyAlignment="1" applyProtection="1">
      <alignment horizontal="center" vertical="center"/>
    </xf>
    <xf numFmtId="0" fontId="48" fillId="7" borderId="15" xfId="6" applyFont="1" applyFill="1" applyBorder="1" applyAlignment="1" applyProtection="1">
      <alignment horizontal="center" vertical="center"/>
    </xf>
    <xf numFmtId="0" fontId="48" fillId="7" borderId="15" xfId="0" applyFont="1" applyFill="1" applyBorder="1" applyAlignment="1" applyProtection="1">
      <alignment horizontal="left" vertical="center"/>
      <protection locked="0"/>
    </xf>
    <xf numFmtId="0" fontId="48" fillId="7" borderId="15" xfId="0" applyFont="1" applyFill="1" applyBorder="1" applyAlignment="1" applyProtection="1">
      <alignment horizontal="center" vertical="center" wrapText="1"/>
      <protection locked="0"/>
    </xf>
    <xf numFmtId="2" fontId="48" fillId="7" borderId="15" xfId="0" applyNumberFormat="1" applyFont="1" applyFill="1" applyBorder="1" applyAlignment="1" applyProtection="1">
      <alignment horizontal="center" vertical="center" wrapText="1"/>
      <protection locked="0"/>
    </xf>
    <xf numFmtId="8" fontId="48" fillId="7" borderId="34" xfId="0" applyNumberFormat="1" applyFont="1" applyFill="1" applyBorder="1" applyAlignment="1">
      <alignment horizontal="center" vertical="center" wrapText="1"/>
    </xf>
    <xf numFmtId="0" fontId="46" fillId="0" borderId="14" xfId="0" applyFont="1" applyBorder="1" applyAlignment="1">
      <alignment vertical="center"/>
    </xf>
    <xf numFmtId="0" fontId="46" fillId="0" borderId="15" xfId="0" applyFont="1" applyBorder="1" applyAlignment="1">
      <alignment vertical="center"/>
    </xf>
    <xf numFmtId="0" fontId="46" fillId="0" borderId="16" xfId="0" applyFont="1" applyBorder="1" applyAlignment="1">
      <alignment vertical="center"/>
    </xf>
    <xf numFmtId="49" fontId="47" fillId="0" borderId="50" xfId="0" applyNumberFormat="1" applyFont="1" applyBorder="1" applyAlignment="1">
      <alignment horizontal="right" vertical="center"/>
    </xf>
    <xf numFmtId="0" fontId="51" fillId="7" borderId="96" xfId="6" applyFont="1" applyFill="1" applyBorder="1" applyAlignment="1" applyProtection="1">
      <alignment horizontal="center" vertical="center"/>
    </xf>
    <xf numFmtId="0" fontId="47" fillId="7" borderId="91" xfId="6" applyFont="1" applyFill="1" applyBorder="1" applyAlignment="1" applyProtection="1">
      <alignment horizontal="center" vertical="center" wrapText="1"/>
    </xf>
    <xf numFmtId="0" fontId="47" fillId="7" borderId="91" xfId="0" applyFont="1" applyFill="1" applyBorder="1" applyAlignment="1">
      <alignment vertical="center" wrapText="1"/>
    </xf>
    <xf numFmtId="0" fontId="47" fillId="7" borderId="91" xfId="0" applyFont="1" applyFill="1" applyBorder="1" applyAlignment="1" applyProtection="1">
      <alignment horizontal="center" vertical="center" wrapText="1"/>
      <protection locked="0"/>
    </xf>
    <xf numFmtId="8" fontId="47" fillId="7" borderId="93" xfId="0" applyNumberFormat="1" applyFont="1" applyFill="1" applyBorder="1" applyAlignment="1">
      <alignment horizontal="center" vertical="center" wrapText="1"/>
    </xf>
    <xf numFmtId="169" fontId="46" fillId="4" borderId="23" xfId="0" applyNumberFormat="1" applyFont="1" applyFill="1" applyBorder="1" applyAlignment="1" applyProtection="1">
      <alignment vertical="center"/>
      <protection hidden="1"/>
    </xf>
    <xf numFmtId="169" fontId="46" fillId="4" borderId="24" xfId="0" applyNumberFormat="1" applyFont="1" applyFill="1" applyBorder="1" applyAlignment="1" applyProtection="1">
      <alignment vertical="center"/>
      <protection hidden="1"/>
    </xf>
    <xf numFmtId="169" fontId="46" fillId="0" borderId="25" xfId="0" applyNumberFormat="1" applyFont="1" applyBorder="1" applyAlignment="1" applyProtection="1">
      <alignment vertical="center"/>
      <protection hidden="1"/>
    </xf>
    <xf numFmtId="169" fontId="46" fillId="0" borderId="94" xfId="0" applyNumberFormat="1" applyFont="1" applyBorder="1" applyAlignment="1" applyProtection="1">
      <alignment vertical="center"/>
      <protection hidden="1"/>
    </xf>
    <xf numFmtId="169" fontId="46" fillId="0" borderId="24" xfId="0" applyNumberFormat="1" applyFont="1" applyBorder="1" applyAlignment="1" applyProtection="1">
      <alignment vertical="center"/>
      <protection hidden="1"/>
    </xf>
    <xf numFmtId="169" fontId="46" fillId="0" borderId="24" xfId="0" applyNumberFormat="1" applyFont="1" applyBorder="1" applyAlignment="1" applyProtection="1">
      <alignment horizontal="center" vertical="center"/>
      <protection hidden="1"/>
    </xf>
    <xf numFmtId="169" fontId="46" fillId="4" borderId="7" xfId="0" applyNumberFormat="1" applyFont="1" applyFill="1" applyBorder="1" applyAlignment="1" applyProtection="1">
      <alignment vertical="center"/>
      <protection hidden="1"/>
    </xf>
    <xf numFmtId="169" fontId="46" fillId="4" borderId="95" xfId="0" applyNumberFormat="1" applyFont="1" applyFill="1" applyBorder="1" applyAlignment="1" applyProtection="1">
      <alignment vertical="center"/>
      <protection hidden="1"/>
    </xf>
    <xf numFmtId="169" fontId="46" fillId="0" borderId="48" xfId="0" applyNumberFormat="1" applyFont="1" applyBorder="1" applyAlignment="1" applyProtection="1">
      <alignment vertical="center"/>
      <protection hidden="1"/>
    </xf>
    <xf numFmtId="169" fontId="46" fillId="0" borderId="83" xfId="0" applyNumberFormat="1" applyFont="1" applyBorder="1" applyAlignment="1" applyProtection="1">
      <alignment vertical="center"/>
      <protection hidden="1"/>
    </xf>
    <xf numFmtId="169" fontId="46" fillId="0" borderId="95" xfId="0" applyNumberFormat="1" applyFont="1" applyBorder="1" applyAlignment="1" applyProtection="1">
      <alignment vertical="center"/>
      <protection hidden="1"/>
    </xf>
    <xf numFmtId="169" fontId="46" fillId="0" borderId="95" xfId="0" applyNumberFormat="1" applyFont="1" applyBorder="1" applyAlignment="1" applyProtection="1">
      <alignment horizontal="center" vertical="center"/>
      <protection hidden="1"/>
    </xf>
    <xf numFmtId="0" fontId="47" fillId="7" borderId="91" xfId="6" applyFont="1" applyFill="1" applyBorder="1" applyAlignment="1" applyProtection="1">
      <alignment horizontal="center" vertical="center"/>
    </xf>
    <xf numFmtId="169" fontId="46" fillId="4" borderId="96" xfId="0" applyNumberFormat="1" applyFont="1" applyFill="1" applyBorder="1" applyAlignment="1" applyProtection="1">
      <alignment vertical="center"/>
      <protection hidden="1"/>
    </xf>
    <xf numFmtId="169" fontId="46" fillId="4" borderId="91" xfId="0" applyNumberFormat="1" applyFont="1" applyFill="1" applyBorder="1" applyAlignment="1" applyProtection="1">
      <alignment vertical="center"/>
      <protection hidden="1"/>
    </xf>
    <xf numFmtId="169" fontId="46" fillId="0" borderId="97" xfId="0" applyNumberFormat="1" applyFont="1" applyBorder="1" applyAlignment="1" applyProtection="1">
      <alignment vertical="center"/>
      <protection hidden="1"/>
    </xf>
    <xf numFmtId="169" fontId="46" fillId="0" borderId="42" xfId="0" applyNumberFormat="1" applyFont="1" applyBorder="1" applyAlignment="1" applyProtection="1">
      <alignment vertical="center"/>
      <protection hidden="1"/>
    </xf>
    <xf numFmtId="169" fontId="46" fillId="0" borderId="91" xfId="0" applyNumberFormat="1" applyFont="1" applyBorder="1" applyAlignment="1" applyProtection="1">
      <alignment vertical="center"/>
      <protection hidden="1"/>
    </xf>
    <xf numFmtId="169" fontId="46" fillId="0" borderId="91" xfId="0" applyNumberFormat="1" applyFont="1" applyBorder="1" applyAlignment="1" applyProtection="1">
      <alignment horizontal="center" vertical="center"/>
      <protection hidden="1"/>
    </xf>
    <xf numFmtId="169" fontId="46" fillId="4" borderId="49" xfId="0" applyNumberFormat="1" applyFont="1" applyFill="1" applyBorder="1" applyAlignment="1" applyProtection="1">
      <alignment vertical="center"/>
      <protection hidden="1"/>
    </xf>
    <xf numFmtId="169" fontId="46" fillId="4" borderId="8" xfId="0" applyNumberFormat="1" applyFont="1" applyFill="1" applyBorder="1" applyAlignment="1" applyProtection="1">
      <alignment vertical="center"/>
      <protection hidden="1"/>
    </xf>
    <xf numFmtId="169" fontId="46" fillId="0" borderId="9" xfId="0" applyNumberFormat="1" applyFont="1" applyBorder="1" applyAlignment="1" applyProtection="1">
      <alignment vertical="center"/>
      <protection hidden="1"/>
    </xf>
    <xf numFmtId="169" fontId="46" fillId="0" borderId="43" xfId="0" applyNumberFormat="1" applyFont="1" applyBorder="1" applyAlignment="1" applyProtection="1">
      <alignment vertical="center"/>
      <protection hidden="1"/>
    </xf>
    <xf numFmtId="169" fontId="46" fillId="0" borderId="8" xfId="0" applyNumberFormat="1" applyFont="1" applyBorder="1" applyAlignment="1" applyProtection="1">
      <alignment vertical="center"/>
      <protection hidden="1"/>
    </xf>
    <xf numFmtId="169" fontId="46" fillId="0" borderId="8" xfId="0" applyNumberFormat="1" applyFont="1" applyBorder="1" applyAlignment="1" applyProtection="1">
      <alignment horizontal="center" vertical="center"/>
      <protection hidden="1"/>
    </xf>
    <xf numFmtId="0" fontId="51" fillId="7" borderId="11" xfId="6" applyFont="1" applyFill="1" applyBorder="1" applyAlignment="1" applyProtection="1">
      <alignment horizontal="center" vertical="center"/>
    </xf>
    <xf numFmtId="0" fontId="47" fillId="7" borderId="38" xfId="6" applyFont="1" applyFill="1" applyBorder="1" applyAlignment="1" applyProtection="1">
      <alignment horizontal="center" vertical="center"/>
    </xf>
    <xf numFmtId="0" fontId="47" fillId="7" borderId="38" xfId="0" applyFont="1" applyFill="1" applyBorder="1" applyAlignment="1">
      <alignment vertical="center" wrapText="1"/>
    </xf>
    <xf numFmtId="0" fontId="47" fillId="7" borderId="38" xfId="0" applyFont="1" applyFill="1" applyBorder="1" applyAlignment="1" applyProtection="1">
      <alignment horizontal="center" vertical="center" wrapText="1"/>
      <protection locked="0"/>
    </xf>
    <xf numFmtId="8" fontId="47" fillId="7" borderId="99" xfId="0" applyNumberFormat="1" applyFont="1" applyFill="1" applyBorder="1" applyAlignment="1">
      <alignment horizontal="center" vertical="center" wrapText="1"/>
    </xf>
    <xf numFmtId="0" fontId="46" fillId="0" borderId="15" xfId="0" applyFont="1" applyBorder="1" applyAlignment="1">
      <alignment horizontal="centerContinuous" vertical="center" wrapText="1"/>
    </xf>
    <xf numFmtId="0" fontId="46" fillId="0" borderId="15" xfId="0" applyFont="1" applyBorder="1"/>
    <xf numFmtId="0" fontId="46" fillId="0" borderId="16" xfId="0" applyFont="1" applyBorder="1"/>
    <xf numFmtId="169" fontId="50" fillId="0" borderId="15" xfId="0" applyNumberFormat="1" applyFont="1" applyBorder="1"/>
    <xf numFmtId="169" fontId="50" fillId="0" borderId="16" xfId="0" applyNumberFormat="1" applyFont="1" applyBorder="1"/>
    <xf numFmtId="8" fontId="46" fillId="0" borderId="0" xfId="0" applyNumberFormat="1" applyFont="1"/>
    <xf numFmtId="0" fontId="46" fillId="0" borderId="0" xfId="0" applyFont="1" applyAlignment="1">
      <alignment vertical="center" wrapText="1"/>
    </xf>
    <xf numFmtId="169" fontId="46" fillId="0" borderId="0" xfId="0" applyNumberFormat="1" applyFont="1"/>
    <xf numFmtId="10" fontId="46" fillId="0" borderId="0" xfId="0" applyNumberFormat="1" applyFont="1"/>
    <xf numFmtId="0" fontId="52" fillId="0" borderId="0" xfId="4" applyFont="1" applyAlignment="1">
      <alignment horizontal="left" vertical="center"/>
    </xf>
    <xf numFmtId="0" fontId="52" fillId="0" borderId="45" xfId="4" applyFont="1" applyBorder="1" applyAlignment="1">
      <alignment horizontal="left" vertical="center"/>
    </xf>
    <xf numFmtId="0" fontId="50" fillId="0" borderId="14" xfId="0" applyFont="1" applyBorder="1" applyAlignment="1">
      <alignment horizontal="centerContinuous" vertical="center"/>
    </xf>
    <xf numFmtId="0" fontId="46" fillId="0" borderId="15" xfId="0" applyFont="1" applyBorder="1" applyAlignment="1">
      <alignment horizontal="centerContinuous" vertical="center"/>
    </xf>
    <xf numFmtId="0" fontId="46" fillId="0" borderId="14" xfId="0" applyFont="1" applyBorder="1"/>
    <xf numFmtId="0" fontId="46" fillId="0" borderId="40" xfId="0" applyFont="1" applyBorder="1"/>
    <xf numFmtId="0" fontId="47" fillId="0" borderId="0" xfId="0" applyFont="1"/>
    <xf numFmtId="0" fontId="46" fillId="0" borderId="41" xfId="0" applyFont="1" applyBorder="1"/>
    <xf numFmtId="0" fontId="47" fillId="0" borderId="40" xfId="0" applyFont="1" applyBorder="1" applyAlignment="1">
      <alignment vertical="center"/>
    </xf>
    <xf numFmtId="8" fontId="53" fillId="0" borderId="41" xfId="0" applyNumberFormat="1" applyFont="1" applyBorder="1" applyAlignment="1">
      <alignment vertical="center"/>
    </xf>
    <xf numFmtId="0" fontId="47" fillId="0" borderId="40" xfId="0" applyFont="1" applyBorder="1" applyAlignment="1">
      <alignment horizontal="center" vertical="center"/>
    </xf>
    <xf numFmtId="8" fontId="49" fillId="0" borderId="41" xfId="0" applyNumberFormat="1" applyFont="1" applyBorder="1" applyAlignment="1">
      <alignment vertical="center"/>
    </xf>
    <xf numFmtId="0" fontId="50" fillId="0" borderId="0" xfId="0" applyFont="1"/>
    <xf numFmtId="8" fontId="50" fillId="0" borderId="41" xfId="0" applyNumberFormat="1" applyFont="1" applyBorder="1"/>
    <xf numFmtId="0" fontId="52" fillId="0" borderId="45" xfId="0" applyFont="1" applyBorder="1" applyAlignment="1">
      <alignment vertical="center"/>
    </xf>
    <xf numFmtId="0" fontId="52" fillId="0" borderId="0" xfId="0" applyFont="1" applyAlignment="1">
      <alignment vertical="center"/>
    </xf>
    <xf numFmtId="0" fontId="52" fillId="0" borderId="0" xfId="4" applyFont="1" applyAlignment="1">
      <alignment vertical="center"/>
    </xf>
    <xf numFmtId="0" fontId="52" fillId="0" borderId="40" xfId="0" applyFont="1" applyBorder="1" applyAlignment="1">
      <alignment vertical="center"/>
    </xf>
    <xf numFmtId="0" fontId="52" fillId="0" borderId="41" xfId="0" applyFont="1" applyBorder="1" applyAlignment="1">
      <alignment vertical="center"/>
    </xf>
    <xf numFmtId="0" fontId="54" fillId="0" borderId="0" xfId="4" applyFont="1" applyAlignment="1">
      <alignment vertical="center"/>
    </xf>
    <xf numFmtId="0" fontId="52" fillId="0" borderId="40" xfId="4" applyFont="1" applyBorder="1" applyAlignment="1">
      <alignment horizontal="left" vertical="center"/>
    </xf>
    <xf numFmtId="0" fontId="46" fillId="0" borderId="41" xfId="0" applyFont="1" applyBorder="1" applyAlignment="1">
      <alignment vertical="center"/>
    </xf>
    <xf numFmtId="0" fontId="52" fillId="0" borderId="44" xfId="4" applyFont="1" applyBorder="1" applyAlignment="1">
      <alignment horizontal="left" vertical="center"/>
    </xf>
    <xf numFmtId="0" fontId="46" fillId="0" borderId="45" xfId="0" applyFont="1" applyBorder="1" applyAlignment="1">
      <alignment horizontal="centerContinuous" vertical="center"/>
    </xf>
    <xf numFmtId="0" fontId="47" fillId="0" borderId="45" xfId="0" applyFont="1" applyBorder="1" applyAlignment="1">
      <alignment vertical="center"/>
    </xf>
    <xf numFmtId="0" fontId="46" fillId="0" borderId="46" xfId="0" applyFont="1" applyBorder="1" applyAlignment="1">
      <alignment vertical="center"/>
    </xf>
    <xf numFmtId="2" fontId="0" fillId="0" borderId="40" xfId="0" applyNumberFormat="1" applyBorder="1" applyAlignment="1">
      <alignment wrapText="1"/>
    </xf>
    <xf numFmtId="0" fontId="40" fillId="0" borderId="0" xfId="0" applyFont="1" applyAlignment="1" applyProtection="1">
      <alignment wrapText="1"/>
      <protection hidden="1"/>
    </xf>
    <xf numFmtId="0" fontId="0" fillId="0" borderId="40" xfId="0" applyBorder="1" applyAlignment="1">
      <alignment wrapText="1"/>
    </xf>
    <xf numFmtId="0" fontId="36" fillId="0" borderId="0" xfId="0" applyFont="1" applyAlignment="1">
      <alignment wrapText="1"/>
    </xf>
    <xf numFmtId="8" fontId="40" fillId="0" borderId="0" xfId="0" applyNumberFormat="1" applyFont="1" applyAlignment="1">
      <alignment wrapText="1"/>
    </xf>
    <xf numFmtId="49" fontId="39" fillId="0" borderId="49" xfId="0" applyNumberFormat="1" applyFont="1" applyBorder="1" applyAlignment="1">
      <alignment horizontal="right" vertical="center" wrapText="1"/>
    </xf>
    <xf numFmtId="0" fontId="11" fillId="0" borderId="44" xfId="7" applyFont="1" applyBorder="1" applyAlignment="1">
      <alignment horizontal="left" vertical="center" wrapText="1"/>
    </xf>
    <xf numFmtId="0" fontId="11" fillId="0" borderId="45" xfId="7" applyFont="1" applyBorder="1" applyAlignment="1">
      <alignment vertical="center" wrapText="1"/>
    </xf>
    <xf numFmtId="166" fontId="11" fillId="0" borderId="45" xfId="7" applyNumberFormat="1" applyFont="1" applyBorder="1" applyAlignment="1">
      <alignment vertical="center" wrapText="1"/>
    </xf>
    <xf numFmtId="43" fontId="11" fillId="0" borderId="45" xfId="5" applyFont="1" applyBorder="1" applyAlignment="1">
      <alignment vertical="center" wrapText="1"/>
    </xf>
    <xf numFmtId="43" fontId="11" fillId="0" borderId="46" xfId="5" applyFont="1" applyBorder="1" applyAlignment="1">
      <alignment horizontal="center" vertical="center" wrapText="1"/>
    </xf>
    <xf numFmtId="8" fontId="50" fillId="0" borderId="15" xfId="0" applyNumberFormat="1" applyFont="1" applyBorder="1"/>
    <xf numFmtId="9" fontId="46" fillId="0" borderId="0" xfId="0" applyNumberFormat="1" applyFont="1" applyAlignment="1">
      <alignment horizontal="left"/>
    </xf>
    <xf numFmtId="173" fontId="31" fillId="0" borderId="60" xfId="12" applyNumberFormat="1" applyFont="1" applyFill="1" applyBorder="1" applyAlignment="1">
      <alignment horizontal="center" vertical="center"/>
    </xf>
    <xf numFmtId="44" fontId="3" fillId="0" borderId="0" xfId="0" applyNumberFormat="1" applyFont="1" applyProtection="1">
      <protection hidden="1"/>
    </xf>
    <xf numFmtId="0" fontId="0" fillId="0" borderId="101" xfId="0" applyBorder="1" applyAlignment="1">
      <alignment vertical="center" wrapText="1"/>
    </xf>
    <xf numFmtId="2" fontId="0" fillId="0" borderId="101" xfId="0" applyNumberFormat="1" applyBorder="1" applyAlignment="1">
      <alignment vertical="center" wrapText="1"/>
    </xf>
    <xf numFmtId="8" fontId="0" fillId="0" borderId="101" xfId="0" applyNumberFormat="1" applyBorder="1" applyAlignment="1">
      <alignment vertical="center" wrapText="1"/>
    </xf>
    <xf numFmtId="8" fontId="3" fillId="0" borderId="0" xfId="0" applyNumberFormat="1" applyFont="1" applyProtection="1">
      <protection hidden="1"/>
    </xf>
    <xf numFmtId="0" fontId="34" fillId="0" borderId="58" xfId="0" applyFont="1" applyBorder="1" applyAlignment="1">
      <alignment vertical="center" wrapText="1"/>
    </xf>
    <xf numFmtId="44" fontId="46" fillId="0" borderId="0" xfId="2" applyFont="1"/>
    <xf numFmtId="0" fontId="47" fillId="0" borderId="8" xfId="0" applyFont="1" applyBorder="1"/>
    <xf numFmtId="0" fontId="46" fillId="0" borderId="8" xfId="0" applyFont="1" applyBorder="1" applyAlignment="1">
      <alignment vertical="center"/>
    </xf>
    <xf numFmtId="0" fontId="46" fillId="0" borderId="8" xfId="0" applyFont="1" applyBorder="1"/>
    <xf numFmtId="8" fontId="46" fillId="0" borderId="8" xfId="0" applyNumberFormat="1" applyFont="1" applyBorder="1"/>
    <xf numFmtId="8" fontId="50" fillId="10" borderId="8" xfId="0" applyNumberFormat="1" applyFont="1" applyFill="1" applyBorder="1"/>
    <xf numFmtId="8" fontId="50" fillId="11" borderId="8" xfId="0" applyNumberFormat="1" applyFont="1" applyFill="1" applyBorder="1"/>
    <xf numFmtId="2" fontId="48" fillId="7" borderId="92" xfId="0" applyNumberFormat="1" applyFont="1" applyFill="1" applyBorder="1" applyAlignment="1" applyProtection="1">
      <alignment horizontal="center" vertical="center" wrapText="1"/>
      <protection locked="0"/>
    </xf>
    <xf numFmtId="8" fontId="49" fillId="8" borderId="8" xfId="0" applyNumberFormat="1" applyFont="1" applyFill="1" applyBorder="1" applyAlignment="1">
      <alignment vertical="center"/>
    </xf>
    <xf numFmtId="44" fontId="46" fillId="0" borderId="8" xfId="2" applyFont="1" applyBorder="1"/>
    <xf numFmtId="8" fontId="48" fillId="9" borderId="34" xfId="0" applyNumberFormat="1" applyFont="1" applyFill="1" applyBorder="1" applyAlignment="1">
      <alignment horizontal="center" vertical="center" wrapText="1"/>
    </xf>
    <xf numFmtId="2" fontId="46" fillId="0" borderId="0" xfId="0" applyNumberFormat="1" applyFont="1" applyAlignment="1">
      <alignment horizontal="center" vertical="center"/>
    </xf>
    <xf numFmtId="8" fontId="50" fillId="12" borderId="8" xfId="0" applyNumberFormat="1" applyFont="1" applyFill="1" applyBorder="1"/>
    <xf numFmtId="44" fontId="48" fillId="7" borderId="15" xfId="2" applyFont="1" applyFill="1" applyBorder="1" applyAlignment="1" applyProtection="1">
      <alignment horizontal="centerContinuous" vertical="center" wrapText="1"/>
      <protection locked="0"/>
    </xf>
    <xf numFmtId="44" fontId="46" fillId="0" borderId="0" xfId="2" applyFont="1" applyAlignment="1">
      <alignment horizontal="center" vertical="center"/>
    </xf>
    <xf numFmtId="44" fontId="52" fillId="0" borderId="0" xfId="2" applyFont="1" applyAlignment="1">
      <alignment vertical="center"/>
    </xf>
    <xf numFmtId="44" fontId="54" fillId="0" borderId="0" xfId="2" applyFont="1" applyAlignment="1">
      <alignment vertical="center"/>
    </xf>
    <xf numFmtId="44" fontId="52" fillId="0" borderId="45" xfId="2" applyFont="1" applyBorder="1" applyAlignment="1">
      <alignment horizontal="left" vertical="center"/>
    </xf>
    <xf numFmtId="2" fontId="48" fillId="7" borderId="14" xfId="0" applyNumberFormat="1" applyFont="1" applyFill="1" applyBorder="1" applyAlignment="1" applyProtection="1">
      <alignment horizontal="center" vertical="center" wrapText="1"/>
      <protection locked="0"/>
    </xf>
    <xf numFmtId="44" fontId="48" fillId="7" borderId="16" xfId="2" applyFont="1" applyFill="1" applyBorder="1" applyAlignment="1" applyProtection="1">
      <alignment horizontal="center" vertical="center" wrapText="1"/>
      <protection locked="0"/>
    </xf>
    <xf numFmtId="44" fontId="47" fillId="0" borderId="4" xfId="2" applyFont="1" applyBorder="1" applyAlignment="1" applyProtection="1">
      <alignment horizontal="center" vertical="center" wrapText="1"/>
      <protection locked="0"/>
    </xf>
    <xf numFmtId="44" fontId="47" fillId="0" borderId="97" xfId="2" applyFont="1" applyBorder="1" applyAlignment="1" applyProtection="1">
      <alignment horizontal="center" vertical="center" wrapText="1"/>
      <protection locked="0"/>
    </xf>
    <xf numFmtId="44" fontId="48" fillId="7" borderId="14" xfId="2" applyFont="1" applyFill="1" applyBorder="1" applyAlignment="1" applyProtection="1">
      <alignment horizontal="center" vertical="center" wrapText="1"/>
      <protection locked="0"/>
    </xf>
    <xf numFmtId="0" fontId="46" fillId="0" borderId="14" xfId="0" applyFont="1" applyBorder="1" applyAlignment="1">
      <alignment horizontal="centerContinuous" vertical="center"/>
    </xf>
    <xf numFmtId="0" fontId="48" fillId="7" borderId="14" xfId="0" applyFont="1" applyFill="1" applyBorder="1" applyAlignment="1" applyProtection="1">
      <alignment vertical="center" wrapText="1"/>
      <protection locked="0"/>
    </xf>
    <xf numFmtId="169" fontId="51" fillId="7" borderId="4" xfId="6" applyNumberFormat="1" applyFont="1" applyFill="1" applyBorder="1" applyAlignment="1" applyProtection="1">
      <alignment vertical="center" wrapText="1"/>
      <protection locked="0"/>
    </xf>
    <xf numFmtId="0" fontId="47" fillId="0" borderId="14" xfId="0" applyFont="1" applyBorder="1" applyAlignment="1">
      <alignment horizontal="centerContinuous" vertical="center"/>
    </xf>
    <xf numFmtId="8" fontId="51" fillId="0" borderId="0" xfId="0" applyNumberFormat="1" applyFont="1" applyAlignment="1">
      <alignment horizontal="center" vertical="center"/>
    </xf>
    <xf numFmtId="0" fontId="46" fillId="0" borderId="0" xfId="0" applyFont="1" applyAlignment="1">
      <alignment horizontal="center" vertical="center"/>
    </xf>
    <xf numFmtId="8" fontId="49" fillId="0" borderId="0" xfId="0" applyNumberFormat="1" applyFont="1" applyAlignment="1">
      <alignment vertical="center"/>
    </xf>
    <xf numFmtId="2" fontId="46" fillId="0" borderId="0" xfId="0" applyNumberFormat="1" applyFont="1" applyAlignment="1">
      <alignment vertical="center"/>
    </xf>
    <xf numFmtId="2" fontId="46" fillId="0" borderId="0" xfId="0" applyNumberFormat="1" applyFont="1" applyAlignment="1">
      <alignment horizontal="center"/>
    </xf>
    <xf numFmtId="2" fontId="50" fillId="0" borderId="0" xfId="0" applyNumberFormat="1" applyFont="1" applyAlignment="1">
      <alignment horizontal="center"/>
    </xf>
    <xf numFmtId="44" fontId="50" fillId="0" borderId="0" xfId="2" applyFont="1" applyAlignment="1">
      <alignment horizontal="center"/>
    </xf>
    <xf numFmtId="0" fontId="50" fillId="0" borderId="41" xfId="0" applyFont="1" applyBorder="1" applyAlignment="1">
      <alignment horizontal="center" vertical="center"/>
    </xf>
    <xf numFmtId="2" fontId="47" fillId="0" borderId="84" xfId="0" applyNumberFormat="1" applyFont="1" applyBorder="1" applyAlignment="1" applyProtection="1">
      <alignment horizontal="center" vertical="center" wrapText="1"/>
      <protection locked="0"/>
    </xf>
    <xf numFmtId="2" fontId="47" fillId="0" borderId="98" xfId="0" applyNumberFormat="1" applyFont="1" applyBorder="1" applyAlignment="1" applyProtection="1">
      <alignment horizontal="center" vertical="center" wrapText="1"/>
      <protection locked="0"/>
    </xf>
    <xf numFmtId="2" fontId="48" fillId="13" borderId="14" xfId="0" applyNumberFormat="1" applyFont="1" applyFill="1" applyBorder="1" applyAlignment="1" applyProtection="1">
      <alignment horizontal="center" vertical="center" wrapText="1"/>
      <protection locked="0"/>
    </xf>
    <xf numFmtId="44" fontId="48" fillId="13" borderId="19" xfId="2" applyFont="1" applyFill="1" applyBorder="1" applyAlignment="1" applyProtection="1">
      <alignment horizontal="center" vertical="center" wrapText="1"/>
      <protection locked="0"/>
    </xf>
    <xf numFmtId="2" fontId="48" fillId="14" borderId="14" xfId="0" applyNumberFormat="1" applyFont="1" applyFill="1" applyBorder="1" applyAlignment="1" applyProtection="1">
      <alignment horizontal="center" vertical="center" wrapText="1"/>
      <protection locked="0"/>
    </xf>
    <xf numFmtId="2" fontId="48" fillId="14" borderId="19" xfId="0" applyNumberFormat="1" applyFont="1" applyFill="1" applyBorder="1" applyAlignment="1" applyProtection="1">
      <alignment horizontal="center" vertical="center" wrapText="1"/>
      <protection locked="0"/>
    </xf>
    <xf numFmtId="8" fontId="48" fillId="8" borderId="14" xfId="3" applyNumberFormat="1" applyFont="1" applyFill="1" applyBorder="1" applyAlignment="1" applyProtection="1">
      <alignment horizontal="center" vertical="center" wrapText="1"/>
      <protection locked="0"/>
    </xf>
    <xf numFmtId="8" fontId="48" fillId="8" borderId="34" xfId="3" applyNumberFormat="1" applyFont="1" applyFill="1" applyBorder="1" applyAlignment="1" applyProtection="1">
      <alignment horizontal="center" vertical="center" wrapText="1"/>
      <protection locked="0"/>
    </xf>
    <xf numFmtId="2" fontId="48" fillId="0" borderId="14" xfId="0" applyNumberFormat="1" applyFont="1" applyBorder="1" applyAlignment="1" applyProtection="1">
      <alignment horizontal="center" vertical="center" wrapText="1"/>
      <protection locked="0"/>
    </xf>
    <xf numFmtId="44" fontId="48" fillId="0" borderId="34" xfId="0" applyNumberFormat="1" applyFont="1" applyBorder="1" applyAlignment="1">
      <alignment horizontal="center" vertical="center" wrapText="1"/>
    </xf>
    <xf numFmtId="44" fontId="47" fillId="0" borderId="4" xfId="2" applyFont="1" applyFill="1" applyBorder="1" applyAlignment="1" applyProtection="1">
      <alignment horizontal="center" vertical="center" wrapText="1"/>
      <protection locked="0"/>
    </xf>
    <xf numFmtId="44" fontId="47" fillId="0" borderId="97" xfId="2" applyFont="1" applyFill="1" applyBorder="1" applyAlignment="1" applyProtection="1">
      <alignment horizontal="center" vertical="center" wrapText="1"/>
      <protection locked="0"/>
    </xf>
    <xf numFmtId="44" fontId="48" fillId="0" borderId="14" xfId="2" applyFont="1" applyFill="1" applyBorder="1" applyAlignment="1" applyProtection="1">
      <alignment horizontal="center" vertical="center" wrapText="1"/>
      <protection locked="0"/>
    </xf>
    <xf numFmtId="8" fontId="48" fillId="0" borderId="34" xfId="0" applyNumberFormat="1" applyFont="1" applyBorder="1" applyAlignment="1">
      <alignment horizontal="center" vertical="center" wrapText="1"/>
    </xf>
    <xf numFmtId="8" fontId="48" fillId="14" borderId="34" xfId="0" applyNumberFormat="1" applyFont="1" applyFill="1" applyBorder="1" applyAlignment="1">
      <alignment horizontal="center" vertical="center" wrapText="1"/>
    </xf>
    <xf numFmtId="44" fontId="48" fillId="13" borderId="34" xfId="2" applyFont="1" applyFill="1" applyBorder="1" applyAlignment="1">
      <alignment horizontal="center" vertical="center" wrapText="1"/>
    </xf>
    <xf numFmtId="8" fontId="49" fillId="14" borderId="8" xfId="0" applyNumberFormat="1" applyFont="1" applyFill="1" applyBorder="1" applyAlignment="1">
      <alignment vertical="center"/>
    </xf>
    <xf numFmtId="44" fontId="49" fillId="14" borderId="8" xfId="0" applyNumberFormat="1" applyFont="1" applyFill="1" applyBorder="1" applyAlignment="1">
      <alignment vertical="center"/>
    </xf>
    <xf numFmtId="8" fontId="50" fillId="14" borderId="8" xfId="0" applyNumberFormat="1" applyFont="1" applyFill="1" applyBorder="1"/>
    <xf numFmtId="44" fontId="49" fillId="13" borderId="8" xfId="2" applyFont="1" applyFill="1" applyBorder="1" applyAlignment="1">
      <alignment vertical="center"/>
    </xf>
    <xf numFmtId="44" fontId="50" fillId="13" borderId="8" xfId="2" applyFont="1" applyFill="1" applyBorder="1"/>
    <xf numFmtId="0" fontId="50" fillId="11" borderId="50" xfId="0" applyFont="1" applyFill="1" applyBorder="1" applyAlignment="1">
      <alignment horizontal="center"/>
    </xf>
    <xf numFmtId="0" fontId="50" fillId="11" borderId="51" xfId="0" applyFont="1" applyFill="1" applyBorder="1" applyAlignment="1">
      <alignment horizontal="center"/>
    </xf>
    <xf numFmtId="0" fontId="50" fillId="11" borderId="43" xfId="0" applyFont="1" applyFill="1" applyBorder="1" applyAlignment="1">
      <alignment horizontal="center"/>
    </xf>
    <xf numFmtId="0" fontId="50" fillId="10" borderId="50" xfId="0" applyFont="1" applyFill="1" applyBorder="1" applyAlignment="1">
      <alignment horizontal="center"/>
    </xf>
    <xf numFmtId="0" fontId="50" fillId="10" borderId="51" xfId="0" applyFont="1" applyFill="1" applyBorder="1" applyAlignment="1">
      <alignment horizontal="center"/>
    </xf>
    <xf numFmtId="0" fontId="50" fillId="10" borderId="43" xfId="0" applyFont="1" applyFill="1" applyBorder="1" applyAlignment="1">
      <alignment horizontal="center"/>
    </xf>
    <xf numFmtId="0" fontId="50" fillId="12" borderId="50" xfId="0" applyFont="1" applyFill="1" applyBorder="1" applyAlignment="1">
      <alignment horizontal="center"/>
    </xf>
    <xf numFmtId="0" fontId="50" fillId="12" borderId="51" xfId="0" applyFont="1" applyFill="1" applyBorder="1" applyAlignment="1">
      <alignment horizontal="center"/>
    </xf>
    <xf numFmtId="0" fontId="50" fillId="12" borderId="43" xfId="0" applyFont="1" applyFill="1" applyBorder="1" applyAlignment="1">
      <alignment horizontal="center"/>
    </xf>
    <xf numFmtId="0" fontId="50" fillId="0" borderId="17" xfId="0" applyFont="1" applyBorder="1" applyAlignment="1">
      <alignment horizontal="center" vertical="center"/>
    </xf>
    <xf numFmtId="0" fontId="50" fillId="0" borderId="18" xfId="0" applyFont="1" applyBorder="1" applyAlignment="1">
      <alignment horizontal="center" vertical="center"/>
    </xf>
    <xf numFmtId="0" fontId="50" fillId="0" borderId="92" xfId="0" applyFont="1" applyBorder="1" applyAlignment="1">
      <alignment horizontal="center" vertical="center"/>
    </xf>
    <xf numFmtId="0" fontId="50" fillId="0" borderId="19" xfId="0" applyFont="1" applyBorder="1" applyAlignment="1">
      <alignment horizontal="center" vertical="center"/>
    </xf>
    <xf numFmtId="0" fontId="50" fillId="0" borderId="1" xfId="0" applyFont="1" applyBorder="1" applyAlignment="1">
      <alignment horizontal="center" vertical="center"/>
    </xf>
    <xf numFmtId="0" fontId="50" fillId="0" borderId="2" xfId="0" applyFont="1" applyBorder="1" applyAlignment="1">
      <alignment horizontal="center" vertical="center"/>
    </xf>
    <xf numFmtId="0" fontId="50" fillId="0" borderId="3" xfId="0" applyFont="1" applyBorder="1" applyAlignment="1">
      <alignment horizontal="center" vertical="center"/>
    </xf>
    <xf numFmtId="8" fontId="49" fillId="0" borderId="50" xfId="0" applyNumberFormat="1" applyFont="1" applyBorder="1" applyAlignment="1">
      <alignment horizontal="center" vertical="center"/>
    </xf>
    <xf numFmtId="8" fontId="49" fillId="0" borderId="51" xfId="0" applyNumberFormat="1" applyFont="1" applyBorder="1" applyAlignment="1">
      <alignment horizontal="center" vertical="center"/>
    </xf>
    <xf numFmtId="8" fontId="49" fillId="0" borderId="43" xfId="0" applyNumberFormat="1" applyFont="1" applyBorder="1" applyAlignment="1">
      <alignment horizontal="center" vertical="center"/>
    </xf>
    <xf numFmtId="0" fontId="7" fillId="0" borderId="5" xfId="0" applyFont="1" applyBorder="1" applyAlignment="1">
      <alignment horizontal="left" wrapText="1"/>
    </xf>
    <xf numFmtId="0" fontId="7" fillId="0" borderId="0" xfId="0" applyFont="1" applyAlignment="1">
      <alignment horizontal="left"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5" fillId="0" borderId="7" xfId="0" applyFont="1" applyBorder="1" applyAlignment="1">
      <alignment horizontal="left" vertical="center" wrapText="1"/>
    </xf>
    <xf numFmtId="0" fontId="5" fillId="0" borderId="10" xfId="0" applyFont="1" applyBorder="1" applyAlignment="1">
      <alignment horizontal="left" vertical="center" wrapText="1"/>
    </xf>
    <xf numFmtId="0" fontId="5" fillId="0" borderId="11" xfId="0" applyFont="1" applyBorder="1" applyAlignment="1">
      <alignment horizontal="left" vertical="center" wrapText="1"/>
    </xf>
    <xf numFmtId="0" fontId="12" fillId="0" borderId="8" xfId="4" applyFont="1" applyBorder="1" applyAlignment="1" applyProtection="1">
      <alignment horizontal="left" vertical="center" wrapText="1"/>
      <protection locked="0"/>
    </xf>
    <xf numFmtId="0" fontId="12" fillId="0" borderId="9" xfId="4" applyFont="1" applyBorder="1" applyAlignment="1" applyProtection="1">
      <alignment horizontal="left" vertical="center" wrapText="1"/>
      <protection locked="0"/>
    </xf>
    <xf numFmtId="0" fontId="12" fillId="0" borderId="12" xfId="4" applyFont="1" applyBorder="1" applyAlignment="1" applyProtection="1">
      <alignment horizontal="left" vertical="center" wrapText="1"/>
      <protection locked="0"/>
    </xf>
    <xf numFmtId="0" fontId="12" fillId="0" borderId="13" xfId="4" applyFont="1" applyBorder="1" applyAlignment="1" applyProtection="1">
      <alignment horizontal="left" vertical="center" wrapText="1"/>
      <protection locked="0"/>
    </xf>
    <xf numFmtId="0" fontId="11" fillId="0" borderId="0" xfId="7" applyFont="1" applyAlignment="1">
      <alignment horizontal="center" vertical="center" wrapText="1"/>
    </xf>
    <xf numFmtId="0" fontId="10" fillId="0" borderId="36" xfId="7" applyFont="1" applyBorder="1" applyAlignment="1">
      <alignment horizontal="center" vertical="center" wrapText="1"/>
    </xf>
    <xf numFmtId="0" fontId="10" fillId="0" borderId="37" xfId="7" applyFont="1" applyBorder="1" applyAlignment="1">
      <alignment horizontal="center" vertical="center" wrapText="1"/>
    </xf>
    <xf numFmtId="0" fontId="10" fillId="0" borderId="14" xfId="7" applyFont="1" applyBorder="1" applyAlignment="1">
      <alignment horizontal="center" vertical="center" wrapText="1"/>
    </xf>
    <xf numFmtId="0" fontId="10" fillId="0" borderId="15" xfId="7" applyFont="1" applyBorder="1" applyAlignment="1">
      <alignment horizontal="center" vertical="center" wrapText="1"/>
    </xf>
    <xf numFmtId="0" fontId="10" fillId="0" borderId="16" xfId="7" applyFont="1" applyBorder="1" applyAlignment="1">
      <alignment horizontal="center" vertical="center" wrapText="1"/>
    </xf>
    <xf numFmtId="0" fontId="11" fillId="0" borderId="1" xfId="7" applyFont="1" applyBorder="1" applyAlignment="1">
      <alignment horizontal="center" vertical="center" wrapText="1"/>
    </xf>
    <xf numFmtId="0" fontId="11" fillId="0" borderId="2" xfId="7" applyFont="1" applyBorder="1" applyAlignment="1">
      <alignment horizontal="center" vertical="center" wrapText="1"/>
    </xf>
    <xf numFmtId="0" fontId="11" fillId="0" borderId="3" xfId="7" applyFont="1" applyBorder="1" applyAlignment="1">
      <alignment horizontal="center" vertical="center" wrapText="1"/>
    </xf>
    <xf numFmtId="0" fontId="11" fillId="0" borderId="40" xfId="7" applyFont="1" applyBorder="1" applyAlignment="1">
      <alignment horizontal="center" vertical="center" wrapText="1"/>
    </xf>
    <xf numFmtId="0" fontId="11" fillId="0" borderId="41" xfId="7" applyFont="1" applyBorder="1" applyAlignment="1">
      <alignment horizontal="center" vertical="center" wrapText="1"/>
    </xf>
    <xf numFmtId="0" fontId="11" fillId="0" borderId="44" xfId="7" applyFont="1" applyBorder="1" applyAlignment="1">
      <alignment horizontal="center" vertical="center" wrapText="1"/>
    </xf>
    <xf numFmtId="0" fontId="11" fillId="0" borderId="45" xfId="7" applyFont="1" applyBorder="1" applyAlignment="1">
      <alignment horizontal="center" vertical="center" wrapText="1"/>
    </xf>
    <xf numFmtId="0" fontId="11" fillId="0" borderId="46" xfId="7" applyFont="1" applyBorder="1" applyAlignment="1">
      <alignment horizontal="center" vertical="center" wrapText="1"/>
    </xf>
    <xf numFmtId="0" fontId="10" fillId="0" borderId="36" xfId="7" applyFont="1" applyBorder="1" applyAlignment="1" applyProtection="1">
      <alignment horizontal="center" vertical="center" wrapText="1"/>
      <protection hidden="1"/>
    </xf>
    <xf numFmtId="0" fontId="10" fillId="0" borderId="37" xfId="7" applyFont="1" applyBorder="1" applyAlignment="1" applyProtection="1">
      <alignment horizontal="center" vertical="center" wrapText="1"/>
      <protection hidden="1"/>
    </xf>
  </cellXfs>
  <cellStyles count="16">
    <cellStyle name="Hipervínculo" xfId="6" builtinId="8"/>
    <cellStyle name="Millares [0]" xfId="1" builtinId="6"/>
    <cellStyle name="Millares [0] 3" xfId="12" xr:uid="{0646AD19-56C4-4BBB-B5B0-2F667EA8DBA2}"/>
    <cellStyle name="Millares [0] 7" xfId="9" xr:uid="{1622B464-699C-47E5-A27A-5B8F7F9C8A2E}"/>
    <cellStyle name="Millares 13 3" xfId="8" xr:uid="{125BD877-C7ED-4950-A560-535E88BAECB5}"/>
    <cellStyle name="Millares 25" xfId="5" xr:uid="{DB170570-9A0D-4EF7-9CCF-9EDE1D081CF2}"/>
    <cellStyle name="Millares 3 2" xfId="13" xr:uid="{7FBEE777-EF32-404C-A32C-8E2E76F677C1}"/>
    <cellStyle name="Moneda" xfId="2" builtinId="4"/>
    <cellStyle name="Moneda [0]" xfId="3" builtinId="7"/>
    <cellStyle name="Moneda [0] 5" xfId="14" xr:uid="{E740C596-79EA-4023-AF48-32DA6B32D956}"/>
    <cellStyle name="Moneda 2" xfId="11" xr:uid="{BD15AB3C-36C3-4114-8160-90E92A341238}"/>
    <cellStyle name="Normal" xfId="0" builtinId="0"/>
    <cellStyle name="Normal 12" xfId="10" xr:uid="{724C067A-728D-4443-AE15-1065919A7A15}"/>
    <cellStyle name="Normal 2" xfId="15" xr:uid="{AC11EAE7-9560-4E7D-A654-1D78942354D6}"/>
    <cellStyle name="Normal 3 2" xfId="7" xr:uid="{B601692B-A7FE-44C1-A8B0-F25ECAB48228}"/>
    <cellStyle name="Normal 6 5" xfId="4" xr:uid="{2904994B-2276-40A4-AAD4-2D5D847AB2B1}"/>
  </cellStyles>
  <dxfs count="552">
    <dxf>
      <font>
        <color rgb="FF006100"/>
      </font>
      <fill>
        <patternFill>
          <bgColor rgb="FFC6EFCE"/>
        </patternFill>
      </fill>
    </dxf>
    <dxf>
      <font>
        <color rgb="FF006100"/>
      </font>
      <fill>
        <patternFill>
          <bgColor rgb="FFC6EFCE"/>
        </patternFill>
      </fill>
    </dxf>
    <dxf>
      <font>
        <strike val="0"/>
        <outline val="0"/>
        <shadow val="0"/>
        <u val="none"/>
        <vertAlign val="baseline"/>
        <sz val="10"/>
        <color theme="1"/>
        <name val="Arial"/>
        <family val="2"/>
        <scheme val="none"/>
      </font>
      <fill>
        <patternFill patternType="none">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theme="1"/>
        <name val="Arial"/>
        <scheme val="none"/>
      </font>
      <numFmt numFmtId="168" formatCode="_(&quot;$&quot;* #,##0.00_);_(&quot;$&quot;* \(#,##0.00\);_(&quot;$&quot;* &quot;-&quot;??_);_(@_)"/>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theme="1"/>
        <name val="Arial"/>
        <family val="2"/>
        <scheme val="none"/>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theme="1"/>
        <name val="Arial"/>
        <scheme val="none"/>
      </font>
      <fill>
        <patternFill patternType="none">
          <fgColor indexed="64"/>
          <bgColor indexed="65"/>
        </patternFill>
      </fill>
      <alignment horizontal="center" vertical="center" textRotation="0" wrapText="0" indent="0" justifyLastLine="0" shrinkToFit="0" readingOrder="0"/>
    </dxf>
    <dxf>
      <font>
        <strike val="0"/>
        <outline val="0"/>
        <shadow val="0"/>
        <u val="none"/>
        <vertAlign val="baseline"/>
        <sz val="10"/>
        <color theme="1"/>
        <name val="Arial"/>
        <family val="2"/>
        <scheme val="none"/>
      </font>
      <fill>
        <patternFill patternType="none">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theme="1"/>
        <name val="Arial"/>
        <scheme val="none"/>
      </font>
      <fill>
        <patternFill patternType="none">
          <fgColor indexed="64"/>
          <bgColor indexed="65"/>
        </patternFill>
      </fill>
      <alignment horizontal="center" vertical="center" textRotation="0" wrapText="1" indent="0" justifyLastLine="0" shrinkToFit="0" readingOrder="0"/>
    </dxf>
    <dxf>
      <font>
        <strike val="0"/>
        <outline val="0"/>
        <shadow val="0"/>
        <u val="none"/>
        <vertAlign val="baseline"/>
        <sz val="10"/>
        <color theme="1"/>
        <name val="Arial"/>
        <family val="2"/>
        <scheme val="none"/>
      </font>
      <fill>
        <patternFill patternType="none">
          <bgColor indexed="65"/>
        </patternFill>
      </fill>
      <alignment horizontal="center" vertical="center" textRotation="0" wrapText="1" indent="0" justifyLastLine="0" shrinkToFit="0" readingOrder="0"/>
    </dxf>
    <dxf>
      <font>
        <strike val="0"/>
        <outline val="0"/>
        <shadow val="0"/>
        <u val="none"/>
        <vertAlign val="baseline"/>
        <sz val="10"/>
        <color theme="1"/>
        <name val="Arial"/>
        <scheme val="none"/>
      </font>
      <fill>
        <patternFill patternType="none">
          <bgColor indexed="65"/>
        </patternFill>
      </fill>
      <alignment horizontal="center" vertical="center" textRotation="0" indent="0" justifyLastLine="0" shrinkToFit="0" readingOrder="0"/>
    </dxf>
    <dxf>
      <font>
        <b val="0"/>
        <i/>
        <strike val="0"/>
        <condense val="0"/>
        <extend val="0"/>
        <outline val="0"/>
        <shadow val="0"/>
        <u val="none"/>
        <vertAlign val="baseline"/>
        <sz val="9"/>
        <color auto="1"/>
        <name val="Arial Narrow"/>
        <family val="2"/>
        <scheme val="none"/>
      </font>
      <numFmt numFmtId="34" formatCode="_-&quot;$&quot;\ * #,##0.00_-;\-&quot;$&quot;\ * #,##0.00_-;_-&quot;$&quot;\ *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numFmt numFmtId="174" formatCode="0.000"/>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numFmt numFmtId="14" formatCode="0.00%"/>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numFmt numFmtId="10" formatCode="&quot;$&quot;\ #,##0;[Red]\-&quot;$&quot;\ #,##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alignment horizontal="general" vertical="center" textRotation="0" wrapText="1" indent="0" justifyLastLine="0" shrinkToFit="0" readingOrder="0"/>
      <border diagonalUp="0" diagonalDown="0">
        <left/>
        <right style="hair">
          <color indexed="64"/>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thin">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family val="2"/>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family val="2"/>
        <scheme val="none"/>
      </font>
      <numFmt numFmtId="32" formatCode="_-&quot;$&quot;\ * #,##0_-;\-&quot;$&quot;\ * #,##0_-;_-&quot;$&quot;\ * &quot;-&quot;_-;_-@_-"/>
      <alignment horizontal="general" vertical="center" textRotation="0" wrapText="0" indent="0" justifyLastLine="0" shrinkToFit="0" readingOrder="0"/>
      <border diagonalUp="0" diagonalDown="0">
        <left style="hair">
          <color indexed="64"/>
        </left>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thin">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family val="2"/>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family val="2"/>
        <scheme val="none"/>
      </font>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val="0"/>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font>
        <b val="0"/>
        <i val="0"/>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font>
        <b val="0"/>
        <i val="0"/>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font>
        <b val="0"/>
        <i val="0"/>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medium">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family val="2"/>
        <scheme val="none"/>
      </font>
      <fill>
        <patternFill patternType="solid">
          <fgColor indexed="64"/>
          <bgColor theme="0" tint="-0.14999847407452621"/>
        </patternFill>
      </fill>
      <alignment horizontal="center" vertical="center" textRotation="0" wrapText="1"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scheme val="none"/>
      </font>
      <numFmt numFmtId="32" formatCode="_-&quot;$&quot;\ * #,##0_-;\-&quot;$&quot;\ * #,##0_-;_-&quot;$&quot;\ *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72" formatCode="_-* #,##0.000_-;\-* #,##0.000_-;_-*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78" formatCode="&quot;$&quot;_-* #,##0.000_-;\-* #,##0.000_-;_-* &quot;-&quot;_-;_-@_-"/>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numFmt numFmtId="172" formatCode="_-* #,##0.000_-;\-* #,##0.000_-;_-*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vertical/>
        <horizontal/>
      </border>
    </dxf>
    <dxf>
      <font>
        <b val="0"/>
        <i/>
        <strike val="0"/>
        <condense val="0"/>
        <extend val="0"/>
        <outline val="0"/>
        <shadow val="0"/>
        <u val="none"/>
        <vertAlign val="baseline"/>
        <sz val="9"/>
        <color auto="1"/>
        <name val="Arial Narrow"/>
        <scheme val="none"/>
      </font>
      <alignment horizontal="general" vertical="center" textRotation="0" wrapText="1"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1"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thin">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numFmt numFmtId="12" formatCode="&quot;$&quot;\ #,##0.00;[Red]\-&quot;$&quot;\ #,##0.00"/>
    </dxf>
    <dxf>
      <fill>
        <patternFill patternType="none">
          <fgColor indexed="64"/>
          <bgColor auto="1"/>
        </patternFill>
      </fill>
    </dxf>
    <dxf>
      <fill>
        <patternFill patternType="none">
          <fgColor indexed="64"/>
          <bgColor auto="1"/>
        </patternFill>
      </fill>
    </dxf>
    <dxf>
      <numFmt numFmtId="2" formatCode="0.00"/>
      <fill>
        <patternFill patternType="none">
          <fgColor indexed="64"/>
          <bgColor auto="1"/>
        </patternFill>
      </fill>
    </dxf>
    <dxf>
      <fill>
        <patternFill patternType="none">
          <fgColor indexed="64"/>
          <bgColor auto="1"/>
        </patternFill>
      </fill>
    </dxf>
    <dxf>
      <alignment horizontal="right" vertical="bottom" textRotation="0" wrapText="0" indent="0" justifyLastLine="0" shrinkToFit="0" readingOrder="0"/>
    </dxf>
    <dxf>
      <fill>
        <patternFill patternType="none">
          <fgColor indexed="64"/>
          <bgColor auto="1"/>
        </patternFill>
      </fill>
    </dxf>
    <dxf>
      <alignment horizontal="center" vertical="bottom" textRotation="0" wrapText="0" indent="0" justifyLastLine="0" shrinkToFit="0" readingOrder="0"/>
    </dxf>
    <dxf>
      <fill>
        <patternFill patternType="none">
          <fgColor indexed="64"/>
          <bgColor auto="1"/>
        </patternFill>
      </fill>
    </dxf>
    <dxf>
      <border outline="0">
        <top style="medium">
          <color indexed="64"/>
        </top>
        <bottom style="thin">
          <color theme="1"/>
        </bottom>
      </border>
    </dxf>
    <dxf>
      <fill>
        <patternFill patternType="none">
          <fgColor indexed="64"/>
          <bgColor auto="1"/>
        </patternFill>
      </fill>
    </dxf>
    <dxf>
      <font>
        <b/>
        <i val="0"/>
        <strike val="0"/>
        <condense val="0"/>
        <extend val="0"/>
        <outline val="0"/>
        <shadow val="0"/>
        <u val="none"/>
        <vertAlign val="baseline"/>
        <sz val="11"/>
        <color auto="1"/>
        <name val="Arial Narrow"/>
        <family val="2"/>
        <scheme val="none"/>
      </font>
      <numFmt numFmtId="0" formatCode="General"/>
      <fill>
        <patternFill patternType="none">
          <fgColor indexed="64"/>
          <bgColor auto="1"/>
        </patternFill>
      </fill>
      <alignment horizontal="center" vertical="center" textRotation="0" wrapText="1" indent="0" justifyLastLine="0" shrinkToFit="0" readingOrder="0"/>
    </dxf>
    <dxf>
      <font>
        <b val="0"/>
        <i/>
        <strike val="0"/>
        <condense val="0"/>
        <extend val="0"/>
        <outline val="0"/>
        <shadow val="0"/>
        <u val="none"/>
        <vertAlign val="baseline"/>
        <sz val="9"/>
        <color auto="1"/>
        <name val="Arial Narrow"/>
        <family val="2"/>
        <scheme val="none"/>
      </font>
      <numFmt numFmtId="34" formatCode="_-&quot;$&quot;\ * #,##0.00_-;\-&quot;$&quot;\ * #,##0.00_-;_-&quot;$&quot;\ *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numFmt numFmtId="174" formatCode="0.000"/>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numFmt numFmtId="14" formatCode="0.00%"/>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numFmt numFmtId="10" formatCode="&quot;$&quot;\ #,##0;[Red]\-&quot;$&quot;\ #,##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alignment horizontal="general" vertical="center" textRotation="0" wrapText="1" indent="0" justifyLastLine="0" shrinkToFit="0" readingOrder="0"/>
      <border diagonalUp="0" diagonalDown="0">
        <left/>
        <right style="hair">
          <color indexed="64"/>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thin">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family val="2"/>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family val="2"/>
        <scheme val="none"/>
      </font>
      <numFmt numFmtId="32" formatCode="_-&quot;$&quot;\ * #,##0_-;\-&quot;$&quot;\ * #,##0_-;_-&quot;$&quot;\ * &quot;-&quot;_-;_-@_-"/>
      <alignment horizontal="general" vertical="center" textRotation="0" wrapText="0" indent="0" justifyLastLine="0" shrinkToFit="0" readingOrder="0"/>
      <border diagonalUp="0" diagonalDown="0">
        <left style="hair">
          <color indexed="64"/>
        </left>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numFmt numFmtId="34" formatCode="_-&quot;$&quot;\ * #,##0.00_-;\-&quot;$&quot;\ * #,##0.00_-;_-&quot;$&quot;\ * &quot;-&quot;??_-;_-@_-"/>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thin">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family val="2"/>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family val="2"/>
        <scheme val="none"/>
      </font>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val="0"/>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font>
        <b val="0"/>
        <i val="0"/>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font>
        <b val="0"/>
        <i val="0"/>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font>
        <b val="0"/>
        <i val="0"/>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medium">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family val="2"/>
        <scheme val="none"/>
      </font>
      <fill>
        <patternFill patternType="solid">
          <fgColor indexed="64"/>
          <bgColor theme="0" tint="-0.14999847407452621"/>
        </patternFill>
      </fill>
      <alignment horizontal="center" vertical="center" textRotation="0" wrapText="1"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scheme val="none"/>
      </font>
      <numFmt numFmtId="32" formatCode="_-&quot;$&quot;\ * #,##0_-;\-&quot;$&quot;\ * #,##0_-;_-&quot;$&quot;\ * &quot;-&quot;_-;_-@_-"/>
      <fill>
        <patternFill patternType="none">
          <fgColor indexed="64"/>
          <bgColor indexed="65"/>
        </patternFill>
      </fill>
      <alignment horizontal="center" vertical="center" textRotation="0" wrapText="0" indent="0" justifyLastLine="0" shrinkToFit="0" readingOrder="0"/>
      <border diagonalUp="0" diagonalDown="0" outline="0">
        <left style="hair">
          <color indexed="64"/>
        </left>
        <right/>
        <top style="hair">
          <color indexed="64"/>
        </top>
        <bottom style="hair">
          <color indexed="64"/>
        </bottom>
      </border>
    </dxf>
    <dxf>
      <font>
        <b val="0"/>
        <i/>
        <strike val="0"/>
        <condense val="0"/>
        <extend val="0"/>
        <outline val="0"/>
        <shadow val="0"/>
        <u val="none"/>
        <vertAlign val="baseline"/>
        <sz val="9"/>
        <color auto="1"/>
        <name val="Arial Narrow"/>
        <scheme val="none"/>
      </font>
      <numFmt numFmtId="173" formatCode="_-* #,##0.00_-;\-* #,##0.00_-;_-* &quot;-&quot;_-;_-@_-"/>
      <fill>
        <patternFill patternType="none">
          <fgColor indexed="64"/>
          <bgColor indexed="65"/>
        </patternFill>
      </fill>
      <alignment horizontal="center" vertical="center" textRotation="0" wrapText="0" indent="0" justifyLastLine="0" shrinkToFit="0" readingOrder="0"/>
      <border diagonalUp="0" diagonalDown="0" outline="0">
        <left style="hair">
          <color indexed="64"/>
        </left>
        <right style="hair">
          <color indexed="64"/>
        </right>
        <top style="hair">
          <color indexed="64"/>
        </top>
        <bottom style="hair">
          <color indexed="64"/>
        </bottom>
      </border>
    </dxf>
    <dxf>
      <font>
        <b val="0"/>
        <i/>
        <strike val="0"/>
        <condense val="0"/>
        <extend val="0"/>
        <outline val="0"/>
        <shadow val="0"/>
        <u val="none"/>
        <vertAlign val="baseline"/>
        <sz val="9"/>
        <color auto="1"/>
        <name val="Arial Narrow"/>
        <scheme val="none"/>
      </font>
      <numFmt numFmtId="178" formatCode="&quot;$&quot;_-* #,##0.000_-;\-* #,##0.000_-;_-* &quot;-&quot;_-;_-@_-"/>
      <alignment horizontal="center" vertical="center" textRotation="0" wrapText="0" indent="0" justifyLastLine="0" shrinkToFit="0" readingOrder="0"/>
      <border diagonalUp="0" diagonalDown="0" outline="0">
        <left style="hair">
          <color indexed="64"/>
        </left>
        <right style="hair">
          <color indexed="64"/>
        </right>
        <top style="hair">
          <color indexed="64"/>
        </top>
        <bottom style="hair">
          <color indexed="64"/>
        </bottom>
      </border>
    </dxf>
    <dxf>
      <font>
        <b val="0"/>
        <i/>
        <strike val="0"/>
        <condense val="0"/>
        <extend val="0"/>
        <outline val="0"/>
        <shadow val="0"/>
        <u val="none"/>
        <vertAlign val="baseline"/>
        <sz val="9"/>
        <color auto="1"/>
        <name val="Arial Narrow"/>
        <family val="2"/>
        <scheme val="none"/>
      </font>
      <numFmt numFmtId="172" formatCode="_-* #,##0.000_-;\-* #,##0.000_-;_-*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vertical/>
        <horizontal/>
      </border>
    </dxf>
    <dxf>
      <font>
        <b val="0"/>
        <i/>
        <strike val="0"/>
        <condense val="0"/>
        <extend val="0"/>
        <outline val="0"/>
        <shadow val="0"/>
        <u val="none"/>
        <vertAlign val="baseline"/>
        <sz val="9"/>
        <color auto="1"/>
        <name val="Arial Narrow"/>
        <scheme val="none"/>
      </font>
      <alignment horizontal="general" vertical="center" textRotation="0" wrapText="1"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1"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thin">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family val="2"/>
        <scheme val="none"/>
      </font>
      <numFmt numFmtId="34" formatCode="_-&quot;$&quot;\ * #,##0.00_-;\-&quot;$&quot;\ * #,##0.00_-;_-&quot;$&quot;\ *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numFmt numFmtId="174" formatCode="0.000"/>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numFmt numFmtId="14" formatCode="0.00%"/>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numFmt numFmtId="10" formatCode="&quot;$&quot;\ #,##0;[Red]\-&quot;$&quot;\ #,##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alignment horizontal="general" vertical="center" textRotation="0" wrapText="1" indent="0" justifyLastLine="0" shrinkToFit="0" readingOrder="0"/>
      <border diagonalUp="0" diagonalDown="0">
        <left/>
        <right style="hair">
          <color indexed="64"/>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thin">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family val="2"/>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family val="2"/>
        <scheme val="none"/>
      </font>
      <numFmt numFmtId="32" formatCode="_-&quot;$&quot;\ * #,##0_-;\-&quot;$&quot;\ * #,##0_-;_-&quot;$&quot;\ * &quot;-&quot;_-;_-@_-"/>
      <alignment horizontal="general" vertical="center" textRotation="0" wrapText="0" indent="0" justifyLastLine="0" shrinkToFit="0" readingOrder="0"/>
      <border diagonalUp="0" diagonalDown="0">
        <left style="hair">
          <color indexed="64"/>
        </left>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numFmt numFmtId="34" formatCode="_-&quot;$&quot;\ * #,##0.00_-;\-&quot;$&quot;\ * #,##0.00_-;_-&quot;$&quot;\ * &quot;-&quot;??_-;_-@_-"/>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thin">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family val="2"/>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family val="2"/>
        <scheme val="none"/>
      </font>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val="0"/>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font>
        <b val="0"/>
        <i val="0"/>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font>
        <b val="0"/>
        <i val="0"/>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font>
        <b val="0"/>
        <i val="0"/>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medium">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family val="2"/>
        <scheme val="none"/>
      </font>
      <fill>
        <patternFill patternType="solid">
          <fgColor indexed="64"/>
          <bgColor theme="0" tint="-0.14999847407452621"/>
        </patternFill>
      </fill>
      <alignment horizontal="center" vertical="center" textRotation="0" wrapText="1"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scheme val="none"/>
      </font>
      <numFmt numFmtId="32" formatCode="_-&quot;$&quot;\ * #,##0_-;\-&quot;$&quot;\ * #,##0_-;_-&quot;$&quot;\ *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72" formatCode="_-* #,##0.000_-;\-* #,##0.000_-;_-*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78" formatCode="&quot;$&quot;_-* #,##0.000_-;\-* #,##0.000_-;_-* &quot;-&quot;_-;_-@_-"/>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numFmt numFmtId="172" formatCode="_-* #,##0.000_-;\-* #,##0.000_-;_-*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vertical/>
        <horizontal/>
      </border>
    </dxf>
    <dxf>
      <font>
        <b val="0"/>
        <i/>
        <strike val="0"/>
        <condense val="0"/>
        <extend val="0"/>
        <outline val="0"/>
        <shadow val="0"/>
        <u val="none"/>
        <vertAlign val="baseline"/>
        <sz val="9"/>
        <color auto="1"/>
        <name val="Arial Narrow"/>
        <scheme val="none"/>
      </font>
      <alignment horizontal="general" vertical="center" textRotation="0" wrapText="1"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1"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thin">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family val="2"/>
        <scheme val="none"/>
      </font>
      <numFmt numFmtId="12" formatCode="&quot;$&quot;\ #,##0.00;[Red]\-&quot;$&quot;\ #,##0.00"/>
      <fill>
        <patternFill patternType="none">
          <fgColor indexed="64"/>
          <bgColor indexed="65"/>
        </patternFill>
      </fill>
      <alignment horizontal="center" vertical="center" textRotation="0" wrapText="0" indent="0" justifyLastLine="0" shrinkToFit="0" readingOrder="0"/>
      <border diagonalUp="0" diagonalDown="0" outline="0">
        <left style="hair">
          <color indexed="64"/>
        </left>
        <right/>
        <top style="hair">
          <color indexed="64"/>
        </top>
        <bottom style="hair">
          <color indexed="64"/>
        </bottom>
      </border>
    </dxf>
    <dxf>
      <font>
        <b val="0"/>
        <i/>
        <strike val="0"/>
        <condense val="0"/>
        <extend val="0"/>
        <outline val="0"/>
        <shadow val="0"/>
        <u val="none"/>
        <vertAlign val="baseline"/>
        <sz val="9"/>
        <color auto="1"/>
        <name val="Arial Narrow"/>
        <family val="2"/>
        <scheme val="none"/>
      </font>
      <numFmt numFmtId="174" formatCode="0.000"/>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numFmt numFmtId="14" formatCode="0.00%"/>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numFmt numFmtId="10" formatCode="&quot;$&quot;\ #,##0;[Red]\-&quot;$&quot;\ #,##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alignment horizontal="general" vertical="center" textRotation="0" wrapText="1" indent="0" justifyLastLine="0" shrinkToFit="0" readingOrder="0"/>
      <border diagonalUp="0" diagonalDown="0">
        <left/>
        <right style="hair">
          <color indexed="64"/>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thin">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family val="2"/>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family val="2"/>
        <scheme val="none"/>
      </font>
      <numFmt numFmtId="12" formatCode="&quot;$&quot;\ #,##0.00;[Red]\-&quot;$&quot;\ #,##0.00"/>
      <alignment horizontal="general" vertical="center" textRotation="0" wrapText="0" indent="0" justifyLastLine="0" shrinkToFit="0" readingOrder="0"/>
      <border diagonalUp="0" diagonalDown="0" outline="0">
        <left style="hair">
          <color indexed="64"/>
        </left>
        <right/>
        <top style="hair">
          <color indexed="64"/>
        </top>
        <bottom style="hair">
          <color indexed="64"/>
        </bottom>
      </border>
    </dxf>
    <dxf>
      <font>
        <b val="0"/>
        <i/>
        <strike val="0"/>
        <condense val="0"/>
        <extend val="0"/>
        <outline val="0"/>
        <shadow val="0"/>
        <u val="none"/>
        <vertAlign val="baseline"/>
        <sz val="9"/>
        <color auto="1"/>
        <name val="Arial Narrow"/>
        <family val="2"/>
        <scheme val="none"/>
      </font>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thin">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family val="2"/>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numFmt numFmtId="12" formatCode="&quot;$&quot;\ #,##0.00;[Red]\-&quot;$&quot;\ #,##0.00"/>
    </dxf>
    <dxf>
      <font>
        <b val="0"/>
        <i/>
        <strike val="0"/>
        <condense val="0"/>
        <extend val="0"/>
        <outline val="0"/>
        <shadow val="0"/>
        <u val="none"/>
        <vertAlign val="baseline"/>
        <sz val="9"/>
        <color auto="1"/>
        <name val="Arial Narrow"/>
        <family val="2"/>
        <scheme val="none"/>
      </font>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val="0"/>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font>
        <b val="0"/>
        <i val="0"/>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font>
        <b val="0"/>
        <i val="0"/>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font>
        <b val="0"/>
        <i val="0"/>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medium">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family val="2"/>
        <scheme val="none"/>
      </font>
      <fill>
        <patternFill patternType="solid">
          <fgColor indexed="64"/>
          <bgColor theme="0" tint="-0.14999847407452621"/>
        </patternFill>
      </fill>
      <alignment horizontal="center" vertical="center" textRotation="0" wrapText="1"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scheme val="none"/>
      </font>
      <numFmt numFmtId="12" formatCode="&quot;$&quot;\ #,##0.00;[Red]\-&quot;$&quot;\ #,##0.00"/>
      <fill>
        <patternFill patternType="none">
          <fgColor indexed="64"/>
          <bgColor indexed="65"/>
        </patternFill>
      </fill>
      <alignment horizontal="center" vertical="center" textRotation="0" wrapText="0" indent="0" justifyLastLine="0" shrinkToFit="0" readingOrder="0"/>
      <border diagonalUp="0" diagonalDown="0" outline="0">
        <left style="hair">
          <color indexed="64"/>
        </left>
        <right/>
        <top style="hair">
          <color indexed="64"/>
        </top>
        <bottom style="hair">
          <color indexed="64"/>
        </bottom>
      </border>
    </dxf>
    <dxf>
      <font>
        <b val="0"/>
        <i/>
        <strike val="0"/>
        <condense val="0"/>
        <extend val="0"/>
        <outline val="0"/>
        <shadow val="0"/>
        <u val="none"/>
        <vertAlign val="baseline"/>
        <sz val="9"/>
        <color auto="1"/>
        <name val="Arial Narrow"/>
        <scheme val="none"/>
      </font>
      <numFmt numFmtId="172" formatCode="_-* #,##0.000_-;\-* #,##0.000_-;_-*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78" formatCode="&quot;$&quot;_-* #,##0.000_-;\-* #,##0.000_-;_-* &quot;-&quot;_-;_-@_-"/>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numFmt numFmtId="172" formatCode="_-* #,##0.000_-;\-* #,##0.000_-;_-*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vertical/>
        <horizontal/>
      </border>
    </dxf>
    <dxf>
      <font>
        <b val="0"/>
        <i/>
        <strike val="0"/>
        <condense val="0"/>
        <extend val="0"/>
        <outline val="0"/>
        <shadow val="0"/>
        <u val="none"/>
        <vertAlign val="baseline"/>
        <sz val="9"/>
        <color auto="1"/>
        <name val="Arial Narrow"/>
        <scheme val="none"/>
      </font>
      <alignment horizontal="general" vertical="center" textRotation="0" wrapText="1"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1"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thin">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family val="2"/>
        <scheme val="none"/>
      </font>
      <numFmt numFmtId="12" formatCode="&quot;$&quot;\ #,##0.00;[Red]\-&quot;$&quot;\ #,##0.00"/>
      <fill>
        <patternFill patternType="none">
          <fgColor indexed="64"/>
          <bgColor indexed="65"/>
        </patternFill>
      </fill>
      <alignment horizontal="center" vertical="center" textRotation="0" wrapText="0" indent="0" justifyLastLine="0" shrinkToFit="0" readingOrder="0"/>
      <border diagonalUp="0" diagonalDown="0" outline="0">
        <left style="hair">
          <color indexed="64"/>
        </left>
        <right/>
        <top style="hair">
          <color indexed="64"/>
        </top>
        <bottom style="hair">
          <color indexed="64"/>
        </bottom>
      </border>
    </dxf>
    <dxf>
      <font>
        <b val="0"/>
        <i/>
        <strike val="0"/>
        <condense val="0"/>
        <extend val="0"/>
        <outline val="0"/>
        <shadow val="0"/>
        <u val="none"/>
        <vertAlign val="baseline"/>
        <sz val="9"/>
        <color auto="1"/>
        <name val="Arial Narrow"/>
        <family val="2"/>
        <scheme val="none"/>
      </font>
      <numFmt numFmtId="174" formatCode="0.000"/>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numFmt numFmtId="14" formatCode="0.00%"/>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numFmt numFmtId="10" formatCode="&quot;$&quot;\ #,##0;[Red]\-&quot;$&quot;\ #,##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alignment horizontal="general" vertical="center" textRotation="0" wrapText="1" indent="0" justifyLastLine="0" shrinkToFit="0" readingOrder="0"/>
      <border diagonalUp="0" diagonalDown="0">
        <left/>
        <right style="hair">
          <color indexed="64"/>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thin">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family val="2"/>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family val="2"/>
        <scheme val="none"/>
      </font>
      <numFmt numFmtId="12" formatCode="&quot;$&quot;\ #,##0.00;[Red]\-&quot;$&quot;\ #,##0.00"/>
      <alignment horizontal="general" vertical="center" textRotation="0" wrapText="0" indent="0" justifyLastLine="0" shrinkToFit="0" readingOrder="0"/>
      <border diagonalUp="0" diagonalDown="0" outline="0">
        <left style="hair">
          <color indexed="64"/>
        </left>
        <right/>
        <top style="hair">
          <color indexed="64"/>
        </top>
        <bottom style="hair">
          <color indexed="64"/>
        </bottom>
      </border>
    </dxf>
    <dxf>
      <font>
        <b val="0"/>
        <i/>
        <strike val="0"/>
        <condense val="0"/>
        <extend val="0"/>
        <outline val="0"/>
        <shadow val="0"/>
        <u val="none"/>
        <vertAlign val="baseline"/>
        <sz val="9"/>
        <color auto="1"/>
        <name val="Arial Narrow"/>
        <family val="2"/>
        <scheme val="none"/>
      </font>
      <numFmt numFmtId="34" formatCode="_-&quot;$&quot;\ * #,##0.00_-;\-&quot;$&quot;\ * #,##0.00_-;_-&quot;$&quot;\ * &quot;-&quot;??_-;_-@_-"/>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thin">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family val="2"/>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numFmt numFmtId="12" formatCode="&quot;$&quot;\ #,##0.00;[Red]\-&quot;$&quot;\ #,##0.00"/>
    </dxf>
    <dxf>
      <font>
        <b val="0"/>
        <i/>
        <strike val="0"/>
        <condense val="0"/>
        <extend val="0"/>
        <outline val="0"/>
        <shadow val="0"/>
        <u val="none"/>
        <vertAlign val="baseline"/>
        <sz val="9"/>
        <color auto="1"/>
        <name val="Arial Narrow"/>
        <family val="2"/>
        <scheme val="none"/>
      </font>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val="0"/>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font>
        <b val="0"/>
        <i val="0"/>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font>
        <b val="0"/>
        <i val="0"/>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font>
        <b val="0"/>
        <i val="0"/>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medium">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family val="2"/>
        <scheme val="none"/>
      </font>
      <fill>
        <patternFill patternType="solid">
          <fgColor indexed="64"/>
          <bgColor theme="0" tint="-0.14999847407452621"/>
        </patternFill>
      </fill>
      <alignment horizontal="center" vertical="center" textRotation="0" wrapText="1"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scheme val="none"/>
      </font>
      <numFmt numFmtId="12" formatCode="&quot;$&quot;\ #,##0.00;[Red]\-&quot;$&quot;\ #,##0.00"/>
      <fill>
        <patternFill patternType="none">
          <fgColor indexed="64"/>
          <bgColor indexed="65"/>
        </patternFill>
      </fill>
      <alignment horizontal="center" vertical="center" textRotation="0" wrapText="0" indent="0" justifyLastLine="0" shrinkToFit="0" readingOrder="0"/>
      <border diagonalUp="0" diagonalDown="0" outline="0">
        <left style="hair">
          <color indexed="64"/>
        </left>
        <right/>
        <top style="hair">
          <color indexed="64"/>
        </top>
        <bottom style="hair">
          <color indexed="64"/>
        </bottom>
      </border>
    </dxf>
    <dxf>
      <font>
        <b val="0"/>
        <i/>
        <strike val="0"/>
        <condense val="0"/>
        <extend val="0"/>
        <outline val="0"/>
        <shadow val="0"/>
        <u val="none"/>
        <vertAlign val="baseline"/>
        <sz val="9"/>
        <color auto="1"/>
        <name val="Arial Narrow"/>
        <scheme val="none"/>
      </font>
      <numFmt numFmtId="172" formatCode="_-* #,##0.000_-;\-* #,##0.000_-;_-*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78" formatCode="&quot;$&quot;_-* #,##0.000_-;\-* #,##0.000_-;_-* &quot;-&quot;_-;_-@_-"/>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numFmt numFmtId="172" formatCode="_-* #,##0.000_-;\-* #,##0.000_-;_-*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vertical/>
        <horizontal/>
      </border>
    </dxf>
    <dxf>
      <font>
        <b val="0"/>
        <i/>
        <strike val="0"/>
        <condense val="0"/>
        <extend val="0"/>
        <outline val="0"/>
        <shadow val="0"/>
        <u val="none"/>
        <vertAlign val="baseline"/>
        <sz val="9"/>
        <color auto="1"/>
        <name val="Arial Narrow"/>
        <scheme val="none"/>
      </font>
      <alignment horizontal="general" vertical="center" textRotation="0" wrapText="1"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1"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thin">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family val="2"/>
        <scheme val="none"/>
      </font>
      <numFmt numFmtId="12" formatCode="&quot;$&quot;\ #,##0.00;[Red]\-&quot;$&quot;\ #,##0.00"/>
      <fill>
        <patternFill patternType="none">
          <fgColor indexed="64"/>
          <bgColor indexed="65"/>
        </patternFill>
      </fill>
      <alignment horizontal="center" vertical="center" textRotation="0" wrapText="0" indent="0" justifyLastLine="0" shrinkToFit="0" readingOrder="0"/>
      <border diagonalUp="0" diagonalDown="0" outline="0">
        <left style="hair">
          <color indexed="64"/>
        </left>
        <right/>
        <top style="hair">
          <color indexed="64"/>
        </top>
        <bottom style="hair">
          <color indexed="64"/>
        </bottom>
      </border>
    </dxf>
    <dxf>
      <font>
        <b val="0"/>
        <i/>
        <strike val="0"/>
        <condense val="0"/>
        <extend val="0"/>
        <outline val="0"/>
        <shadow val="0"/>
        <u val="none"/>
        <vertAlign val="baseline"/>
        <sz val="9"/>
        <color auto="1"/>
        <name val="Arial Narrow"/>
        <family val="2"/>
        <scheme val="none"/>
      </font>
      <numFmt numFmtId="174" formatCode="0.000"/>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numFmt numFmtId="14" formatCode="0.00%"/>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numFmt numFmtId="10" formatCode="&quot;$&quot;\ #,##0;[Red]\-&quot;$&quot;\ #,##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alignment horizontal="general" vertical="center" textRotation="0" wrapText="1" indent="0" justifyLastLine="0" shrinkToFit="0" readingOrder="0"/>
      <border diagonalUp="0" diagonalDown="0">
        <left/>
        <right style="hair">
          <color indexed="64"/>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thin">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family val="2"/>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family val="2"/>
        <scheme val="none"/>
      </font>
      <numFmt numFmtId="12" formatCode="&quot;$&quot;\ #,##0.00;[Red]\-&quot;$&quot;\ #,##0.00"/>
      <alignment horizontal="general" vertical="center" textRotation="0" wrapText="0" indent="0" justifyLastLine="0" shrinkToFit="0" readingOrder="0"/>
      <border diagonalUp="0" diagonalDown="0" outline="0">
        <left style="hair">
          <color indexed="64"/>
        </left>
        <right/>
        <top style="hair">
          <color indexed="64"/>
        </top>
        <bottom style="hair">
          <color indexed="64"/>
        </bottom>
      </border>
    </dxf>
    <dxf>
      <font>
        <b val="0"/>
        <i/>
        <strike val="0"/>
        <condense val="0"/>
        <extend val="0"/>
        <outline val="0"/>
        <shadow val="0"/>
        <u val="none"/>
        <vertAlign val="baseline"/>
        <sz val="9"/>
        <color auto="1"/>
        <name val="Arial Narrow"/>
        <family val="2"/>
        <scheme val="none"/>
      </font>
      <numFmt numFmtId="34" formatCode="_-&quot;$&quot;\ * #,##0.00_-;\-&quot;$&quot;\ * #,##0.00_-;_-&quot;$&quot;\ * &quot;-&quot;??_-;_-@_-"/>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thin">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family val="2"/>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numFmt numFmtId="12" formatCode="&quot;$&quot;\ #,##0.00;[Red]\-&quot;$&quot;\ #,##0.00"/>
    </dxf>
    <dxf>
      <font>
        <b val="0"/>
        <i/>
        <strike val="0"/>
        <condense val="0"/>
        <extend val="0"/>
        <outline val="0"/>
        <shadow val="0"/>
        <u val="none"/>
        <vertAlign val="baseline"/>
        <sz val="9"/>
        <color auto="1"/>
        <name val="Arial Narrow"/>
        <family val="2"/>
        <scheme val="none"/>
      </font>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val="0"/>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font>
        <b val="0"/>
        <i val="0"/>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font>
        <b val="0"/>
        <i val="0"/>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font>
        <b val="0"/>
        <i val="0"/>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medium">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family val="2"/>
        <scheme val="none"/>
      </font>
      <fill>
        <patternFill patternType="solid">
          <fgColor indexed="64"/>
          <bgColor theme="0" tint="-0.14999847407452621"/>
        </patternFill>
      </fill>
      <alignment horizontal="center" vertical="center" textRotation="0" wrapText="1"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scheme val="none"/>
      </font>
      <numFmt numFmtId="12" formatCode="&quot;$&quot;\ #,##0.00;[Red]\-&quot;$&quot;\ #,##0.00"/>
      <fill>
        <patternFill patternType="none">
          <fgColor indexed="64"/>
          <bgColor indexed="65"/>
        </patternFill>
      </fill>
      <alignment horizontal="center" vertical="center" textRotation="0" wrapText="0" indent="0" justifyLastLine="0" shrinkToFit="0" readingOrder="0"/>
      <border diagonalUp="0" diagonalDown="0" outline="0">
        <left style="hair">
          <color indexed="64"/>
        </left>
        <right/>
        <top style="hair">
          <color indexed="64"/>
        </top>
        <bottom style="hair">
          <color indexed="64"/>
        </bottom>
      </border>
    </dxf>
    <dxf>
      <font>
        <b val="0"/>
        <i/>
        <strike val="0"/>
        <condense val="0"/>
        <extend val="0"/>
        <outline val="0"/>
        <shadow val="0"/>
        <u val="none"/>
        <vertAlign val="baseline"/>
        <sz val="9"/>
        <color auto="1"/>
        <name val="Arial Narrow"/>
        <scheme val="none"/>
      </font>
      <numFmt numFmtId="172" formatCode="_-* #,##0.000_-;\-* #,##0.000_-;_-*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78" formatCode="&quot;$&quot;_-* #,##0.000_-;\-* #,##0.000_-;_-* &quot;-&quot;_-;_-@_-"/>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numFmt numFmtId="172" formatCode="_-* #,##0.000_-;\-* #,##0.000_-;_-*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vertical/>
        <horizontal/>
      </border>
    </dxf>
    <dxf>
      <font>
        <b val="0"/>
        <i/>
        <strike val="0"/>
        <condense val="0"/>
        <extend val="0"/>
        <outline val="0"/>
        <shadow val="0"/>
        <u val="none"/>
        <vertAlign val="baseline"/>
        <sz val="9"/>
        <color auto="1"/>
        <name val="Arial Narrow"/>
        <scheme val="none"/>
      </font>
      <alignment horizontal="general" vertical="center" textRotation="0" wrapText="1"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1"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thin">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family val="2"/>
        <scheme val="none"/>
      </font>
      <numFmt numFmtId="12" formatCode="&quot;$&quot;\ #,##0.00;[Red]\-&quot;$&quot;\ #,##0.00"/>
      <fill>
        <patternFill patternType="none">
          <fgColor indexed="64"/>
          <bgColor indexed="65"/>
        </patternFill>
      </fill>
      <alignment horizontal="center" vertical="center" textRotation="0" wrapText="0" indent="0" justifyLastLine="0" shrinkToFit="0" readingOrder="0"/>
      <border diagonalUp="0" diagonalDown="0" outline="0">
        <left style="hair">
          <color indexed="64"/>
        </left>
        <right/>
        <top style="hair">
          <color indexed="64"/>
        </top>
        <bottom style="hair">
          <color indexed="64"/>
        </bottom>
      </border>
    </dxf>
    <dxf>
      <font>
        <b val="0"/>
        <i/>
        <strike val="0"/>
        <condense val="0"/>
        <extend val="0"/>
        <outline val="0"/>
        <shadow val="0"/>
        <u val="none"/>
        <vertAlign val="baseline"/>
        <sz val="9"/>
        <color auto="1"/>
        <name val="Arial Narrow"/>
        <family val="2"/>
        <scheme val="none"/>
      </font>
      <numFmt numFmtId="174" formatCode="0.000"/>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numFmt numFmtId="14" formatCode="0.00%"/>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numFmt numFmtId="10" formatCode="&quot;$&quot;\ #,##0;[Red]\-&quot;$&quot;\ #,##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alignment horizontal="general" vertical="center" textRotation="0" wrapText="1" indent="0" justifyLastLine="0" shrinkToFit="0" readingOrder="0"/>
      <border diagonalUp="0" diagonalDown="0">
        <left/>
        <right style="hair">
          <color indexed="64"/>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thin">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family val="2"/>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family val="2"/>
        <scheme val="none"/>
      </font>
      <numFmt numFmtId="12" formatCode="&quot;$&quot;\ #,##0.00;[Red]\-&quot;$&quot;\ #,##0.00"/>
      <alignment horizontal="general" vertical="center" textRotation="0" wrapText="0" indent="0" justifyLastLine="0" shrinkToFit="0" readingOrder="0"/>
      <border diagonalUp="0" diagonalDown="0" outline="0">
        <left style="hair">
          <color indexed="64"/>
        </left>
        <right/>
        <top style="hair">
          <color indexed="64"/>
        </top>
        <bottom style="hair">
          <color indexed="64"/>
        </bottom>
      </border>
    </dxf>
    <dxf>
      <font>
        <b val="0"/>
        <i/>
        <strike val="0"/>
        <condense val="0"/>
        <extend val="0"/>
        <outline val="0"/>
        <shadow val="0"/>
        <u val="none"/>
        <vertAlign val="baseline"/>
        <sz val="9"/>
        <color auto="1"/>
        <name val="Arial Narrow"/>
        <family val="2"/>
        <scheme val="none"/>
      </font>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thin">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family val="2"/>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numFmt numFmtId="12" formatCode="&quot;$&quot;\ #,##0.00;[Red]\-&quot;$&quot;\ #,##0.00"/>
    </dxf>
    <dxf>
      <font>
        <b val="0"/>
        <i/>
        <strike val="0"/>
        <condense val="0"/>
        <extend val="0"/>
        <outline val="0"/>
        <shadow val="0"/>
        <u val="none"/>
        <vertAlign val="baseline"/>
        <sz val="9"/>
        <color auto="1"/>
        <name val="Arial Narrow"/>
        <family val="2"/>
        <scheme val="none"/>
      </font>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val="0"/>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font>
        <b val="0"/>
        <i val="0"/>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font>
        <b val="0"/>
        <i val="0"/>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font>
        <b val="0"/>
        <i val="0"/>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medium">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family val="2"/>
        <scheme val="none"/>
      </font>
      <fill>
        <patternFill patternType="solid">
          <fgColor indexed="64"/>
          <bgColor theme="0" tint="-0.14999847407452621"/>
        </patternFill>
      </fill>
      <alignment horizontal="center" vertical="center" textRotation="0" wrapText="1"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scheme val="none"/>
      </font>
      <numFmt numFmtId="12" formatCode="&quot;$&quot;\ #,##0.00;[Red]\-&quot;$&quot;\ #,##0.00"/>
      <fill>
        <patternFill patternType="none">
          <fgColor indexed="64"/>
          <bgColor indexed="65"/>
        </patternFill>
      </fill>
      <alignment horizontal="center" vertical="center" textRotation="0" wrapText="0" indent="0" justifyLastLine="0" shrinkToFit="0" readingOrder="0"/>
      <border diagonalUp="0" diagonalDown="0" outline="0">
        <left style="hair">
          <color indexed="64"/>
        </left>
        <right/>
        <top style="hair">
          <color indexed="64"/>
        </top>
        <bottom style="hair">
          <color indexed="64"/>
        </bottom>
      </border>
    </dxf>
    <dxf>
      <font>
        <b val="0"/>
        <i/>
        <strike val="0"/>
        <condense val="0"/>
        <extend val="0"/>
        <outline val="0"/>
        <shadow val="0"/>
        <u val="none"/>
        <vertAlign val="baseline"/>
        <sz val="9"/>
        <color auto="1"/>
        <name val="Arial Narrow"/>
        <scheme val="none"/>
      </font>
      <numFmt numFmtId="172" formatCode="_-* #,##0.000_-;\-* #,##0.000_-;_-*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78" formatCode="&quot;$&quot;_-* #,##0.000_-;\-* #,##0.000_-;_-* &quot;-&quot;_-;_-@_-"/>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numFmt numFmtId="172" formatCode="_-* #,##0.000_-;\-* #,##0.000_-;_-*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vertical/>
        <horizontal/>
      </border>
    </dxf>
    <dxf>
      <font>
        <b val="0"/>
        <i/>
        <strike val="0"/>
        <condense val="0"/>
        <extend val="0"/>
        <outline val="0"/>
        <shadow val="0"/>
        <u val="none"/>
        <vertAlign val="baseline"/>
        <sz val="9"/>
        <color auto="1"/>
        <name val="Arial Narrow"/>
        <scheme val="none"/>
      </font>
      <alignment horizontal="general" vertical="center" textRotation="0" wrapText="1"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1"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thin">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family val="2"/>
        <scheme val="none"/>
      </font>
      <numFmt numFmtId="12" formatCode="&quot;$&quot;\ #,##0.00;[Red]\-&quot;$&quot;\ #,##0.00"/>
      <fill>
        <patternFill patternType="none">
          <fgColor indexed="64"/>
          <bgColor indexed="65"/>
        </patternFill>
      </fill>
      <alignment horizontal="center" vertical="center" textRotation="0" wrapText="0" indent="0" justifyLastLine="0" shrinkToFit="0" readingOrder="0"/>
      <border diagonalUp="0" diagonalDown="0" outline="0">
        <left style="hair">
          <color indexed="64"/>
        </left>
        <right/>
        <top style="hair">
          <color indexed="64"/>
        </top>
        <bottom style="hair">
          <color indexed="64"/>
        </bottom>
      </border>
    </dxf>
    <dxf>
      <font>
        <b val="0"/>
        <i/>
        <strike val="0"/>
        <condense val="0"/>
        <extend val="0"/>
        <outline val="0"/>
        <shadow val="0"/>
        <u val="none"/>
        <vertAlign val="baseline"/>
        <sz val="9"/>
        <color auto="1"/>
        <name val="Arial Narrow"/>
        <family val="2"/>
        <scheme val="none"/>
      </font>
      <numFmt numFmtId="174" formatCode="0.000"/>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numFmt numFmtId="14" formatCode="0.00%"/>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numFmt numFmtId="10" formatCode="&quot;$&quot;\ #,##0;[Red]\-&quot;$&quot;\ #,##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alignment horizontal="general" vertical="center" textRotation="0" wrapText="1" indent="0" justifyLastLine="0" shrinkToFit="0" readingOrder="0"/>
      <border diagonalUp="0" diagonalDown="0">
        <left/>
        <right style="hair">
          <color indexed="64"/>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thin">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family val="2"/>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family val="2"/>
        <scheme val="none"/>
      </font>
      <numFmt numFmtId="12" formatCode="&quot;$&quot;\ #,##0.00;[Red]\-&quot;$&quot;\ #,##0.00"/>
      <alignment horizontal="general" vertical="center" textRotation="0" wrapText="0" indent="0" justifyLastLine="0" shrinkToFit="0" readingOrder="0"/>
      <border diagonalUp="0" diagonalDown="0" outline="0">
        <left style="hair">
          <color indexed="64"/>
        </left>
        <right/>
        <top style="hair">
          <color indexed="64"/>
        </top>
        <bottom style="hair">
          <color indexed="64"/>
        </bottom>
      </border>
    </dxf>
    <dxf>
      <font>
        <b val="0"/>
        <i/>
        <strike val="0"/>
        <condense val="0"/>
        <extend val="0"/>
        <outline val="0"/>
        <shadow val="0"/>
        <u val="none"/>
        <vertAlign val="baseline"/>
        <sz val="9"/>
        <color auto="1"/>
        <name val="Arial Narrow"/>
        <family val="2"/>
        <scheme val="none"/>
      </font>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thin">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family val="2"/>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numFmt numFmtId="12" formatCode="&quot;$&quot;\ #,##0.00;[Red]\-&quot;$&quot;\ #,##0.00"/>
    </dxf>
    <dxf>
      <font>
        <b val="0"/>
        <i/>
        <strike val="0"/>
        <condense val="0"/>
        <extend val="0"/>
        <outline val="0"/>
        <shadow val="0"/>
        <u val="none"/>
        <vertAlign val="baseline"/>
        <sz val="9"/>
        <color auto="1"/>
        <name val="Arial Narrow"/>
        <family val="2"/>
        <scheme val="none"/>
      </font>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val="0"/>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font>
        <b val="0"/>
        <i val="0"/>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font>
        <b val="0"/>
        <i val="0"/>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font>
        <b val="0"/>
        <i val="0"/>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medium">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family val="2"/>
        <scheme val="none"/>
      </font>
      <fill>
        <patternFill patternType="solid">
          <fgColor indexed="64"/>
          <bgColor theme="0" tint="-0.14999847407452621"/>
        </patternFill>
      </fill>
      <alignment horizontal="center" vertical="center" textRotation="0" wrapText="1"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scheme val="none"/>
      </font>
      <numFmt numFmtId="12" formatCode="&quot;$&quot;\ #,##0.00;[Red]\-&quot;$&quot;\ #,##0.00"/>
      <fill>
        <patternFill patternType="none">
          <fgColor indexed="64"/>
          <bgColor indexed="65"/>
        </patternFill>
      </fill>
      <alignment horizontal="center" vertical="center" textRotation="0" wrapText="0" indent="0" justifyLastLine="0" shrinkToFit="0" readingOrder="0"/>
      <border diagonalUp="0" diagonalDown="0" outline="0">
        <left style="hair">
          <color indexed="64"/>
        </left>
        <right/>
        <top style="hair">
          <color indexed="64"/>
        </top>
        <bottom style="hair">
          <color indexed="64"/>
        </bottom>
      </border>
    </dxf>
    <dxf>
      <font>
        <b val="0"/>
        <i/>
        <strike val="0"/>
        <condense val="0"/>
        <extend val="0"/>
        <outline val="0"/>
        <shadow val="0"/>
        <u val="none"/>
        <vertAlign val="baseline"/>
        <sz val="9"/>
        <color auto="1"/>
        <name val="Arial Narrow"/>
        <scheme val="none"/>
      </font>
      <numFmt numFmtId="172" formatCode="_-* #,##0.000_-;\-* #,##0.000_-;_-*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78" formatCode="&quot;$&quot;_-* #,##0.000_-;\-* #,##0.000_-;_-* &quot;-&quot;_-;_-@_-"/>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numFmt numFmtId="172" formatCode="_-* #,##0.000_-;\-* #,##0.000_-;_-*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vertical/>
        <horizontal/>
      </border>
    </dxf>
    <dxf>
      <font>
        <b val="0"/>
        <i/>
        <strike val="0"/>
        <condense val="0"/>
        <extend val="0"/>
        <outline val="0"/>
        <shadow val="0"/>
        <u val="none"/>
        <vertAlign val="baseline"/>
        <sz val="9"/>
        <color auto="1"/>
        <name val="Arial Narrow"/>
        <scheme val="none"/>
      </font>
      <alignment horizontal="general" vertical="center" textRotation="0" wrapText="1"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1"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thin">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family val="2"/>
        <scheme val="none"/>
      </font>
      <numFmt numFmtId="12" formatCode="&quot;$&quot;\ #,##0.00;[Red]\-&quot;$&quot;\ #,##0.00"/>
      <fill>
        <patternFill patternType="none">
          <fgColor indexed="64"/>
          <bgColor indexed="65"/>
        </patternFill>
      </fill>
      <alignment horizontal="center" vertical="center" textRotation="0" wrapText="0" indent="0" justifyLastLine="0" shrinkToFit="0" readingOrder="0"/>
      <border diagonalUp="0" diagonalDown="0" outline="0">
        <left style="hair">
          <color indexed="64"/>
        </left>
        <right/>
        <top style="hair">
          <color indexed="64"/>
        </top>
        <bottom style="hair">
          <color indexed="64"/>
        </bottom>
      </border>
    </dxf>
    <dxf>
      <font>
        <b val="0"/>
        <i/>
        <strike val="0"/>
        <condense val="0"/>
        <extend val="0"/>
        <outline val="0"/>
        <shadow val="0"/>
        <u val="none"/>
        <vertAlign val="baseline"/>
        <sz val="9"/>
        <color auto="1"/>
        <name val="Arial Narrow"/>
        <family val="2"/>
        <scheme val="none"/>
      </font>
      <numFmt numFmtId="174" formatCode="0.000"/>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numFmt numFmtId="14" formatCode="0.00%"/>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numFmt numFmtId="10" formatCode="&quot;$&quot;\ #,##0;[Red]\-&quot;$&quot;\ #,##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alignment horizontal="general" vertical="center" textRotation="0" wrapText="1" indent="0" justifyLastLine="0" shrinkToFit="0" readingOrder="0"/>
      <border diagonalUp="0" diagonalDown="0">
        <left/>
        <right style="hair">
          <color indexed="64"/>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thin">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family val="2"/>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family val="2"/>
        <scheme val="none"/>
      </font>
      <numFmt numFmtId="12" formatCode="&quot;$&quot;\ #,##0.00;[Red]\-&quot;$&quot;\ #,##0.00"/>
      <alignment horizontal="general" vertical="center" textRotation="0" wrapText="0" indent="0" justifyLastLine="0" shrinkToFit="0" readingOrder="0"/>
      <border diagonalUp="0" diagonalDown="0" outline="0">
        <left style="hair">
          <color indexed="64"/>
        </left>
        <right/>
        <top style="hair">
          <color indexed="64"/>
        </top>
        <bottom style="hair">
          <color indexed="64"/>
        </bottom>
      </border>
    </dxf>
    <dxf>
      <font>
        <b val="0"/>
        <i/>
        <strike val="0"/>
        <condense val="0"/>
        <extend val="0"/>
        <outline val="0"/>
        <shadow val="0"/>
        <u val="none"/>
        <vertAlign val="baseline"/>
        <sz val="9"/>
        <color auto="1"/>
        <name val="Arial Narrow"/>
        <family val="2"/>
        <scheme val="none"/>
      </font>
      <numFmt numFmtId="34" formatCode="_-&quot;$&quot;\ * #,##0.00_-;\-&quot;$&quot;\ * #,##0.00_-;_-&quot;$&quot;\ * &quot;-&quot;??_-;_-@_-"/>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thin">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family val="2"/>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numFmt numFmtId="12" formatCode="&quot;$&quot;\ #,##0.00;[Red]\-&quot;$&quot;\ #,##0.00"/>
    </dxf>
    <dxf>
      <font>
        <b val="0"/>
        <i/>
        <strike val="0"/>
        <condense val="0"/>
        <extend val="0"/>
        <outline val="0"/>
        <shadow val="0"/>
        <u val="none"/>
        <vertAlign val="baseline"/>
        <sz val="9"/>
        <color auto="1"/>
        <name val="Arial Narrow"/>
        <family val="2"/>
        <scheme val="none"/>
      </font>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val="0"/>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font>
        <b val="0"/>
        <i val="0"/>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font>
        <b val="0"/>
        <i val="0"/>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font>
        <b val="0"/>
        <i val="0"/>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medium">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family val="2"/>
        <scheme val="none"/>
      </font>
      <fill>
        <patternFill patternType="solid">
          <fgColor indexed="64"/>
          <bgColor theme="0" tint="-0.14999847407452621"/>
        </patternFill>
      </fill>
      <alignment horizontal="center" vertical="center" textRotation="0" wrapText="1"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scheme val="none"/>
      </font>
      <numFmt numFmtId="12" formatCode="&quot;$&quot;\ #,##0.00;[Red]\-&quot;$&quot;\ #,##0.00"/>
      <fill>
        <patternFill patternType="none">
          <fgColor indexed="64"/>
          <bgColor indexed="65"/>
        </patternFill>
      </fill>
      <alignment horizontal="center" vertical="center" textRotation="0" wrapText="0" indent="0" justifyLastLine="0" shrinkToFit="0" readingOrder="0"/>
      <border diagonalUp="0" diagonalDown="0" outline="0">
        <left style="hair">
          <color indexed="64"/>
        </left>
        <right/>
        <top style="hair">
          <color indexed="64"/>
        </top>
        <bottom style="hair">
          <color indexed="64"/>
        </bottom>
      </border>
    </dxf>
    <dxf>
      <font>
        <b val="0"/>
        <i/>
        <strike val="0"/>
        <condense val="0"/>
        <extend val="0"/>
        <outline val="0"/>
        <shadow val="0"/>
        <u val="none"/>
        <vertAlign val="baseline"/>
        <sz val="9"/>
        <color auto="1"/>
        <name val="Arial Narrow"/>
        <scheme val="none"/>
      </font>
      <numFmt numFmtId="172" formatCode="_-* #,##0.000_-;\-* #,##0.000_-;_-*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78" formatCode="&quot;$&quot;_-* #,##0.000_-;\-* #,##0.000_-;_-* &quot;-&quot;_-;_-@_-"/>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numFmt numFmtId="172" formatCode="_-* #,##0.000_-;\-* #,##0.000_-;_-*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vertical/>
        <horizontal/>
      </border>
    </dxf>
    <dxf>
      <font>
        <b val="0"/>
        <i/>
        <strike val="0"/>
        <condense val="0"/>
        <extend val="0"/>
        <outline val="0"/>
        <shadow val="0"/>
        <u val="none"/>
        <vertAlign val="baseline"/>
        <sz val="9"/>
        <color auto="1"/>
        <name val="Arial Narrow"/>
        <scheme val="none"/>
      </font>
      <alignment horizontal="general" vertical="center" textRotation="0" wrapText="1"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1"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thin">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family val="2"/>
        <scheme val="none"/>
      </font>
      <numFmt numFmtId="12" formatCode="&quot;$&quot;\ #,##0.00;[Red]\-&quot;$&quot;\ #,##0.00"/>
      <fill>
        <patternFill patternType="none">
          <fgColor indexed="64"/>
          <bgColor indexed="65"/>
        </patternFill>
      </fill>
      <alignment horizontal="center" vertical="center" textRotation="0" wrapText="0" indent="0" justifyLastLine="0" shrinkToFit="0" readingOrder="0"/>
      <border diagonalUp="0" diagonalDown="0" outline="0">
        <left style="hair">
          <color indexed="64"/>
        </left>
        <right/>
        <top style="hair">
          <color indexed="64"/>
        </top>
        <bottom style="hair">
          <color indexed="64"/>
        </bottom>
      </border>
    </dxf>
    <dxf>
      <font>
        <b val="0"/>
        <i/>
        <strike val="0"/>
        <condense val="0"/>
        <extend val="0"/>
        <outline val="0"/>
        <shadow val="0"/>
        <u val="none"/>
        <vertAlign val="baseline"/>
        <sz val="9"/>
        <color auto="1"/>
        <name val="Arial Narrow"/>
        <family val="2"/>
        <scheme val="none"/>
      </font>
      <numFmt numFmtId="174" formatCode="0.000"/>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numFmt numFmtId="14" formatCode="0.00%"/>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numFmt numFmtId="10" formatCode="&quot;$&quot;\ #,##0;[Red]\-&quot;$&quot;\ #,##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alignment horizontal="general" vertical="center" textRotation="0" wrapText="1" indent="0" justifyLastLine="0" shrinkToFit="0" readingOrder="0"/>
      <border diagonalUp="0" diagonalDown="0">
        <left/>
        <right style="hair">
          <color indexed="64"/>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thin">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family val="2"/>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family val="2"/>
        <scheme val="none"/>
      </font>
      <numFmt numFmtId="12" formatCode="&quot;$&quot;\ #,##0.00;[Red]\-&quot;$&quot;\ #,##0.00"/>
      <alignment horizontal="general" vertical="center" textRotation="0" wrapText="0" indent="0" justifyLastLine="0" shrinkToFit="0" readingOrder="0"/>
      <border diagonalUp="0" diagonalDown="0" outline="0">
        <left style="hair">
          <color indexed="64"/>
        </left>
        <right/>
        <top style="hair">
          <color indexed="64"/>
        </top>
        <bottom style="hair">
          <color indexed="64"/>
        </bottom>
      </border>
    </dxf>
    <dxf>
      <font>
        <b val="0"/>
        <i/>
        <strike val="0"/>
        <condense val="0"/>
        <extend val="0"/>
        <outline val="0"/>
        <shadow val="0"/>
        <u val="none"/>
        <vertAlign val="baseline"/>
        <sz val="9"/>
        <color auto="1"/>
        <name val="Arial Narrow"/>
        <family val="2"/>
        <scheme val="none"/>
      </font>
      <numFmt numFmtId="34" formatCode="_-&quot;$&quot;\ * #,##0.00_-;\-&quot;$&quot;\ * #,##0.00_-;_-&quot;$&quot;\ * &quot;-&quot;??_-;_-@_-"/>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thin">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family val="2"/>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numFmt numFmtId="12" formatCode="&quot;$&quot;\ #,##0.00;[Red]\-&quot;$&quot;\ #,##0.00"/>
    </dxf>
    <dxf>
      <font>
        <b val="0"/>
        <i/>
        <strike val="0"/>
        <condense val="0"/>
        <extend val="0"/>
        <outline val="0"/>
        <shadow val="0"/>
        <u val="none"/>
        <vertAlign val="baseline"/>
        <sz val="9"/>
        <color auto="1"/>
        <name val="Arial Narrow"/>
        <family val="2"/>
        <scheme val="none"/>
      </font>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val="0"/>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font>
        <b val="0"/>
        <i val="0"/>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font>
        <b val="0"/>
        <i val="0"/>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font>
        <b val="0"/>
        <i val="0"/>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medium">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family val="2"/>
        <scheme val="none"/>
      </font>
      <fill>
        <patternFill patternType="solid">
          <fgColor indexed="64"/>
          <bgColor theme="0" tint="-0.14999847407452621"/>
        </patternFill>
      </fill>
      <alignment horizontal="center" vertical="center" textRotation="0" wrapText="1"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scheme val="none"/>
      </font>
      <numFmt numFmtId="12" formatCode="&quot;$&quot;\ #,##0.00;[Red]\-&quot;$&quot;\ #,##0.00"/>
      <fill>
        <patternFill patternType="none">
          <fgColor indexed="64"/>
          <bgColor indexed="65"/>
        </patternFill>
      </fill>
      <alignment horizontal="center" vertical="center" textRotation="0" wrapText="0" indent="0" justifyLastLine="0" shrinkToFit="0" readingOrder="0"/>
      <border diagonalUp="0" diagonalDown="0" outline="0">
        <left style="hair">
          <color indexed="64"/>
        </left>
        <right/>
        <top style="hair">
          <color indexed="64"/>
        </top>
        <bottom style="hair">
          <color indexed="64"/>
        </bottom>
      </border>
    </dxf>
    <dxf>
      <font>
        <b val="0"/>
        <i/>
        <strike val="0"/>
        <condense val="0"/>
        <extend val="0"/>
        <outline val="0"/>
        <shadow val="0"/>
        <u val="none"/>
        <vertAlign val="baseline"/>
        <sz val="9"/>
        <color auto="1"/>
        <name val="Arial Narrow"/>
        <scheme val="none"/>
      </font>
      <numFmt numFmtId="172" formatCode="_-* #,##0.000_-;\-* #,##0.000_-;_-*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78" formatCode="&quot;$&quot;_-* #,##0.000_-;\-* #,##0.000_-;_-* &quot;-&quot;_-;_-@_-"/>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numFmt numFmtId="172" formatCode="_-* #,##0.000_-;\-* #,##0.000_-;_-*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vertical/>
        <horizontal/>
      </border>
    </dxf>
    <dxf>
      <font>
        <b val="0"/>
        <i/>
        <strike val="0"/>
        <condense val="0"/>
        <extend val="0"/>
        <outline val="0"/>
        <shadow val="0"/>
        <u val="none"/>
        <vertAlign val="baseline"/>
        <sz val="9"/>
        <color auto="1"/>
        <name val="Arial Narrow"/>
        <scheme val="none"/>
      </font>
      <alignment horizontal="general" vertical="center" textRotation="0" wrapText="1"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1"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thin">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family val="2"/>
        <scheme val="none"/>
      </font>
      <numFmt numFmtId="12" formatCode="&quot;$&quot;\ #,##0.00;[Red]\-&quot;$&quot;\ #,##0.00"/>
      <fill>
        <patternFill patternType="none">
          <fgColor indexed="64"/>
          <bgColor indexed="65"/>
        </patternFill>
      </fill>
      <alignment horizontal="center" vertical="center" textRotation="0" wrapText="0" indent="0" justifyLastLine="0" shrinkToFit="0" readingOrder="0"/>
      <border diagonalUp="0" diagonalDown="0" outline="0">
        <left style="hair">
          <color indexed="64"/>
        </left>
        <right/>
        <top style="hair">
          <color indexed="64"/>
        </top>
        <bottom style="hair">
          <color indexed="64"/>
        </bottom>
      </border>
    </dxf>
    <dxf>
      <font>
        <b val="0"/>
        <i/>
        <strike val="0"/>
        <condense val="0"/>
        <extend val="0"/>
        <outline val="0"/>
        <shadow val="0"/>
        <u val="none"/>
        <vertAlign val="baseline"/>
        <sz val="9"/>
        <color auto="1"/>
        <name val="Arial Narrow"/>
        <family val="2"/>
        <scheme val="none"/>
      </font>
      <numFmt numFmtId="174" formatCode="0.000"/>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numFmt numFmtId="14" formatCode="0.00%"/>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numFmt numFmtId="10" formatCode="&quot;$&quot;\ #,##0;[Red]\-&quot;$&quot;\ #,##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alignment horizontal="general" vertical="center" textRotation="0" wrapText="1" indent="0" justifyLastLine="0" shrinkToFit="0" readingOrder="0"/>
      <border diagonalUp="0" diagonalDown="0">
        <left/>
        <right style="hair">
          <color indexed="64"/>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thin">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family val="2"/>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family val="2"/>
        <scheme val="none"/>
      </font>
      <numFmt numFmtId="12" formatCode="&quot;$&quot;\ #,##0.00;[Red]\-&quot;$&quot;\ #,##0.00"/>
      <alignment horizontal="general" vertical="center" textRotation="0" wrapText="0" indent="0" justifyLastLine="0" shrinkToFit="0" readingOrder="0"/>
      <border diagonalUp="0" diagonalDown="0" outline="0">
        <left style="hair">
          <color indexed="64"/>
        </left>
        <right/>
        <top style="hair">
          <color indexed="64"/>
        </top>
        <bottom style="hair">
          <color indexed="64"/>
        </bottom>
      </border>
    </dxf>
    <dxf>
      <font>
        <b val="0"/>
        <i/>
        <strike val="0"/>
        <condense val="0"/>
        <extend val="0"/>
        <outline val="0"/>
        <shadow val="0"/>
        <u val="none"/>
        <vertAlign val="baseline"/>
        <sz val="9"/>
        <color auto="1"/>
        <name val="Arial Narrow"/>
        <family val="2"/>
        <scheme val="none"/>
      </font>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thin">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family val="2"/>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numFmt numFmtId="12" formatCode="&quot;$&quot;\ #,##0.00;[Red]\-&quot;$&quot;\ #,##0.00"/>
    </dxf>
    <dxf>
      <font>
        <b val="0"/>
        <i/>
        <strike val="0"/>
        <condense val="0"/>
        <extend val="0"/>
        <outline val="0"/>
        <shadow val="0"/>
        <u val="none"/>
        <vertAlign val="baseline"/>
        <sz val="9"/>
        <color auto="1"/>
        <name val="Arial Narrow"/>
        <family val="2"/>
        <scheme val="none"/>
      </font>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val="0"/>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font>
        <b val="0"/>
        <i val="0"/>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font>
        <b val="0"/>
        <i val="0"/>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font>
        <b val="0"/>
        <i val="0"/>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medium">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family val="2"/>
        <scheme val="none"/>
      </font>
      <fill>
        <patternFill patternType="solid">
          <fgColor indexed="64"/>
          <bgColor theme="0" tint="-0.14999847407452621"/>
        </patternFill>
      </fill>
      <alignment horizontal="center" vertical="center" textRotation="0" wrapText="1"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scheme val="none"/>
      </font>
      <numFmt numFmtId="12" formatCode="&quot;$&quot;\ #,##0.00;[Red]\-&quot;$&quot;\ #,##0.00"/>
      <fill>
        <patternFill patternType="none">
          <fgColor indexed="64"/>
          <bgColor indexed="65"/>
        </patternFill>
      </fill>
      <alignment horizontal="center" vertical="center" textRotation="0" wrapText="0" indent="0" justifyLastLine="0" shrinkToFit="0" readingOrder="0"/>
      <border diagonalUp="0" diagonalDown="0" outline="0">
        <left style="hair">
          <color indexed="64"/>
        </left>
        <right/>
        <top style="hair">
          <color indexed="64"/>
        </top>
        <bottom style="hair">
          <color indexed="64"/>
        </bottom>
      </border>
    </dxf>
    <dxf>
      <font>
        <b val="0"/>
        <i/>
        <strike val="0"/>
        <condense val="0"/>
        <extend val="0"/>
        <outline val="0"/>
        <shadow val="0"/>
        <u val="none"/>
        <vertAlign val="baseline"/>
        <sz val="9"/>
        <color auto="1"/>
        <name val="Arial Narrow"/>
        <scheme val="none"/>
      </font>
      <numFmt numFmtId="172" formatCode="_-* #,##0.000_-;\-* #,##0.000_-;_-*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78" formatCode="&quot;$&quot;_-* #,##0.000_-;\-* #,##0.000_-;_-* &quot;-&quot;_-;_-@_-"/>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numFmt numFmtId="172" formatCode="_-* #,##0.000_-;\-* #,##0.000_-;_-*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vertical/>
        <horizontal/>
      </border>
    </dxf>
    <dxf>
      <font>
        <b val="0"/>
        <i/>
        <strike val="0"/>
        <condense val="0"/>
        <extend val="0"/>
        <outline val="0"/>
        <shadow val="0"/>
        <u val="none"/>
        <vertAlign val="baseline"/>
        <sz val="9"/>
        <color auto="1"/>
        <name val="Arial Narrow"/>
        <scheme val="none"/>
      </font>
      <alignment horizontal="general" vertical="center" textRotation="0" wrapText="1"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1"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thin">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family val="2"/>
        <scheme val="none"/>
      </font>
      <numFmt numFmtId="12" formatCode="&quot;$&quot;\ #,##0.00;[Red]\-&quot;$&quot;\ #,##0.00"/>
      <fill>
        <patternFill patternType="none">
          <fgColor indexed="64"/>
          <bgColor indexed="65"/>
        </patternFill>
      </fill>
      <alignment horizontal="center" vertical="center" textRotation="0" wrapText="0" indent="0" justifyLastLine="0" shrinkToFit="0" readingOrder="0"/>
      <border diagonalUp="0" diagonalDown="0" outline="0">
        <left style="hair">
          <color indexed="64"/>
        </left>
        <right/>
        <top style="hair">
          <color indexed="64"/>
        </top>
        <bottom style="hair">
          <color indexed="64"/>
        </bottom>
      </border>
    </dxf>
    <dxf>
      <font>
        <b val="0"/>
        <i/>
        <strike val="0"/>
        <condense val="0"/>
        <extend val="0"/>
        <outline val="0"/>
        <shadow val="0"/>
        <u val="none"/>
        <vertAlign val="baseline"/>
        <sz val="9"/>
        <color auto="1"/>
        <name val="Arial Narrow"/>
        <family val="2"/>
        <scheme val="none"/>
      </font>
      <numFmt numFmtId="174" formatCode="0.000"/>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numFmt numFmtId="14" formatCode="0.00%"/>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numFmt numFmtId="10" formatCode="&quot;$&quot;\ #,##0;[Red]\-&quot;$&quot;\ #,##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alignment horizontal="general" vertical="center" textRotation="0" wrapText="1" indent="0" justifyLastLine="0" shrinkToFit="0" readingOrder="0"/>
      <border diagonalUp="0" diagonalDown="0">
        <left/>
        <right style="hair">
          <color indexed="64"/>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thin">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family val="2"/>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family val="2"/>
        <scheme val="none"/>
      </font>
      <numFmt numFmtId="12" formatCode="&quot;$&quot;\ #,##0.00;[Red]\-&quot;$&quot;\ #,##0.00"/>
      <alignment horizontal="general" vertical="center" textRotation="0" wrapText="0" indent="0" justifyLastLine="0" shrinkToFit="0" readingOrder="0"/>
      <border diagonalUp="0" diagonalDown="0" outline="0">
        <left style="hair">
          <color indexed="64"/>
        </left>
        <right/>
        <top style="hair">
          <color indexed="64"/>
        </top>
        <bottom style="hair">
          <color indexed="64"/>
        </bottom>
      </border>
    </dxf>
    <dxf>
      <font>
        <b val="0"/>
        <i/>
        <strike val="0"/>
        <condense val="0"/>
        <extend val="0"/>
        <outline val="0"/>
        <shadow val="0"/>
        <u val="none"/>
        <vertAlign val="baseline"/>
        <sz val="9"/>
        <color auto="1"/>
        <name val="Arial Narrow"/>
        <family val="2"/>
        <scheme val="none"/>
      </font>
      <numFmt numFmtId="34" formatCode="_-&quot;$&quot;\ * #,##0.00_-;\-&quot;$&quot;\ * #,##0.00_-;_-&quot;$&quot;\ * &quot;-&quot;??_-;_-@_-"/>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thin">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family val="2"/>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numFmt numFmtId="12" formatCode="&quot;$&quot;\ #,##0.00;[Red]\-&quot;$&quot;\ #,##0.00"/>
    </dxf>
    <dxf>
      <font>
        <b val="0"/>
        <i/>
        <strike val="0"/>
        <condense val="0"/>
        <extend val="0"/>
        <outline val="0"/>
        <shadow val="0"/>
        <u val="none"/>
        <vertAlign val="baseline"/>
        <sz val="9"/>
        <color auto="1"/>
        <name val="Arial Narrow"/>
        <family val="2"/>
        <scheme val="none"/>
      </font>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val="0"/>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font>
        <b val="0"/>
        <i val="0"/>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font>
        <b val="0"/>
        <i val="0"/>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font>
        <b val="0"/>
        <i val="0"/>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medium">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family val="2"/>
        <scheme val="none"/>
      </font>
      <fill>
        <patternFill patternType="solid">
          <fgColor indexed="64"/>
          <bgColor theme="0" tint="-0.14999847407452621"/>
        </patternFill>
      </fill>
      <alignment horizontal="center" vertical="center" textRotation="0" wrapText="1"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scheme val="none"/>
      </font>
      <numFmt numFmtId="12" formatCode="&quot;$&quot;\ #,##0.00;[Red]\-&quot;$&quot;\ #,##0.00"/>
      <fill>
        <patternFill patternType="none">
          <fgColor indexed="64"/>
          <bgColor indexed="65"/>
        </patternFill>
      </fill>
      <alignment horizontal="center" vertical="center" textRotation="0" wrapText="0" indent="0" justifyLastLine="0" shrinkToFit="0" readingOrder="0"/>
      <border diagonalUp="0" diagonalDown="0" outline="0">
        <left style="hair">
          <color indexed="64"/>
        </left>
        <right/>
        <top style="hair">
          <color indexed="64"/>
        </top>
        <bottom style="hair">
          <color indexed="64"/>
        </bottom>
      </border>
    </dxf>
    <dxf>
      <font>
        <b val="0"/>
        <i/>
        <strike val="0"/>
        <condense val="0"/>
        <extend val="0"/>
        <outline val="0"/>
        <shadow val="0"/>
        <u val="none"/>
        <vertAlign val="baseline"/>
        <sz val="9"/>
        <color auto="1"/>
        <name val="Arial Narrow"/>
        <scheme val="none"/>
      </font>
      <numFmt numFmtId="172" formatCode="_-* #,##0.000_-;\-* #,##0.000_-;_-*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numFmt numFmtId="178" formatCode="&quot;$&quot;_-* #,##0.000_-;\-* #,##0.000_-;_-*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numFmt numFmtId="172" formatCode="_-* #,##0.000_-;\-* #,##0.000_-;_-*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vertical/>
        <horizontal/>
      </border>
    </dxf>
    <dxf>
      <font>
        <b val="0"/>
        <i/>
        <strike val="0"/>
        <condense val="0"/>
        <extend val="0"/>
        <outline val="0"/>
        <shadow val="0"/>
        <u val="none"/>
        <vertAlign val="baseline"/>
        <sz val="9"/>
        <color auto="1"/>
        <name val="Arial Narrow"/>
        <scheme val="none"/>
      </font>
      <alignment horizontal="general" vertical="center" textRotation="0" wrapText="1"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1"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thin">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family val="2"/>
        <scheme val="none"/>
      </font>
      <numFmt numFmtId="12" formatCode="&quot;$&quot;\ #,##0.00;[Red]\-&quot;$&quot;\ #,##0.00"/>
      <fill>
        <patternFill patternType="none">
          <fgColor indexed="64"/>
          <bgColor indexed="65"/>
        </patternFill>
      </fill>
      <alignment horizontal="center" vertical="center" textRotation="0" wrapText="0" indent="0" justifyLastLine="0" shrinkToFit="0" readingOrder="0"/>
      <border diagonalUp="0" diagonalDown="0" outline="0">
        <left style="hair">
          <color indexed="64"/>
        </left>
        <right/>
        <top style="hair">
          <color indexed="64"/>
        </top>
        <bottom style="hair">
          <color indexed="64"/>
        </bottom>
      </border>
    </dxf>
    <dxf>
      <font>
        <b val="0"/>
        <i/>
        <strike val="0"/>
        <condense val="0"/>
        <extend val="0"/>
        <outline val="0"/>
        <shadow val="0"/>
        <u val="none"/>
        <vertAlign val="baseline"/>
        <sz val="9"/>
        <color auto="1"/>
        <name val="Arial Narrow"/>
        <family val="2"/>
        <scheme val="none"/>
      </font>
      <numFmt numFmtId="174" formatCode="0.000"/>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numFmt numFmtId="14" formatCode="0.00%"/>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numFmt numFmtId="10" formatCode="&quot;$&quot;\ #,##0;[Red]\-&quot;$&quot;\ #,##0"/>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alignment horizontal="general" vertical="center" textRotation="0" wrapText="1" indent="0" justifyLastLine="0" shrinkToFit="0" readingOrder="0"/>
      <border diagonalUp="0" diagonalDown="0">
        <left/>
        <right style="hair">
          <color indexed="64"/>
        </right>
        <top style="hair">
          <color indexed="64"/>
        </top>
        <bottom style="hair">
          <color indexed="64"/>
        </bottom>
        <vertical/>
        <horizontal/>
      </border>
    </dxf>
    <dxf>
      <border outline="0">
        <top style="hair">
          <color indexed="64"/>
        </top>
      </border>
    </dxf>
    <dxf>
      <border outline="0">
        <left style="medium">
          <color indexed="64"/>
        </left>
        <right style="hair">
          <color indexed="64"/>
        </right>
        <top style="thin">
          <color indexed="64"/>
        </top>
        <bottom style="hair">
          <color indexed="64"/>
        </bottom>
      </border>
    </dxf>
    <dxf>
      <border outline="0">
        <bottom style="hair">
          <color indexed="64"/>
        </bottom>
      </border>
    </dxf>
    <dxf>
      <font>
        <b val="0"/>
        <i/>
        <strike val="0"/>
        <condense val="0"/>
        <extend val="0"/>
        <outline val="0"/>
        <shadow val="0"/>
        <u val="none"/>
        <vertAlign val="baseline"/>
        <sz val="9"/>
        <color auto="1"/>
        <name val="Arial Narrow"/>
        <family val="2"/>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family val="2"/>
        <scheme val="none"/>
      </font>
      <numFmt numFmtId="12" formatCode="&quot;$&quot;\ #,##0.00;[Red]\-&quot;$&quot;\ #,##0.00"/>
      <alignment horizontal="general" vertical="center" textRotation="0" wrapText="0" indent="0" justifyLastLine="0" shrinkToFit="0" readingOrder="0"/>
      <border diagonalUp="0" diagonalDown="0" outline="0">
        <left style="hair">
          <color indexed="64"/>
        </left>
        <right/>
        <top style="hair">
          <color indexed="64"/>
        </top>
        <bottom style="hair">
          <color indexed="64"/>
        </bottom>
      </border>
    </dxf>
    <dxf>
      <font>
        <b val="0"/>
        <i/>
        <strike val="0"/>
        <condense val="0"/>
        <extend val="0"/>
        <outline val="0"/>
        <shadow val="0"/>
        <u val="none"/>
        <vertAlign val="baseline"/>
        <sz val="9"/>
        <color auto="1"/>
        <name val="Arial Narrow"/>
        <family val="2"/>
        <scheme val="none"/>
      </font>
      <numFmt numFmtId="34" formatCode="_-&quot;$&quot;\ * #,##0.00_-;\-&quot;$&quot;\ * #,##0.00_-;_-&quot;$&quot;\ * &quot;-&quot;??_-;_-@_-"/>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border outline="0">
        <top style="hair">
          <color indexed="64"/>
        </top>
      </border>
    </dxf>
    <dxf>
      <border outline="0">
        <left style="medium">
          <color indexed="64"/>
        </left>
        <right style="hair">
          <color indexed="64"/>
        </right>
        <top style="thin">
          <color indexed="64"/>
        </top>
        <bottom style="hair">
          <color indexed="64"/>
        </bottom>
      </border>
    </dxf>
    <dxf>
      <border outline="0">
        <bottom style="hair">
          <color indexed="64"/>
        </bottom>
      </border>
    </dxf>
    <dxf>
      <font>
        <b val="0"/>
        <i/>
        <strike val="0"/>
        <condense val="0"/>
        <extend val="0"/>
        <outline val="0"/>
        <shadow val="0"/>
        <u val="none"/>
        <vertAlign val="baseline"/>
        <sz val="9"/>
        <color auto="1"/>
        <name val="Arial Narrow"/>
        <family val="2"/>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
      <numFmt numFmtId="12" formatCode="&quot;$&quot;\ #,##0.00;[Red]\-&quot;$&quot;\ #,##0.00"/>
    </dxf>
    <dxf>
      <font>
        <b val="0"/>
        <i/>
        <strike val="0"/>
        <condense val="0"/>
        <extend val="0"/>
        <outline val="0"/>
        <shadow val="0"/>
        <u val="none"/>
        <vertAlign val="baseline"/>
        <sz val="9"/>
        <color auto="1"/>
        <name val="Arial Narrow"/>
        <family val="2"/>
        <scheme val="none"/>
      </font>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val="0"/>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font>
        <b val="0"/>
        <i val="0"/>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font>
        <b val="0"/>
        <i val="0"/>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font>
        <b val="0"/>
        <i val="0"/>
        <strike val="0"/>
        <condense val="0"/>
        <extend val="0"/>
        <outline val="0"/>
        <shadow val="0"/>
        <u val="none"/>
        <vertAlign val="baseline"/>
        <sz val="9"/>
        <color auto="1"/>
        <name val="Arial Narrow"/>
        <family val="2"/>
        <scheme val="none"/>
      </font>
      <alignment horizontal="general" vertical="center" textRotation="0" wrapText="0" indent="0" justifyLastLine="0" shrinkToFit="0" readingOrder="0"/>
      <border diagonalUp="0" diagonalDown="0">
        <left/>
        <right/>
        <top style="hair">
          <color indexed="64"/>
        </top>
        <bottom style="hair">
          <color indexed="64"/>
        </bottom>
        <vertical/>
        <horizontal/>
      </border>
    </dxf>
    <dxf>
      <border outline="0">
        <top style="hair">
          <color indexed="64"/>
        </top>
      </border>
    </dxf>
    <dxf>
      <border outline="0">
        <left style="medium">
          <color indexed="64"/>
        </left>
        <right style="hair">
          <color indexed="64"/>
        </right>
        <top style="medium">
          <color indexed="64"/>
        </top>
        <bottom style="hair">
          <color indexed="64"/>
        </bottom>
      </border>
    </dxf>
    <dxf>
      <border outline="0">
        <bottom style="hair">
          <color indexed="64"/>
        </bottom>
      </border>
    </dxf>
    <dxf>
      <font>
        <b val="0"/>
        <i/>
        <strike val="0"/>
        <condense val="0"/>
        <extend val="0"/>
        <outline val="0"/>
        <shadow val="0"/>
        <u val="none"/>
        <vertAlign val="baseline"/>
        <sz val="9"/>
        <color auto="1"/>
        <name val="Arial Narrow"/>
        <family val="2"/>
        <scheme val="none"/>
      </font>
      <fill>
        <patternFill patternType="solid">
          <fgColor indexed="64"/>
          <bgColor theme="0" tint="-0.14999847407452621"/>
        </patternFill>
      </fill>
      <alignment horizontal="center" vertical="center" textRotation="0" wrapText="1" indent="0" justifyLastLine="0" shrinkToFit="0" readingOrder="0"/>
      <border diagonalUp="0" diagonalDown="0" outline="0">
        <left style="hair">
          <color indexed="64"/>
        </left>
        <right style="hair">
          <color indexed="64"/>
        </right>
        <top/>
        <bottom/>
      </border>
    </dxf>
    <dxf>
      <font>
        <b val="0"/>
        <i/>
        <strike val="0"/>
        <condense val="0"/>
        <extend val="0"/>
        <outline val="0"/>
        <shadow val="0"/>
        <u val="none"/>
        <vertAlign val="baseline"/>
        <sz val="9"/>
        <color auto="1"/>
        <name val="Arial Narrow"/>
        <scheme val="none"/>
      </font>
      <numFmt numFmtId="12" formatCode="&quot;$&quot;\ #,##0.00;[Red]\-&quot;$&quot;\ #,##0.00"/>
      <fill>
        <patternFill patternType="none">
          <fgColor indexed="64"/>
          <bgColor indexed="65"/>
        </patternFill>
      </fill>
      <alignment horizontal="center" vertical="center" textRotation="0" wrapText="0" indent="0" justifyLastLine="0" shrinkToFit="0" readingOrder="0"/>
      <border diagonalUp="0" diagonalDown="0" outline="0">
        <left style="hair">
          <color indexed="64"/>
        </left>
        <right/>
        <top style="hair">
          <color indexed="64"/>
        </top>
        <bottom style="hair">
          <color indexed="64"/>
        </bottom>
      </border>
    </dxf>
    <dxf>
      <font>
        <b val="0"/>
        <i/>
        <strike val="0"/>
        <condense val="0"/>
        <extend val="0"/>
        <outline val="0"/>
        <shadow val="0"/>
        <u val="none"/>
        <vertAlign val="baseline"/>
        <sz val="9"/>
        <color auto="1"/>
        <name val="Arial Narrow"/>
        <scheme val="none"/>
      </font>
      <numFmt numFmtId="172" formatCode="_-* #,##0.000_-;\-* #,##0.000_-;_-*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numFmt numFmtId="178" formatCode="&quot;$&quot;_-* #,##0.000_-;\-* #,##0.000_-;_-* &quot;-&quot;_-;_-@_-"/>
      <alignment horizontal="center" vertical="center" textRotation="0" wrapText="0"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family val="2"/>
        <scheme val="none"/>
      </font>
      <numFmt numFmtId="172" formatCode="_-* #,##0.000_-;\-* #,##0.000_-;_-* &quot;-&quot;_-;_-@_-"/>
      <fill>
        <patternFill patternType="none">
          <fgColor indexed="64"/>
          <bgColor indexed="65"/>
        </patternFill>
      </fill>
      <alignment horizontal="center" vertical="center" textRotation="0" wrapText="0" indent="0" justifyLastLine="0" shrinkToFit="0" readingOrder="0"/>
      <border diagonalUp="0" diagonalDown="0">
        <left style="hair">
          <color indexed="64"/>
        </left>
        <right style="hair">
          <color indexed="64"/>
        </right>
        <top style="hair">
          <color indexed="64"/>
        </top>
        <bottom/>
        <vertical/>
        <horizontal/>
      </border>
    </dxf>
    <dxf>
      <font>
        <b val="0"/>
        <i/>
        <strike val="0"/>
        <condense val="0"/>
        <extend val="0"/>
        <outline val="0"/>
        <shadow val="0"/>
        <u val="none"/>
        <vertAlign val="baseline"/>
        <sz val="9"/>
        <color auto="1"/>
        <name val="Arial Narrow"/>
        <scheme val="none"/>
      </font>
      <alignment horizontal="general" vertical="center" textRotation="0" wrapText="1"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1" indent="0" justifyLastLine="0" shrinkToFit="0" readingOrder="0"/>
      <border diagonalUp="0" diagonalDown="0">
        <left style="hair">
          <color indexed="64"/>
        </left>
        <right style="hair">
          <color indexed="64"/>
        </right>
        <top style="hair">
          <color indexed="64"/>
        </top>
        <bottom style="hair">
          <color indexed="64"/>
        </bottom>
        <vertical/>
        <horizontal/>
      </border>
    </dxf>
    <dxf>
      <font>
        <b val="0"/>
        <i/>
        <strike val="0"/>
        <condense val="0"/>
        <extend val="0"/>
        <outline val="0"/>
        <shadow val="0"/>
        <u val="none"/>
        <vertAlign val="baseline"/>
        <sz val="9"/>
        <color auto="1"/>
        <name val="Arial Narrow"/>
        <scheme val="none"/>
      </font>
      <alignment horizontal="general" vertical="center" textRotation="0" wrapText="0" indent="0" justifyLastLine="0" shrinkToFit="0" readingOrder="0"/>
      <border diagonalUp="0" diagonalDown="0">
        <left/>
        <right style="hair">
          <color indexed="64"/>
        </right>
        <top style="hair">
          <color indexed="64"/>
        </top>
        <bottom style="hair">
          <color indexed="64"/>
        </bottom>
        <vertical/>
        <horizontal/>
      </border>
    </dxf>
    <dxf>
      <border outline="0">
        <top style="hair">
          <color rgb="FF000000"/>
        </top>
      </border>
    </dxf>
    <dxf>
      <border outline="0">
        <left style="medium">
          <color rgb="FF000000"/>
        </left>
        <right style="hair">
          <color rgb="FF000000"/>
        </right>
        <top style="thin">
          <color rgb="FF000000"/>
        </top>
        <bottom style="hair">
          <color rgb="FF000000"/>
        </bottom>
      </border>
    </dxf>
    <dxf>
      <border outline="0">
        <bottom style="hair">
          <color rgb="FF000000"/>
        </bottom>
      </border>
    </dxf>
    <dxf>
      <font>
        <b val="0"/>
        <i/>
        <strike val="0"/>
        <condense val="0"/>
        <extend val="0"/>
        <outline val="0"/>
        <shadow val="0"/>
        <u val="none"/>
        <vertAlign val="baseline"/>
        <sz val="9"/>
        <color auto="1"/>
        <name val="Arial Narrow"/>
        <scheme val="none"/>
      </font>
      <fill>
        <patternFill patternType="solid">
          <fgColor indexed="64"/>
          <bgColor theme="0" tint="-0.14999847407452621"/>
        </patternFill>
      </fill>
      <alignment horizontal="center" vertical="center" textRotation="0" wrapText="0" indent="0" justifyLastLine="0" shrinkToFit="0" readingOrder="0"/>
      <border diagonalUp="0" diagonalDown="0" outline="0">
        <left style="hair">
          <color indexed="64"/>
        </left>
        <right style="hair">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microsoft.com/office/2017/06/relationships/rdRichValueTypes" Target="richData/rdRichValueTyp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microsoft.com/office/2017/06/relationships/rdRichValueStructure" Target="richData/rdrichvaluestructure.xml"/><Relationship Id="rId2" Type="http://schemas.openxmlformats.org/officeDocument/2006/relationships/worksheet" Target="worksheets/sheet2.xml"/><Relationship Id="rId16" Type="http://schemas.microsoft.com/office/2017/06/relationships/rdRichValue" Target="richData/rdrichvalue.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22/10/relationships/richValueRel" Target="richData/richValueRel.xml"/><Relationship Id="rId10" Type="http://schemas.microsoft.com/office/2007/relationships/slicerCache" Target="slicerCaches/slicerCache1.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eetMetadata" Target="metadata.xml"/></Relationships>
</file>

<file path=xl/drawings/_rels/drawing2.xml.rels><?xml version="1.0" encoding="UTF-8" standalone="yes"?>
<Relationships xmlns="http://schemas.openxmlformats.org/package/2006/relationships"><Relationship Id="rId1" Type="http://schemas.openxmlformats.org/officeDocument/2006/relationships/image" Target="../media/image5.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13</xdr:col>
      <xdr:colOff>22860</xdr:colOff>
      <xdr:row>0</xdr:row>
      <xdr:rowOff>45720</xdr:rowOff>
    </xdr:from>
    <xdr:to>
      <xdr:col>13</xdr:col>
      <xdr:colOff>1120140</xdr:colOff>
      <xdr:row>2</xdr:row>
      <xdr:rowOff>7620</xdr:rowOff>
    </xdr:to>
    <xdr:sp macro="[0]!EjecutarMacroSegunCelda" textlink="">
      <xdr:nvSpPr>
        <xdr:cNvPr id="2" name="Rectangle: Rounded Corners 1">
          <a:extLst>
            <a:ext uri="{FF2B5EF4-FFF2-40B4-BE49-F238E27FC236}">
              <a16:creationId xmlns:a16="http://schemas.microsoft.com/office/drawing/2014/main" id="{674C5083-87A9-BAE9-7605-E0960C272740}"/>
            </a:ext>
          </a:extLst>
        </xdr:cNvPr>
        <xdr:cNvSpPr/>
      </xdr:nvSpPr>
      <xdr:spPr>
        <a:xfrm>
          <a:off x="7216140" y="45720"/>
          <a:ext cx="1097280" cy="541020"/>
        </a:xfrm>
        <a:prstGeom prst="roundRect">
          <a:avLst/>
        </a:prstGeom>
        <a:solidFill>
          <a:schemeClr val="bg1">
            <a:lumMod val="65000"/>
          </a:schemeClr>
        </a:solidFill>
        <a:ln>
          <a:solidFill>
            <a:schemeClr val="tx2"/>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900">
              <a:solidFill>
                <a:sysClr val="windowText" lastClr="000000"/>
              </a:solidFill>
            </a:rPr>
            <a:t>Añadir</a:t>
          </a:r>
          <a:r>
            <a:rPr lang="es-CO" sz="900" baseline="0">
              <a:solidFill>
                <a:sysClr val="windowText" lastClr="000000"/>
              </a:solidFill>
            </a:rPr>
            <a:t> un (1) ítem al presupuesto</a:t>
          </a:r>
          <a:endParaRPr lang="es-CO" sz="900">
            <a:solidFill>
              <a:sysClr val="windowText" lastClr="000000"/>
            </a:solidFill>
          </a:endParaRPr>
        </a:p>
      </xdr:txBody>
    </xdr:sp>
    <xdr:clientData/>
  </xdr:twoCellAnchor>
  <xdr:twoCellAnchor>
    <xdr:from>
      <xdr:col>13</xdr:col>
      <xdr:colOff>1211580</xdr:colOff>
      <xdr:row>0</xdr:row>
      <xdr:rowOff>38100</xdr:rowOff>
    </xdr:from>
    <xdr:to>
      <xdr:col>13</xdr:col>
      <xdr:colOff>2598420</xdr:colOff>
      <xdr:row>4</xdr:row>
      <xdr:rowOff>0</xdr:rowOff>
    </xdr:to>
    <xdr:sp macro="[0]!BuscarYEliminarFilas" textlink="">
      <xdr:nvSpPr>
        <xdr:cNvPr id="6" name="Rectangle: Rounded Corners 5">
          <a:extLst>
            <a:ext uri="{FF2B5EF4-FFF2-40B4-BE49-F238E27FC236}">
              <a16:creationId xmlns:a16="http://schemas.microsoft.com/office/drawing/2014/main" id="{09F049B6-508C-4C16-9823-B187780DA9C1}"/>
            </a:ext>
          </a:extLst>
        </xdr:cNvPr>
        <xdr:cNvSpPr/>
      </xdr:nvSpPr>
      <xdr:spPr>
        <a:xfrm>
          <a:off x="8404860" y="38100"/>
          <a:ext cx="1386840" cy="929640"/>
        </a:xfrm>
        <a:prstGeom prst="roundRect">
          <a:avLst/>
        </a:prstGeom>
        <a:solidFill>
          <a:schemeClr val="bg2">
            <a:lumMod val="75000"/>
          </a:schemeClr>
        </a:solidFill>
        <a:ln w="25400" cap="flat" cmpd="sng" algn="ctr">
          <a:solidFill>
            <a:srgbClr val="4472C4">
              <a:shade val="15000"/>
            </a:srgbClr>
          </a:solidFill>
          <a:prstDash val="solid"/>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CO" sz="900" b="0" i="0" u="none" strike="noStrike" kern="0" cap="none" spc="0" normalizeH="0" baseline="0" noProof="0">
              <a:ln>
                <a:noFill/>
              </a:ln>
              <a:solidFill>
                <a:sysClr val="windowText" lastClr="000000"/>
              </a:solidFill>
              <a:effectLst/>
              <a:uLnTx/>
              <a:uFillTx/>
              <a:latin typeface="Aptos Narrow" panose="02110004020202020204"/>
              <a:ea typeface="+mn-ea"/>
              <a:cs typeface="+mn-cs"/>
            </a:rPr>
            <a:t>Eliminar un item</a:t>
          </a:r>
          <a:br>
            <a:rPr kumimoji="0" lang="es-CO" sz="900" b="0" i="0" u="none" strike="noStrike" kern="0" cap="none" spc="0" normalizeH="0" baseline="0" noProof="0">
              <a:ln>
                <a:noFill/>
              </a:ln>
              <a:solidFill>
                <a:sysClr val="windowText" lastClr="000000"/>
              </a:solidFill>
              <a:effectLst/>
              <a:uLnTx/>
              <a:uFillTx/>
              <a:latin typeface="Aptos Narrow" panose="02110004020202020204"/>
              <a:ea typeface="+mn-ea"/>
              <a:cs typeface="+mn-cs"/>
            </a:rPr>
          </a:br>
          <a:br>
            <a:rPr kumimoji="0" lang="es-CO" sz="900" b="0" i="0" u="none" strike="noStrike" kern="0" cap="none" spc="0" normalizeH="0" baseline="0" noProof="0">
              <a:ln>
                <a:noFill/>
              </a:ln>
              <a:solidFill>
                <a:sysClr val="windowText" lastClr="000000"/>
              </a:solidFill>
              <a:effectLst/>
              <a:uLnTx/>
              <a:uFillTx/>
              <a:latin typeface="Aptos Narrow" panose="02110004020202020204"/>
              <a:ea typeface="+mn-ea"/>
              <a:cs typeface="+mn-cs"/>
            </a:rPr>
          </a:br>
          <a:r>
            <a:rPr kumimoji="0" lang="es-CO" sz="900" b="0" i="0" u="none" strike="noStrike" kern="0" cap="none" spc="0" normalizeH="0" baseline="0" noProof="0">
              <a:ln>
                <a:noFill/>
              </a:ln>
              <a:solidFill>
                <a:sysClr val="windowText" lastClr="000000"/>
              </a:solidFill>
              <a:effectLst/>
              <a:uLnTx/>
              <a:uFillTx/>
              <a:latin typeface="Aptos Narrow" panose="02110004020202020204"/>
              <a:ea typeface="+mn-ea"/>
              <a:cs typeface="+mn-cs"/>
            </a:rPr>
            <a:t>(Para eliminar un elemento seleccionar la celda de la columna B del item)</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812800</xdr:colOff>
      <xdr:row>98</xdr:row>
      <xdr:rowOff>169498</xdr:rowOff>
    </xdr:from>
    <xdr:to>
      <xdr:col>5</xdr:col>
      <xdr:colOff>1236980</xdr:colOff>
      <xdr:row>107</xdr:row>
      <xdr:rowOff>117942</xdr:rowOff>
    </xdr:to>
    <xdr:pic>
      <xdr:nvPicPr>
        <xdr:cNvPr id="12" name="Picture 11">
          <a:extLst>
            <a:ext uri="{FF2B5EF4-FFF2-40B4-BE49-F238E27FC236}">
              <a16:creationId xmlns:a16="http://schemas.microsoft.com/office/drawing/2014/main" id="{37B563F9-FFCD-331A-A227-1AFD2C4EFCDD}"/>
            </a:ext>
          </a:extLst>
        </xdr:cNvPr>
        <xdr:cNvPicPr>
          <a:picLocks noChangeAspect="1"/>
        </xdr:cNvPicPr>
      </xdr:nvPicPr>
      <xdr:blipFill>
        <a:blip xmlns:r="http://schemas.openxmlformats.org/officeDocument/2006/relationships" r:embed="rId1"/>
        <a:stretch>
          <a:fillRect/>
        </a:stretch>
      </xdr:blipFill>
      <xdr:spPr>
        <a:xfrm>
          <a:off x="3568700" y="19524298"/>
          <a:ext cx="2298700" cy="154864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7</xdr:col>
      <xdr:colOff>280370</xdr:colOff>
      <xdr:row>11</xdr:row>
      <xdr:rowOff>87619</xdr:rowOff>
    </xdr:from>
    <xdr:to>
      <xdr:col>12</xdr:col>
      <xdr:colOff>245987</xdr:colOff>
      <xdr:row>103</xdr:row>
      <xdr:rowOff>155349</xdr:rowOff>
    </xdr:to>
    <mc:AlternateContent xmlns:mc="http://schemas.openxmlformats.org/markup-compatibility/2006" xmlns:sle15="http://schemas.microsoft.com/office/drawing/2012/slicer">
      <mc:Choice Requires="sle15">
        <xdr:graphicFrame macro="">
          <xdr:nvGraphicFramePr>
            <xdr:cNvPr id="5" name="CANTIDAD">
              <a:extLst>
                <a:ext uri="{FF2B5EF4-FFF2-40B4-BE49-F238E27FC236}">
                  <a16:creationId xmlns:a16="http://schemas.microsoft.com/office/drawing/2014/main" id="{133249E8-7375-10C4-581F-D09ABFF44351}"/>
                </a:ext>
              </a:extLst>
            </xdr:cNvPr>
            <xdr:cNvGraphicFramePr/>
          </xdr:nvGraphicFramePr>
          <xdr:xfrm>
            <a:off x="0" y="0"/>
            <a:ext cx="0" cy="0"/>
          </xdr:xfrm>
          <a:graphic>
            <a:graphicData uri="http://schemas.microsoft.com/office/drawing/2010/slicer">
              <sle:slicer xmlns:sle="http://schemas.microsoft.com/office/drawing/2010/slicer" name="CANTIDAD"/>
            </a:graphicData>
          </a:graphic>
        </xdr:graphicFrame>
      </mc:Choice>
      <mc:Fallback xmlns="">
        <xdr:sp macro="" textlink="">
          <xdr:nvSpPr>
            <xdr:cNvPr id="0" name=""/>
            <xdr:cNvSpPr>
              <a:spLocks noTextEdit="1"/>
            </xdr:cNvSpPr>
          </xdr:nvSpPr>
          <xdr:spPr>
            <a:xfrm>
              <a:off x="8244647" y="489276"/>
              <a:ext cx="3936280" cy="1020230"/>
            </a:xfrm>
            <a:prstGeom prst="rect">
              <a:avLst/>
            </a:prstGeom>
            <a:solidFill>
              <a:prstClr val="white"/>
            </a:solidFill>
            <a:ln w="1">
              <a:solidFill>
                <a:prstClr val="green"/>
              </a:solidFill>
            </a:ln>
          </xdr:spPr>
          <xdr:txBody>
            <a:bodyPr vertOverflow="clip" horzOverflow="clip"/>
            <a:lstStyle/>
            <a:p>
              <a:r>
                <a:rPr lang="es-CO"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wsDr>
</file>

<file path=xl/richData/_rels/richValueRel.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3">
  <rv s="0">
    <v>0</v>
    <v>5</v>
  </rv>
  <rv s="0">
    <v>1</v>
    <v>5</v>
  </rv>
  <rv s="0">
    <v>2</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el r:id="rId3"/>
</richValueRels>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CANTIDAD" xr10:uid="{E435AF4A-FD48-46C1-83C5-2334CD5A3CA4}" sourceName="CANTIDAD">
  <extLst>
    <x:ext xmlns:x15="http://schemas.microsoft.com/office/spreadsheetml/2010/11/main" uri="{2F2917AC-EB37-4324-AD4E-5DD8C200BD13}">
      <x15:tableSlicerCache tableId="28" column="5"/>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CANTIDAD" xr10:uid="{0BEA89D9-B69B-4F19-A0F3-E718BAD064D1}" cache="Slicer_CANTIDAD" caption="CANTIDAD" columnCount="4" style="SlicerStyleOther1" rowHeight="24765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CDCD46C2-C4B2-4A1F-8A34-C2D02A36DB35}" name="MATERIALES_1" displayName="MATERIALES_1" ref="A16:G27" totalsRowShown="0" headerRowDxfId="551" headerRowBorderDxfId="550" tableBorderDxfId="549" totalsRowBorderDxfId="548">
  <tableColumns count="7">
    <tableColumn id="1" xr3:uid="{03604E56-10CB-48DC-8100-D4C426AFAD32}" name="Descripcion" dataDxfId="547"/>
    <tableColumn id="2" xr3:uid="{4C37D978-DC65-4D43-9779-A91E6951C8FD}" name="Columna1" dataDxfId="546"/>
    <tableColumn id="3" xr3:uid="{2507164A-0E76-493F-8E15-82724A405E4B}" name="Columna2" dataDxfId="545"/>
    <tableColumn id="4" xr3:uid="{AD0A8DE8-5555-465B-A126-1F96C8DE3500}" name="Unid." dataDxfId="544" dataCellStyle="Millares [0] 3">
      <calculatedColumnFormula>IFERROR(VLOOKUP(MATERIALES_1[[#This Row],[Descripcion]],INSUM_[#All],2,FALSE),"")</calculatedColumnFormula>
    </tableColumn>
    <tableColumn id="5" xr3:uid="{689D41FA-0AD1-4F95-9030-F3437B1FC546}" name="Precio Unit." dataDxfId="543">
      <calculatedColumnFormula>IFERROR(VLOOKUP(MATERIALES_1[[#This Row],[Descripcion]],INSUM_[#All],3,FALSE),"")</calculatedColumnFormula>
    </tableColumn>
    <tableColumn id="6" xr3:uid="{CE0D52A7-0E77-42F2-A104-CA084C42BDC0}" name="Cantidad" dataDxfId="542" dataCellStyle="Millares [0] 3"/>
    <tableColumn id="7" xr3:uid="{ECD3CAB6-E298-4C3B-A5DB-4BFE791EBDB7}" name="Vr. Unitario" dataDxfId="541" dataCellStyle="Millares 3 2">
      <calculatedColumnFormula>+IFERROR(E17*F17,"")</calculatedColumnFormula>
    </tableColumn>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5FC2E61E-A212-44CA-9092-95BB700B00B4}" name="EQUIPOS_1" displayName="EQUIPOS_1" ref="A9:G13" totalsRowShown="0" headerRowDxfId="540" headerRowBorderDxfId="539" tableBorderDxfId="538" totalsRowBorderDxfId="537" headerRowCellStyle="Normal 3 2">
  <autoFilter ref="A9:G13" xr:uid="{5FC2E61E-A212-44CA-9092-95BB700B00B4}">
    <filterColumn colId="0" hiddenButton="1"/>
    <filterColumn colId="1" hiddenButton="1"/>
    <filterColumn colId="2" hiddenButton="1"/>
    <filterColumn colId="3" hiddenButton="1"/>
    <filterColumn colId="4" hiddenButton="1"/>
    <filterColumn colId="5" hiddenButton="1"/>
    <filterColumn colId="6" hiddenButton="1"/>
  </autoFilter>
  <tableColumns count="7">
    <tableColumn id="1" xr3:uid="{347DD8E7-249C-4D4D-818A-F1AD1B8CD14A}" name="Descripción" dataDxfId="536"/>
    <tableColumn id="2" xr3:uid="{A93FC668-3436-40D0-BAAF-E1235C36D28B}" name="Column1" dataDxfId="535"/>
    <tableColumn id="3" xr3:uid="{9A4C12F8-5E2F-4E38-B48F-02CABA86C14B}" name="Column2" dataDxfId="534"/>
    <tableColumn id="4" xr3:uid="{2B023C37-2EF7-4B01-9CF8-C11B33FBBF5C}" name="Column3" dataDxfId="533"/>
    <tableColumn id="5" xr3:uid="{CBA80EE9-9C5F-4A57-9896-106DB97FEDC1}" name="Tarifa" dataDxfId="532"/>
    <tableColumn id="6" xr3:uid="{3135EB36-DC8F-4F24-A702-A8DCFE6DD441}" name="Rendimiento"/>
    <tableColumn id="7" xr3:uid="{AE432A46-F35D-4709-8103-BAA73AF63271}" name="Valor Parcial" dataDxfId="531"/>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61895C1E-D132-4C43-9515-61CFF790C7ED}" name="TRANS_1" displayName="TRANS_1" ref="A30:G32" totalsRowShown="0" headerRowDxfId="530" headerRowBorderDxfId="529" tableBorderDxfId="528" totalsRowBorderDxfId="527">
  <autoFilter ref="A30:G32" xr:uid="{61895C1E-D132-4C43-9515-61CFF790C7ED}">
    <filterColumn colId="0" hiddenButton="1"/>
    <filterColumn colId="1" hiddenButton="1"/>
    <filterColumn colId="2" hiddenButton="1"/>
    <filterColumn colId="3" hiddenButton="1"/>
    <filterColumn colId="4" hiddenButton="1"/>
    <filterColumn colId="5" hiddenButton="1"/>
    <filterColumn colId="6" hiddenButton="1"/>
  </autoFilter>
  <tableColumns count="7">
    <tableColumn id="1" xr3:uid="{B9DF45F6-BDBD-413E-8069-36E613E51AF8}" name="Descripción" dataDxfId="526" dataCellStyle="Normal 3 2"/>
    <tableColumn id="2" xr3:uid="{7338D538-F1CF-4AE4-B8C3-D251549250A7}" name="Columna1" dataDxfId="525" dataCellStyle="Normal 3 2"/>
    <tableColumn id="3" xr3:uid="{D5B448B1-FB90-484A-BF2C-419B68143291}" name="Distancia Km." dataDxfId="524" dataCellStyle="Normal 3 2"/>
    <tableColumn id="4" xr3:uid="{A92EB0E1-1BB7-4BF6-AE95-2FF11E1E8770}" name="Vol o Peso"/>
    <tableColumn id="5" xr3:uid="{D511D7C4-C296-4F9D-83E1-9C4B42098380}" name="Tarifa" dataDxfId="523">
      <calculatedColumnFormula>1.0953*500</calculatedColumnFormula>
    </tableColumn>
    <tableColumn id="6" xr3:uid="{83E01B26-E3AF-4337-8F8B-C42D5EE10921}" name="Cantidad"/>
    <tableColumn id="7" xr3:uid="{0429FA9D-4CC8-4A49-BA53-5A65DD777696}" name="Vr. Unitario" dataDxfId="522" dataCellStyle="Normal 3 2">
      <calculatedColumnFormula>E31*F31*D31</calculatedColumnFormula>
    </tableColumn>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A9ED7008-EA3C-4188-8923-8CFB420E1CC7}" name="MO_1" displayName="MO_1" ref="A35:G37" totalsRowShown="0" headerRowDxfId="521" headerRowBorderDxfId="520" tableBorderDxfId="519" totalsRowBorderDxfId="518">
  <autoFilter ref="A35:G37" xr:uid="{A9ED7008-EA3C-4188-8923-8CFB420E1CC7}">
    <filterColumn colId="0" hiddenButton="1"/>
    <filterColumn colId="1" hiddenButton="1"/>
    <filterColumn colId="2" hiddenButton="1"/>
    <filterColumn colId="3" hiddenButton="1"/>
    <filterColumn colId="4" hiddenButton="1"/>
    <filterColumn colId="5" hiddenButton="1"/>
    <filterColumn colId="6" hiddenButton="1"/>
  </autoFilter>
  <tableColumns count="7">
    <tableColumn id="1" xr3:uid="{C2722457-69CB-4A13-86C4-D2EB5DD775EE}" name="Descripción" dataDxfId="517" dataCellStyle="Normal 3 2"/>
    <tableColumn id="2" xr3:uid="{D7B74E73-A03F-42A9-B86B-4DEEB55D7C2F}" name="Cant" dataDxfId="516" dataCellStyle="Normal 3 2"/>
    <tableColumn id="3" xr3:uid="{46E65EF0-8897-4E01-B4B6-A87F44DDC9D5}" name="Jornal" dataDxfId="515" dataCellStyle="Moneda [0] 5"/>
    <tableColumn id="4" xr3:uid="{496D9C13-0E79-4034-9E31-AD16560702AA}" name="Prestaciones" dataDxfId="514" dataCellStyle="Normal 3 2"/>
    <tableColumn id="5" xr3:uid="{8B93DA03-785A-47F9-8B58-67EFF032CE13}" name="Jornal Total" dataDxfId="513">
      <calculatedColumnFormula>B36*C36*(D36)</calculatedColumnFormula>
    </tableColumn>
    <tableColumn id="6" xr3:uid="{343DB024-C3F3-4894-926A-9E97E244016D}" name="Rendimiento" dataDxfId="512" dataCellStyle="Normal 3 2">
      <calculatedColumnFormula>0.2/8</calculatedColumnFormula>
    </tableColumn>
    <tableColumn id="7" xr3:uid="{CD886920-8CD6-4A57-9EC0-A1F5B3431422}" name="Valor Parcial" dataDxfId="511" dataCellStyle="Millares 3 2">
      <calculatedColumnFormula>E36*F36</calculatedColumnFormula>
    </tableColumn>
  </tableColumns>
  <tableStyleInfo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62869BDD-0D29-4927-9E37-9607D2587BA4}" name="MATERIALES_03522" displayName="MATERIALES_03522" ref="A66:G77" totalsRowShown="0" headerRowDxfId="510" headerRowBorderDxfId="509" tableBorderDxfId="508" totalsRowBorderDxfId="507">
  <tableColumns count="7">
    <tableColumn id="1" xr3:uid="{0FD44C6C-CC5C-4193-80F2-01EDB2FBB9C2}" name="Descripcion" dataDxfId="506"/>
    <tableColumn id="2" xr3:uid="{C241B408-F1F0-4AE4-B841-2DAD6F4D637F}" name="Columna1" dataDxfId="505"/>
    <tableColumn id="3" xr3:uid="{139B12A0-AD64-49CF-8E0F-033EC1231407}" name="Columna2" dataDxfId="504"/>
    <tableColumn id="4" xr3:uid="{27FEF668-3170-444A-A9C9-8C8AB3EED277}" name="Unid." dataDxfId="503" dataCellStyle="Millares [0] 3">
      <calculatedColumnFormula>IFERROR(VLOOKUP(MATERIALES_03522[[#This Row],[Descripcion]],INSUM_[#All],2,FALSE),"")</calculatedColumnFormula>
    </tableColumn>
    <tableColumn id="5" xr3:uid="{AE116BB4-C525-4C7A-B472-67CC0CADDA33}" name="Precio Unit." dataDxfId="502" dataCellStyle="Millares [0] 3">
      <calculatedColumnFormula>IFERROR(VLOOKUP(MATERIALES_03522[[#This Row],[Descripcion]],INSUM_[#All],3,FALSE),"")</calculatedColumnFormula>
    </tableColumn>
    <tableColumn id="6" xr3:uid="{C6A78D6A-97AC-444C-8AE8-FF1AEBA5AA0D}" name="Cantidad" dataDxfId="501" dataCellStyle="Millares [0] 3"/>
    <tableColumn id="7" xr3:uid="{554E9EF6-7852-4797-BBC6-5517FCC83848}" name="Vr. Unitario" dataDxfId="500" dataCellStyle="Millares 3 2">
      <calculatedColumnFormula>+IFERROR(E67*F67,"")</calculatedColumnFormula>
    </tableColumn>
  </tableColumns>
  <tableStyleInfo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7EC5FFEE-EE16-476C-B298-45974E1C5B68}" name="EQUIPOS_03623" displayName="EQUIPOS_03623" ref="A59:G63" totalsRowShown="0" headerRowDxfId="499" headerRowBorderDxfId="498" tableBorderDxfId="497" totalsRowBorderDxfId="496" headerRowCellStyle="Normal 3 2">
  <autoFilter ref="A59:G63" xr:uid="{7EC5FFEE-EE16-476C-B298-45974E1C5B68}"/>
  <tableColumns count="7">
    <tableColumn id="1" xr3:uid="{FCB6CD3C-9009-45D8-933C-A63CE65D46A9}" name="Descripción" dataDxfId="495"/>
    <tableColumn id="2" xr3:uid="{EC32614A-9A8E-401F-9127-7241AB70D7EA}" name="Column1" dataDxfId="494"/>
    <tableColumn id="3" xr3:uid="{05C4D042-7160-4396-8D85-530E6AEE5BE5}" name="Column2" dataDxfId="493"/>
    <tableColumn id="4" xr3:uid="{11527DC4-33AB-4C42-BA95-F7B4C73E153E}" name="Column3" dataDxfId="492"/>
    <tableColumn id="5" xr3:uid="{97FC28E1-0683-431A-8E2A-F0573843F7A7}" name="Tarifa" dataDxfId="491"/>
    <tableColumn id="6" xr3:uid="{F29DB5FF-40CB-4D15-A8FC-8C2394292E8E}" name="Rendimiento"/>
    <tableColumn id="7" xr3:uid="{15D56758-2765-4B7F-9976-8055621D5DD1}" name="Valor Parcial" dataDxfId="490"/>
  </tableColumns>
  <tableStyleInfo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EF383FEC-FC2B-449E-85BD-A415ACE1A663}" name="TRANS_03724" displayName="TRANS_03724" ref="A80:G82" totalsRowShown="0" headerRowDxfId="489" headerRowBorderDxfId="488" tableBorderDxfId="487" totalsRowBorderDxfId="486">
  <autoFilter ref="A80:G82" xr:uid="{EF383FEC-FC2B-449E-85BD-A415ACE1A663}"/>
  <tableColumns count="7">
    <tableColumn id="1" xr3:uid="{4A594670-DD31-4E42-9056-58FEB1B49C1A}" name="Descripción" dataDxfId="485" dataCellStyle="Normal 3 2"/>
    <tableColumn id="2" xr3:uid="{9E4A1D5E-C1D2-4BDE-B557-056EF4BB4FF6}" name="Columna1" dataDxfId="484" dataCellStyle="Normal 3 2"/>
    <tableColumn id="3" xr3:uid="{91CF95E1-7C09-42E0-AB41-D9162C51C1AC}" name="Distancia Km." dataDxfId="483" dataCellStyle="Normal 3 2"/>
    <tableColumn id="4" xr3:uid="{36A47C03-2CA1-406D-AEA8-401F1D9A50B8}" name="Vol o Peso"/>
    <tableColumn id="5" xr3:uid="{5CCFF2D5-533C-49C2-A971-E2876738B06C}" name="Tarifa" dataDxfId="482">
      <calculatedColumnFormula>1.0953*500</calculatedColumnFormula>
    </tableColumn>
    <tableColumn id="6" xr3:uid="{F978B6C2-343B-40E5-BF46-AEDE541CA2C2}" name="Cantidad"/>
    <tableColumn id="7" xr3:uid="{6E60501F-D413-499B-945A-5158C958DABD}" name="Vr. Unitario" dataDxfId="481" dataCellStyle="Normal 3 2">
      <calculatedColumnFormula>E81*F81*D81</calculatedColumnFormula>
    </tableColumn>
  </tableColumns>
  <tableStyleInfo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5EC9D2C0-7D8A-4689-B4DA-9C816E54DFC4}" name="MO_03825" displayName="MO_03825" ref="A85:G87" totalsRowShown="0" headerRowDxfId="480" headerRowBorderDxfId="479" tableBorderDxfId="478" totalsRowBorderDxfId="477">
  <autoFilter ref="A85:G87" xr:uid="{5EC9D2C0-7D8A-4689-B4DA-9C816E54DFC4}"/>
  <tableColumns count="7">
    <tableColumn id="1" xr3:uid="{AFC4C9EC-095A-42DA-B84D-39DBE390AB68}" name="Descripción" dataDxfId="476" dataCellStyle="Normal 3 2"/>
    <tableColumn id="2" xr3:uid="{2A848C4A-F686-4B17-AD31-2DAC0143181B}" name="Cant" dataDxfId="475" dataCellStyle="Normal 3 2"/>
    <tableColumn id="3" xr3:uid="{5299EB37-BB97-4CFA-854B-1E5F99F2BD85}" name="Jornal" dataDxfId="474" dataCellStyle="Moneda [0] 5"/>
    <tableColumn id="4" xr3:uid="{699047E5-A13D-4425-B37B-AACFDF150671}" name="Prestaciones" dataDxfId="473" dataCellStyle="Normal 3 2"/>
    <tableColumn id="5" xr3:uid="{A1FDCB1B-8E57-4FFD-B426-8B726A7445AE}" name="Jornal Total" dataDxfId="472">
      <calculatedColumnFormula>B86*C86*(D86)</calculatedColumnFormula>
    </tableColumn>
    <tableColumn id="6" xr3:uid="{27A4272F-68AD-4C2C-842C-A09D3C8C0A81}" name="Rendimiento" dataDxfId="471" dataCellStyle="Normal 3 2">
      <calculatedColumnFormula>F85</calculatedColumnFormula>
    </tableColumn>
    <tableColumn id="7" xr3:uid="{FEE737F5-58C9-47CD-8FE0-CD77E0665282}" name="Valor Parcial" dataDxfId="470" dataCellStyle="Millares 3 2">
      <calculatedColumnFormula>E86*F86</calculatedColumnFormula>
    </tableColumn>
  </tableColumns>
  <tableStyleInfo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6624FBBF-4721-45AB-9D25-E8B987D7831F}" name="MATERIALES_0353" displayName="MATERIALES_0353" ref="A116:G127" totalsRowShown="0" headerRowDxfId="469" headerRowBorderDxfId="468" tableBorderDxfId="467" totalsRowBorderDxfId="466">
  <tableColumns count="7">
    <tableColumn id="1" xr3:uid="{9B84D820-8296-4742-88B8-2F5D456F6147}" name="Descripcion" dataDxfId="465"/>
    <tableColumn id="2" xr3:uid="{7B027685-6EBC-4FC7-94D2-2759131E451F}" name="Columna1" dataDxfId="464"/>
    <tableColumn id="3" xr3:uid="{5C295518-A0BA-4A2A-9E7D-E49A32B9EA99}" name="Columna2" dataDxfId="463"/>
    <tableColumn id="4" xr3:uid="{325FAD46-02DA-43A2-8DD9-CED97B018449}" name="Unid." dataDxfId="462" dataCellStyle="Millares [0] 3">
      <calculatedColumnFormula>IFERROR(VLOOKUP(MATERIALES_0353[[#This Row],[Descripcion]],INSUM_[#All],2,FALSE),"")</calculatedColumnFormula>
    </tableColumn>
    <tableColumn id="5" xr3:uid="{BDF61C49-32C7-4E73-9136-5FC3C023E3B3}" name="Precio Unit." dataDxfId="461">
      <calculatedColumnFormula>IFERROR(VLOOKUP(MATERIALES_0353[[#This Row],[Descripcion]],INSUM_[#All],3,FALSE),"")</calculatedColumnFormula>
    </tableColumn>
    <tableColumn id="6" xr3:uid="{56A4575D-77A5-4145-98DC-FA8A68B52E30}" name="Cantidad" dataDxfId="460" dataCellStyle="Millares [0] 3"/>
    <tableColumn id="7" xr3:uid="{1EB3516C-FAF3-4DC9-A31E-5034C09D7CE6}" name="Vr. Unitario" dataDxfId="459" dataCellStyle="Millares 3 2">
      <calculatedColumnFormula>+IFERROR(E117*F117,"")</calculatedColumnFormula>
    </tableColumn>
  </tableColumns>
  <tableStyleInfo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867FC36-9D7E-4CD1-BB30-262A9968CB88}" name="EQUIPOS_0364" displayName="EQUIPOS_0364" ref="A109:G113" totalsRowShown="0" headerRowDxfId="458" headerRowBorderDxfId="457" tableBorderDxfId="456" totalsRowBorderDxfId="455" headerRowCellStyle="Normal 3 2">
  <autoFilter ref="A109:G113" xr:uid="{0867FC36-9D7E-4CD1-BB30-262A9968CB88}"/>
  <tableColumns count="7">
    <tableColumn id="1" xr3:uid="{BEB45BFE-351F-4A03-8E8D-2D2BEE9583BA}" name="Descripción" dataDxfId="454"/>
    <tableColumn id="2" xr3:uid="{4A5227B6-972B-413A-A922-F79F1C5C1F34}" name="Column1" dataDxfId="453"/>
    <tableColumn id="3" xr3:uid="{2A8C0CB4-44EB-4A35-BF7E-252AED461C4E}" name="Column2" dataDxfId="452"/>
    <tableColumn id="4" xr3:uid="{4F4FB888-9B13-4F62-99C6-CFC0F1057986}" name="Column3" dataDxfId="451"/>
    <tableColumn id="5" xr3:uid="{A8014EBB-EE67-4C32-9A8C-C9AB219F7531}" name="Tarifa" dataDxfId="450"/>
    <tableColumn id="6" xr3:uid="{E057D4B0-0647-46A5-BDA3-794222B4550E}" name="Rendimiento"/>
    <tableColumn id="7" xr3:uid="{8697618D-682A-4DAE-8A82-B055D792A4BC}" name="Valor Parcial" dataDxfId="449"/>
  </tableColumns>
  <tableStyleInfo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FDDB8EA2-33F3-4D50-AE02-F58018817760}" name="TRANS_0375" displayName="TRANS_0375" ref="A130:G132" totalsRowShown="0" headerRowDxfId="448" headerRowBorderDxfId="447" tableBorderDxfId="446" totalsRowBorderDxfId="445">
  <autoFilter ref="A130:G132" xr:uid="{FDDB8EA2-33F3-4D50-AE02-F58018817760}"/>
  <tableColumns count="7">
    <tableColumn id="1" xr3:uid="{1FEF39EC-526A-4E77-880B-99FED9DAD0AF}" name="Descripción" dataDxfId="444" dataCellStyle="Normal 3 2"/>
    <tableColumn id="2" xr3:uid="{A99943B5-1D5B-4EF3-85C3-598B8FA08E00}" name="Columna1" dataDxfId="443" dataCellStyle="Normal 3 2"/>
    <tableColumn id="3" xr3:uid="{50AE8FA3-6C71-4405-9592-7BFEECC44B0B}" name="Distancia Km." dataDxfId="442" dataCellStyle="Normal 3 2"/>
    <tableColumn id="4" xr3:uid="{D74347D3-9135-4CCD-9A38-10A3FBF37B8E}" name="Vol o Peso"/>
    <tableColumn id="5" xr3:uid="{2521F15F-F77A-4128-AA8B-7DBA408D4503}" name="Tarifa" dataDxfId="441"/>
    <tableColumn id="6" xr3:uid="{A3182BE4-525E-4856-9D2A-E0F0AD876F17}" name="Cantidad"/>
    <tableColumn id="7" xr3:uid="{55384E5E-E6FD-4A16-9520-33CF72356715}" name="Vr. Unitario" dataDxfId="440" dataCellStyle="Normal 3 2">
      <calculatedColumnFormula>E131*F131*D131</calculatedColumnFormula>
    </tableColumn>
  </tableColumns>
  <tableStyleInfo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C2A1E5DE-F7E1-4CB5-A2EB-4FF98A32AE3B}" name="MO_0387" displayName="MO_0387" ref="A135:G137" totalsRowShown="0" headerRowDxfId="439" headerRowBorderDxfId="438" tableBorderDxfId="437" totalsRowBorderDxfId="436">
  <autoFilter ref="A135:G137" xr:uid="{C2A1E5DE-F7E1-4CB5-A2EB-4FF98A32AE3B}"/>
  <tableColumns count="7">
    <tableColumn id="1" xr3:uid="{70FBA84F-96FF-4CF6-9092-850D89738B5C}" name="Descripción" dataDxfId="435" dataCellStyle="Normal 3 2"/>
    <tableColumn id="2" xr3:uid="{7739E74C-9D94-4165-AA43-B77FB2BDB1D5}" name="Cant" dataDxfId="434" dataCellStyle="Normal 3 2"/>
    <tableColumn id="3" xr3:uid="{ED17D80C-763D-4938-B72A-F084FC174CC9}" name="Jornal" dataDxfId="433" dataCellStyle="Moneda [0] 5"/>
    <tableColumn id="4" xr3:uid="{2E670C32-28BF-40A2-B66D-2102BD50FB37}" name="Prestaciones" dataDxfId="432" dataCellStyle="Normal 3 2"/>
    <tableColumn id="5" xr3:uid="{CC7D8062-5C8D-4696-9F5F-3BD81D8F4B0D}" name="Jornal Total" dataDxfId="431">
      <calculatedColumnFormula>B136*C136*(D136)</calculatedColumnFormula>
    </tableColumn>
    <tableColumn id="6" xr3:uid="{898C2FB5-5E37-4424-9B6B-D3B1375ED0B9}" name="Rendimiento" dataDxfId="430" dataCellStyle="Normal 3 2">
      <calculatedColumnFormula>F135</calculatedColumnFormula>
    </tableColumn>
    <tableColumn id="7" xr3:uid="{11821F17-3224-4BBC-A71C-0587CDE32739}" name="Valor Parcial" dataDxfId="429" dataCellStyle="Millares 3 2">
      <calculatedColumnFormula>E136*F136</calculatedColumnFormula>
    </tableColumn>
  </tableColumns>
  <tableStyleInfo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4157E849-59B9-432B-BC5E-55F861216AF7}" name="MATERIALES_03511" displayName="MATERIALES_03511" ref="A166:G177" totalsRowShown="0" headerRowDxfId="428" headerRowBorderDxfId="427" tableBorderDxfId="426" totalsRowBorderDxfId="425">
  <tableColumns count="7">
    <tableColumn id="1" xr3:uid="{F81C577C-1B19-4D37-9774-86B46848DD20}" name="Descripcion" dataDxfId="424"/>
    <tableColumn id="2" xr3:uid="{8E3D75D1-15C8-49F8-8B2C-666670B70084}" name="Columna1" dataDxfId="423"/>
    <tableColumn id="3" xr3:uid="{9E3C4CB1-03F9-44AD-A961-88A6AC23F191}" name="Columna2" dataDxfId="422"/>
    <tableColumn id="4" xr3:uid="{E0AFDB83-1226-4DCD-9CB0-5CA0EB7BF476}" name="Unid." dataDxfId="421" dataCellStyle="Millares [0] 3">
      <calculatedColumnFormula>IFERROR(VLOOKUP(MATERIALES_03511[[#This Row],[Descripcion]],INSUM_[#All],2,FALSE),"")</calculatedColumnFormula>
    </tableColumn>
    <tableColumn id="5" xr3:uid="{24545A95-4FEC-409D-8C30-C463CAA7AB35}" name="Precio Unit." dataDxfId="420">
      <calculatedColumnFormula>IFERROR(VLOOKUP(MATERIALES_03511[[#This Row],[Descripcion]],INSUM_[#All],3,FALSE),"")</calculatedColumnFormula>
    </tableColumn>
    <tableColumn id="6" xr3:uid="{19E8F34E-2C44-4228-9613-42127C5FEA5B}" name="Cantidad" dataDxfId="419" dataCellStyle="Millares [0] 3"/>
    <tableColumn id="7" xr3:uid="{9B2F37E7-52B7-4658-96B5-6549522A7582}" name="Vr. Unitario" dataDxfId="418" dataCellStyle="Millares 3 2">
      <calculatedColumnFormula>+IFERROR(E167/1*F167,"")</calculatedColumnFormula>
    </tableColumn>
  </tableColumns>
  <tableStyleInfo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86F1BD9B-BE02-4551-887E-0EB10FFB0889}" name="EQUIPOS_03612" displayName="EQUIPOS_03612" ref="A159:G163" totalsRowShown="0" headerRowDxfId="417" headerRowBorderDxfId="416" tableBorderDxfId="415" totalsRowBorderDxfId="414" headerRowCellStyle="Normal 3 2">
  <autoFilter ref="A159:G163" xr:uid="{86F1BD9B-BE02-4551-887E-0EB10FFB0889}"/>
  <tableColumns count="7">
    <tableColumn id="1" xr3:uid="{CF47F76D-6F1E-43DA-859F-F32B473147E8}" name="Descripción" dataDxfId="413"/>
    <tableColumn id="2" xr3:uid="{0C7B6462-72C8-4BBF-A8D2-F7CA41424499}" name="Column1" dataDxfId="412"/>
    <tableColumn id="3" xr3:uid="{7A8110CD-6D82-4EAE-B1CA-A6E060050215}" name="Column2" dataDxfId="411"/>
    <tableColumn id="4" xr3:uid="{9391D217-D48A-4AEA-A300-0018269D611C}" name="Column3" dataDxfId="410"/>
    <tableColumn id="5" xr3:uid="{AAFDA167-F190-4E52-A98B-AAD6C2375D35}" name="Tarifa" dataDxfId="409"/>
    <tableColumn id="6" xr3:uid="{78733580-B77B-48C4-99B6-6DDCF67D88FD}" name="Rendimiento"/>
    <tableColumn id="7" xr3:uid="{4260232A-0ED4-4D17-86F8-C057BEB1F257}" name="Valor Parcial" dataDxfId="408"/>
  </tableColumns>
  <tableStyleInfo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D91C9577-CC20-4A2F-977F-C16280A14D77}" name="TRANS_03713" displayName="TRANS_03713" ref="A180:G182" totalsRowShown="0" headerRowDxfId="407" headerRowBorderDxfId="406" tableBorderDxfId="405" totalsRowBorderDxfId="404">
  <autoFilter ref="A180:G182" xr:uid="{D91C9577-CC20-4A2F-977F-C16280A14D77}"/>
  <tableColumns count="7">
    <tableColumn id="1" xr3:uid="{4A99883C-483B-43D2-805D-03094EEEF774}" name="Descripción" dataDxfId="403" dataCellStyle="Normal 3 2"/>
    <tableColumn id="2" xr3:uid="{259642C9-360D-4719-B016-AE4B253481D3}" name="Columna1" dataDxfId="402" dataCellStyle="Normal 3 2"/>
    <tableColumn id="3" xr3:uid="{EB505827-1007-4C16-9155-8E3E73EB3272}" name="Distancia Km." dataDxfId="401" dataCellStyle="Normal 3 2"/>
    <tableColumn id="4" xr3:uid="{DA977F0A-476E-46C7-A7AF-5EFE94DC3058}" name="Vol o Peso"/>
    <tableColumn id="5" xr3:uid="{B49073C0-0A1B-4F46-A067-1C6A6122DBC7}" name="Tarifa" dataDxfId="400">
      <calculatedColumnFormula>1.0953*800</calculatedColumnFormula>
    </tableColumn>
    <tableColumn id="6" xr3:uid="{0BCF579A-5282-4496-A189-F9718EE86C53}" name="Cantidad"/>
    <tableColumn id="7" xr3:uid="{8E262061-6C74-4EBA-B413-C239FF18D78E}" name="Vr. Unitario" dataDxfId="399" dataCellStyle="Normal 3 2">
      <calculatedColumnFormula>E181*F181*D181</calculatedColumnFormula>
    </tableColumn>
  </tableColumns>
  <tableStyleInfo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6A35D761-94DB-4857-92B8-CD6F50DCBA54}" name="MO_03814" displayName="MO_03814" ref="A185:G187" totalsRowShown="0" headerRowDxfId="398" headerRowBorderDxfId="397" tableBorderDxfId="396" totalsRowBorderDxfId="395">
  <autoFilter ref="A185:G187" xr:uid="{6A35D761-94DB-4857-92B8-CD6F50DCBA54}"/>
  <tableColumns count="7">
    <tableColumn id="1" xr3:uid="{9A5DEFAE-A9EE-44AA-BB45-6EFE92E9BE31}" name="Descripción" dataDxfId="394" dataCellStyle="Normal 3 2"/>
    <tableColumn id="2" xr3:uid="{A25D5A65-A0E3-4C42-9537-EB6CDB6FEBB5}" name="Cant" dataDxfId="393" dataCellStyle="Normal 3 2"/>
    <tableColumn id="3" xr3:uid="{A47A693A-8AE3-49DF-AB3F-61FCB5FFA6D0}" name="Jornal" dataDxfId="392" dataCellStyle="Moneda [0] 5"/>
    <tableColumn id="4" xr3:uid="{D221D837-529A-482E-A520-66D5CC600A50}" name="Prestaciones" dataDxfId="391" dataCellStyle="Normal 3 2"/>
    <tableColumn id="5" xr3:uid="{51025926-99B8-4EA1-B2A5-3DC900588D05}" name="Jornal Total" dataDxfId="390">
      <calculatedColumnFormula>B186*C186*(D186)</calculatedColumnFormula>
    </tableColumn>
    <tableColumn id="6" xr3:uid="{76A5308E-47BF-4D4A-A3A1-FD0C9C9F493D}" name="Rendimiento" dataDxfId="389" dataCellStyle="Normal 3 2">
      <calculatedColumnFormula>F185</calculatedColumnFormula>
    </tableColumn>
    <tableColumn id="7" xr3:uid="{B3373683-C033-4F4E-991D-807584048931}" name="Valor Parcial" dataDxfId="388" dataCellStyle="Millares 3 2">
      <calculatedColumnFormula>E186*F186</calculatedColumnFormula>
    </tableColumn>
  </tableColumns>
  <tableStyleInfo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D6A04D93-E168-4A1D-B074-8B5B03E5725F}" name="MATERIALES_03515" displayName="MATERIALES_03515" ref="A216:G227" totalsRowShown="0" headerRowDxfId="387" headerRowBorderDxfId="386" tableBorderDxfId="385" totalsRowBorderDxfId="384">
  <tableColumns count="7">
    <tableColumn id="1" xr3:uid="{7CEB7510-AC36-4168-965D-8CF3C5A761BE}" name="Descripcion" dataDxfId="383"/>
    <tableColumn id="2" xr3:uid="{1BCAA6A6-A3AF-4C93-BBFD-D3A08230EDC5}" name="Columna1" dataDxfId="382"/>
    <tableColumn id="3" xr3:uid="{4627DD48-F9B2-4763-AEF2-852498669081}" name="Columna2" dataDxfId="381"/>
    <tableColumn id="4" xr3:uid="{8EEB8890-7440-49EC-A0D7-3341428941CB}" name="Unid." dataDxfId="380" dataCellStyle="Millares [0] 3">
      <calculatedColumnFormula>IFERROR(VLOOKUP(MATERIALES_03515[[#This Row],[Descripcion]],INSUM_[#All],2,FALSE),"")</calculatedColumnFormula>
    </tableColumn>
    <tableColumn id="5" xr3:uid="{B809C03C-C176-44BF-830E-5D20E86CCDB2}" name="Precio Unit." dataDxfId="379">
      <calculatedColumnFormula>IFERROR(VLOOKUP(MATERIALES_03515[[#This Row],[Descripcion]],INSUM_[#All],3,FALSE),"")</calculatedColumnFormula>
    </tableColumn>
    <tableColumn id="6" xr3:uid="{BEC169A7-8700-456E-8B8A-C0FFC1B28A50}" name="Cantidad" dataDxfId="378" dataCellStyle="Millares [0] 3"/>
    <tableColumn id="7" xr3:uid="{8A191596-6AE2-46B9-A822-703628EEF755}" name="Vr. Unitario" dataDxfId="377" dataCellStyle="Millares 3 2">
      <calculatedColumnFormula>+IFERROR(E217*F217,"")</calculatedColumnFormula>
    </tableColumn>
  </tableColumns>
  <tableStyleInfo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A917A629-7610-4CEF-90F5-99639066F0FD}" name="EQUIPOS_03616" displayName="EQUIPOS_03616" ref="A209:G213" totalsRowShown="0" headerRowDxfId="376" headerRowBorderDxfId="375" tableBorderDxfId="374" totalsRowBorderDxfId="373" headerRowCellStyle="Normal 3 2">
  <autoFilter ref="A209:G213" xr:uid="{A917A629-7610-4CEF-90F5-99639066F0FD}"/>
  <tableColumns count="7">
    <tableColumn id="1" xr3:uid="{6BEF6875-8D18-42F0-B58F-323FA74CED06}" name="Descripción" dataDxfId="372"/>
    <tableColumn id="2" xr3:uid="{D3989937-AC9D-4087-A8C1-528ADADB7157}" name="Column1" dataDxfId="371"/>
    <tableColumn id="3" xr3:uid="{2024611A-37A3-4726-AAED-1D5670EC8D49}" name="Column2" dataDxfId="370"/>
    <tableColumn id="4" xr3:uid="{F8C4F723-E8EC-4A39-85DE-7D8CBEE95D89}" name="Column3" dataDxfId="369"/>
    <tableColumn id="5" xr3:uid="{82B0BD16-E640-44C2-801C-F65B895356AD}" name="Tarifa" dataDxfId="368"/>
    <tableColumn id="6" xr3:uid="{856D0545-9A9E-421A-856B-8DEED53828BD}" name="Rendimiento"/>
    <tableColumn id="7" xr3:uid="{100B2BAF-6BC1-42F4-8488-8F585B229BA9}" name="Valor Parcial" dataDxfId="367"/>
  </tableColumns>
  <tableStyleInfo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119192DA-A9C7-46C0-A8D5-887CE5611D68}" name="TRANS_03717" displayName="TRANS_03717" ref="A230:G232" totalsRowShown="0" headerRowDxfId="366" headerRowBorderDxfId="365" tableBorderDxfId="364" totalsRowBorderDxfId="363">
  <autoFilter ref="A230:G232" xr:uid="{119192DA-A9C7-46C0-A8D5-887CE5611D68}"/>
  <tableColumns count="7">
    <tableColumn id="1" xr3:uid="{01F3A57D-E0AE-4AEB-B756-866684F6B4B3}" name="Descripción" dataDxfId="362" dataCellStyle="Normal 3 2"/>
    <tableColumn id="2" xr3:uid="{C591FB49-0374-404E-BF18-739A39368B09}" name="Columna1" dataDxfId="361" dataCellStyle="Normal 3 2"/>
    <tableColumn id="3" xr3:uid="{94ED0557-6C0A-4AD4-BB88-42DAE8D5CDC5}" name="Distancia Km." dataDxfId="360" dataCellStyle="Normal 3 2"/>
    <tableColumn id="4" xr3:uid="{B3511333-FECC-4A8A-A617-97A4A986DAEA}" name="Vol o Peso"/>
    <tableColumn id="5" xr3:uid="{0041CDF1-3BEA-4BFA-9047-89E4521FCE5B}" name="Tarifa" dataDxfId="359">
      <calculatedColumnFormula>1.0953*1200</calculatedColumnFormula>
    </tableColumn>
    <tableColumn id="6" xr3:uid="{F0953C6E-3400-476B-A5BE-D25D2C62351F}" name="Cantidad"/>
    <tableColumn id="7" xr3:uid="{132E65C8-9E53-49F6-8F26-8CFE72972A3C}" name="Vr. Unitario" dataDxfId="358" dataCellStyle="Normal 3 2">
      <calculatedColumnFormula>E231*F231*D231</calculatedColumnFormula>
    </tableColumn>
  </tableColumns>
  <tableStyleInfo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CEC1472C-3857-4001-8C51-23E7A0D4776B}" name="MO_03818" displayName="MO_03818" ref="A235:G237" totalsRowShown="0" headerRowDxfId="357" headerRowBorderDxfId="356" tableBorderDxfId="355" totalsRowBorderDxfId="354">
  <autoFilter ref="A235:G237" xr:uid="{CEC1472C-3857-4001-8C51-23E7A0D4776B}"/>
  <tableColumns count="7">
    <tableColumn id="1" xr3:uid="{BDC2B1A9-B654-4836-874D-E756844C9F56}" name="Descripción" dataDxfId="353" dataCellStyle="Normal 3 2"/>
    <tableColumn id="2" xr3:uid="{00A2227C-FAF7-4494-BD73-16D752442D39}" name="Cant" dataDxfId="352" dataCellStyle="Normal 3 2"/>
    <tableColumn id="3" xr3:uid="{B27C1D5C-F2CF-48BA-9835-353F306BF836}" name="Jornal" dataDxfId="351" dataCellStyle="Moneda [0] 5"/>
    <tableColumn id="4" xr3:uid="{78A8CA58-140C-40C0-93A1-352FF09B1955}" name="Prestaciones" dataDxfId="350" dataCellStyle="Normal 3 2"/>
    <tableColumn id="5" xr3:uid="{D895CD9A-B704-4EE1-A331-F6D098636C0B}" name="Jornal Total" dataDxfId="349">
      <calculatedColumnFormula>B236*C236*(D236)</calculatedColumnFormula>
    </tableColumn>
    <tableColumn id="6" xr3:uid="{51F99498-526D-4E46-8C67-A871596A0406}" name="Rendimiento" dataDxfId="348" dataCellStyle="Normal 3 2">
      <calculatedColumnFormula>F235</calculatedColumnFormula>
    </tableColumn>
    <tableColumn id="7" xr3:uid="{08FAE980-B60C-4585-886D-BB482C2E76C9}" name="Valor Parcial" dataDxfId="347" dataCellStyle="Millares 3 2">
      <calculatedColumnFormula>E236*F236</calculatedColumnFormula>
    </tableColumn>
  </tableColumns>
  <tableStyleInfo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292E4382-0C17-41AB-8B91-EEB7CB539BC4}" name="MATERIALES_03519" displayName="MATERIALES_03519" ref="A367:G378" totalsRowShown="0" headerRowDxfId="346" headerRowBorderDxfId="345" tableBorderDxfId="344" totalsRowBorderDxfId="343">
  <tableColumns count="7">
    <tableColumn id="1" xr3:uid="{59C20B3B-57CA-4566-8C3B-C9F90481275F}" name="Descripcion" dataDxfId="342"/>
    <tableColumn id="2" xr3:uid="{1AA902E7-86F2-42BC-BEDD-DCF5CD062EEC}" name="Columna1" dataDxfId="341"/>
    <tableColumn id="3" xr3:uid="{876AC5DB-DF57-49AD-8920-AA1A30A5DD59}" name="Columna2" dataDxfId="340"/>
    <tableColumn id="4" xr3:uid="{AAD2AAF0-1B37-4137-80F4-0F5B05743E3F}" name="Unid." dataDxfId="339" dataCellStyle="Millares [0] 3">
      <calculatedColumnFormula>IFERROR(VLOOKUP(MATERIALES_03519[[#This Row],[Descripcion]],INSUM_[#All],2,FALSE),"")</calculatedColumnFormula>
    </tableColumn>
    <tableColumn id="5" xr3:uid="{D5E82C4F-5C97-4144-9E88-72CBD1AE8EEF}" name="Precio Unit." dataDxfId="338">
      <calculatedColumnFormula>IFERROR(VLOOKUP(MATERIALES_03519[[#This Row],[Descripcion]],INSUM_[#All],3,FALSE),"")</calculatedColumnFormula>
    </tableColumn>
    <tableColumn id="6" xr3:uid="{12568864-9BF6-4AE3-860D-8D73A00AB6A6}" name="Cantidad" dataDxfId="337" dataCellStyle="Millares [0] 3"/>
    <tableColumn id="7" xr3:uid="{6A34F947-F1A4-4CAF-8823-37ABCD6C005E}" name="Vr. Unitario" dataDxfId="336" dataCellStyle="Millares 3 2">
      <calculatedColumnFormula>+IFERROR(E368*F368,"")</calculatedColumnFormula>
    </tableColumn>
  </tableColumns>
  <tableStyleInfo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CF8C6EE8-A811-4F14-8E92-71233542B53F}" name="EQUIPOS_03620" displayName="EQUIPOS_03620" ref="A359:G364" totalsRowShown="0" headerRowDxfId="335" headerRowBorderDxfId="334" tableBorderDxfId="333" totalsRowBorderDxfId="332" headerRowCellStyle="Normal 3 2">
  <autoFilter ref="A359:G364" xr:uid="{CF8C6EE8-A811-4F14-8E92-71233542B53F}"/>
  <tableColumns count="7">
    <tableColumn id="1" xr3:uid="{472DC977-A1FE-4B5B-ABFB-B6C0E0D64C94}" name="Descripción" dataDxfId="331"/>
    <tableColumn id="2" xr3:uid="{8225AE53-089B-4EA1-9165-A8B231191E69}" name="Column1" dataDxfId="330"/>
    <tableColumn id="3" xr3:uid="{4B07D6CE-1E65-4BB3-8247-4111401AC78F}" name="Column2" dataDxfId="329"/>
    <tableColumn id="4" xr3:uid="{50F053FA-FE4D-45C7-9E9A-13B83B248F3F}" name="Column3" dataDxfId="328"/>
    <tableColumn id="5" xr3:uid="{9083A24E-618D-4220-B002-5FE4FA84962A}" name="Tarifa" dataDxfId="327"/>
    <tableColumn id="6" xr3:uid="{E30DDCC0-6438-4978-BAEE-D0116982293B}" name="Rendimiento"/>
    <tableColumn id="7" xr3:uid="{6ECC0D11-5C5C-417E-A5FA-248A5E8C63F1}" name="Valor Parcial" dataDxfId="326"/>
  </tableColumns>
  <tableStyleInfo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FCA0E65C-45EB-4715-8CED-8282F46F0571}" name="TRANS_03721" displayName="TRANS_03721" ref="A381:G383" totalsRowShown="0" headerRowDxfId="325" headerRowBorderDxfId="324" tableBorderDxfId="323" totalsRowBorderDxfId="322">
  <autoFilter ref="A381:G383" xr:uid="{FCA0E65C-45EB-4715-8CED-8282F46F0571}"/>
  <tableColumns count="7">
    <tableColumn id="1" xr3:uid="{D15179C2-385A-4DCD-8341-A3F4D6CAEC59}" name="Descripción" dataDxfId="321" dataCellStyle="Normal 3 2"/>
    <tableColumn id="2" xr3:uid="{90101E46-3650-40F2-BC77-5700F988EFEB}" name="Columna1" dataDxfId="320" dataCellStyle="Normal 3 2"/>
    <tableColumn id="3" xr3:uid="{8E4A05E3-1575-4C16-93BE-7919D5D31045}" name="Distancia Km." dataDxfId="319" dataCellStyle="Normal 3 2"/>
    <tableColumn id="4" xr3:uid="{AF1299AC-BDA8-4E56-A38C-2870FFC31B08}" name="Vol o Peso"/>
    <tableColumn id="5" xr3:uid="{8358CADF-E168-4330-89D9-D085C7BC815D}" name="Tarifa" dataDxfId="318"/>
    <tableColumn id="6" xr3:uid="{79C418D9-CE13-4AA6-B993-E39E3830A13E}" name="Cantidad"/>
    <tableColumn id="7" xr3:uid="{67AD5AC1-D89B-4262-98E2-D90780B09561}" name="Vr. Unitario" dataDxfId="317" dataCellStyle="Normal 3 2">
      <calculatedColumnFormula>E382*F382*D382</calculatedColumnFormula>
    </tableColumn>
  </tableColumns>
  <tableStyleInfo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608CC77C-15A4-487A-8078-7F26B5D6521E}" name="MO_03826" displayName="MO_03826" ref="A386:G388" totalsRowShown="0" headerRowDxfId="316" headerRowBorderDxfId="315" tableBorderDxfId="314" totalsRowBorderDxfId="313">
  <autoFilter ref="A386:G388" xr:uid="{608CC77C-15A4-487A-8078-7F26B5D6521E}"/>
  <tableColumns count="7">
    <tableColumn id="1" xr3:uid="{31E6DFF3-6D3F-4BC4-BD99-209C34A0E7D1}" name="Descripción" dataDxfId="312" dataCellStyle="Normal 3 2"/>
    <tableColumn id="2" xr3:uid="{5F4975FA-62D2-4C81-8D12-2D69F95B2168}" name="Cant" dataDxfId="311" dataCellStyle="Normal 3 2"/>
    <tableColumn id="3" xr3:uid="{99D01929-CEA6-4F3B-9FEE-7B308F85049B}" name="Jornal" dataDxfId="310" dataCellStyle="Moneda [0] 5"/>
    <tableColumn id="4" xr3:uid="{E19F23E2-24C8-4E4E-889D-DBF88879DA8B}" name="Prestaciones" dataDxfId="309" dataCellStyle="Normal 3 2"/>
    <tableColumn id="5" xr3:uid="{3A830B6D-695C-40C1-BB50-351A762EA57E}" name="Jornal Total" dataDxfId="308">
      <calculatedColumnFormula>B387*C387*(D387)</calculatedColumnFormula>
    </tableColumn>
    <tableColumn id="6" xr3:uid="{BFE4278F-D66E-4BAF-A96B-87E94793403F}" name="Rendimiento" dataDxfId="307" dataCellStyle="Normal 3 2">
      <calculatedColumnFormula>F386</calculatedColumnFormula>
    </tableColumn>
    <tableColumn id="7" xr3:uid="{99BFAA42-052E-495D-81CC-E7BAA8B8547B}" name="Valor Parcial" dataDxfId="306" dataCellStyle="Millares 3 2">
      <calculatedColumnFormula>E387*F387</calculatedColumnFormula>
    </tableColumn>
  </tableColumns>
  <tableStyleInfo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A554F5F-1874-4F70-A7B9-D3220E9ED973}" name="MATERIALES_03527" displayName="MATERIALES_03527" ref="A419:G430" totalsRowShown="0" headerRowDxfId="305" headerRowBorderDxfId="304" tableBorderDxfId="303" totalsRowBorderDxfId="302">
  <tableColumns count="7">
    <tableColumn id="1" xr3:uid="{4EA746D4-2D4A-4AB2-ABB9-989439017AB1}" name="Descripcion" dataDxfId="301"/>
    <tableColumn id="2" xr3:uid="{E546C5A6-664D-4584-B012-D288FE976D58}" name="Columna1" dataDxfId="300"/>
    <tableColumn id="3" xr3:uid="{D72B60B3-2E48-4360-93D2-4C97B7B6083B}" name="Columna2" dataDxfId="299"/>
    <tableColumn id="4" xr3:uid="{3B31EE9A-4F94-47AB-B4C0-50231B0AB640}" name="Unid." dataDxfId="298" dataCellStyle="Millares [0] 3">
      <calculatedColumnFormula>IFERROR(VLOOKUP(MATERIALES_03527[[#This Row],[Descripcion]],INSUM_[#All],2,FALSE),"")</calculatedColumnFormula>
    </tableColumn>
    <tableColumn id="5" xr3:uid="{9E500BD7-BBE6-4C63-BC26-2462E8BE9E85}" name="Precio Unit." dataDxfId="297">
      <calculatedColumnFormula>IFERROR(VLOOKUP(MATERIALES_03527[[#This Row],[Descripcion]],INSUM_[#All],3,FALSE),"")</calculatedColumnFormula>
    </tableColumn>
    <tableColumn id="6" xr3:uid="{5ED1BB53-3E52-4B7C-B966-20451C41CF74}" name="Cantidad" dataDxfId="296" dataCellStyle="Millares [0] 3"/>
    <tableColumn id="7" xr3:uid="{505FB379-E451-4024-AEF9-73BCD55849A5}" name="Vr. Unitario" dataDxfId="295" dataCellStyle="Millares 3 2">
      <calculatedColumnFormula>+IFERROR(E420*F420,"")</calculatedColumnFormula>
    </tableColumn>
  </tableColumns>
  <tableStyleInfo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C9238818-7364-45C4-AAD2-4629434A1C6E}" name="EQUIPOS_03628" displayName="EQUIPOS_03628" ref="A410:G416" totalsRowShown="0" headerRowDxfId="294" headerRowBorderDxfId="293" tableBorderDxfId="292" totalsRowBorderDxfId="291" headerRowCellStyle="Normal 3 2">
  <autoFilter ref="A410:G416" xr:uid="{C9238818-7364-45C4-AAD2-4629434A1C6E}"/>
  <tableColumns count="7">
    <tableColumn id="1" xr3:uid="{46B7F73B-6C0B-4C22-B423-A0F2CAC6C41A}" name="Descripción" dataDxfId="290"/>
    <tableColumn id="2" xr3:uid="{6DFB29C3-F496-4B0E-B0C9-40CF14F297B8}" name="Column1" dataDxfId="289"/>
    <tableColumn id="3" xr3:uid="{93585C27-B854-43B4-A277-51A2106DF609}" name="Column2" dataDxfId="288"/>
    <tableColumn id="4" xr3:uid="{445005AF-4C1F-42E5-8542-4CAD591D125F}" name="Column3" dataDxfId="287"/>
    <tableColumn id="5" xr3:uid="{B53FF9D6-DB60-425A-8E4A-BB09BC89F1E8}" name="Tarifa" dataDxfId="286"/>
    <tableColumn id="6" xr3:uid="{6BB24951-B3F6-4731-A868-F955698DD607}" name="Rendimiento"/>
    <tableColumn id="7" xr3:uid="{C1D178B4-EFEE-4EF8-8865-F3D669771AF7}" name="Valor Parcial" dataDxfId="285"/>
  </tableColumns>
  <tableStyleInfo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95FE4C87-F596-4C28-814B-5FA660E868B3}" name="TRANS_03730" displayName="TRANS_03730" ref="A433:G435" totalsRowShown="0" headerRowDxfId="284" headerRowBorderDxfId="283" tableBorderDxfId="282" totalsRowBorderDxfId="281">
  <autoFilter ref="A433:G435" xr:uid="{95FE4C87-F596-4C28-814B-5FA660E868B3}"/>
  <tableColumns count="7">
    <tableColumn id="1" xr3:uid="{4035F803-096E-4740-9E0D-46CC444AA985}" name="Descripción" dataDxfId="280" dataCellStyle="Normal 3 2"/>
    <tableColumn id="2" xr3:uid="{AA77E99D-A3A2-434B-8360-2A88983B6F0B}" name="Columna1" dataDxfId="279" dataCellStyle="Normal 3 2"/>
    <tableColumn id="3" xr3:uid="{0C5CCD69-019C-45E1-BBD3-070D3C496651}" name="Distancia Km." dataDxfId="278" dataCellStyle="Normal 3 2"/>
    <tableColumn id="4" xr3:uid="{43F71CB6-2C87-46BF-B700-5F0ED287E2AA}" name="Vol o Peso"/>
    <tableColumn id="5" xr3:uid="{CB7F6CF6-F8A9-4071-A550-6C6526DC44DC}" name="Tarifa" dataDxfId="277"/>
    <tableColumn id="6" xr3:uid="{ADDF0B18-CF41-4BAF-82CC-3E474ED151E4}" name="Cantidad"/>
    <tableColumn id="7" xr3:uid="{11E69EFA-465C-480E-9BDA-66A39306415A}" name="Vr. Unitario" dataDxfId="276" dataCellStyle="Normal 3 2">
      <calculatedColumnFormula>E434*F434*D434</calculatedColumnFormula>
    </tableColumn>
  </tableColumns>
  <tableStyleInfo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CB61B331-B96E-4BE3-BF02-9188B9B3B63A}" name="MO_03831" displayName="MO_03831" ref="A438:G440" totalsRowShown="0" headerRowDxfId="275" headerRowBorderDxfId="274" tableBorderDxfId="273" totalsRowBorderDxfId="272">
  <autoFilter ref="A438:G440" xr:uid="{CB61B331-B96E-4BE3-BF02-9188B9B3B63A}"/>
  <tableColumns count="7">
    <tableColumn id="1" xr3:uid="{D8582E2D-AD39-4EDB-9FCB-0D35C9D64FF6}" name="Descripción" dataDxfId="271" dataCellStyle="Normal 3 2"/>
    <tableColumn id="2" xr3:uid="{A614192C-94DD-49C0-888C-D686728C6F02}" name="Cant" dataDxfId="270" dataCellStyle="Normal 3 2"/>
    <tableColumn id="3" xr3:uid="{C40E1B77-9AF1-4F90-8891-8AF5F00AE7AC}" name="Jornal" dataDxfId="269" dataCellStyle="Moneda [0] 5"/>
    <tableColumn id="4" xr3:uid="{FC2F3640-2F59-490C-B2F4-694BCE997D92}" name="Prestaciones" dataDxfId="268" dataCellStyle="Normal 3 2"/>
    <tableColumn id="5" xr3:uid="{6057F7AF-36A6-44D2-9A5D-8E20DB226156}" name="Jornal Total" dataDxfId="267">
      <calculatedColumnFormula>B439*C439*(D439)</calculatedColumnFormula>
    </tableColumn>
    <tableColumn id="6" xr3:uid="{DAE3C9B6-F867-4E01-8527-AB3A62EC7B78}" name="Rendimiento" dataDxfId="266" dataCellStyle="Normal 3 2">
      <calculatedColumnFormula>F438</calculatedColumnFormula>
    </tableColumn>
    <tableColumn id="7" xr3:uid="{6F777BE2-2B8F-49EA-A9AC-8DFA59CE9C03}" name="Valor Parcial" dataDxfId="265" dataCellStyle="Millares 3 2">
      <calculatedColumnFormula>E439*F439</calculatedColumnFormula>
    </tableColumn>
  </tableColumns>
  <tableStyleInfo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57A519B5-E38F-4DE3-8496-D0B67DA0A6CB}" name="MATERIALES_03532" displayName="MATERIALES_03532" ref="A469:G480" totalsRowShown="0" headerRowDxfId="264" headerRowBorderDxfId="263" tableBorderDxfId="262" totalsRowBorderDxfId="261">
  <tableColumns count="7">
    <tableColumn id="1" xr3:uid="{BB6B3DE5-210D-462F-BDE3-F965D6D2DE22}" name="Descripcion" dataDxfId="260"/>
    <tableColumn id="2" xr3:uid="{A52057E8-7A83-460E-803A-64D72E897472}" name="Columna1" dataDxfId="259"/>
    <tableColumn id="3" xr3:uid="{02C41C5B-8F87-4E85-8228-2206434A9C91}" name="Columna2" dataDxfId="258"/>
    <tableColumn id="4" xr3:uid="{7ABC33E7-1815-43DA-B117-49FA3910E62E}" name="Unid." dataDxfId="257" dataCellStyle="Millares [0] 3">
      <calculatedColumnFormula>IFERROR(VLOOKUP(MATERIALES_03532[[#This Row],[Descripcion]],INSUM_[#All],2,FALSE),"")</calculatedColumnFormula>
    </tableColumn>
    <tableColumn id="5" xr3:uid="{0D4F0C02-C30C-489F-996D-5686E915F52A}" name="Precio Unit." dataDxfId="256">
      <calculatedColumnFormula>IFERROR(VLOOKUP(MATERIALES_03532[[#This Row],[Descripcion]],INSUM_[#All],3,FALSE),"")</calculatedColumnFormula>
    </tableColumn>
    <tableColumn id="6" xr3:uid="{91AF69D8-FA00-4113-8787-11B12E32AA9C}" name="Cantidad" dataDxfId="255" dataCellStyle="Millares [0] 3"/>
    <tableColumn id="7" xr3:uid="{AE61155F-9BAC-4482-9EF0-5CB0B34B8A73}" name="Vr. Unitario" dataDxfId="254" dataCellStyle="Millares 3 2">
      <calculatedColumnFormula>+IFERROR(E470*F470,"")</calculatedColumnFormula>
    </tableColumn>
  </tableColumns>
  <tableStyleInfo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E85210B3-10EA-48DE-8B78-2C70DDE45B2E}" name="EQUIPOS_03633" displayName="EQUIPOS_03633" ref="A462:G466" totalsRowShown="0" headerRowDxfId="253" headerRowBorderDxfId="252" tableBorderDxfId="251" totalsRowBorderDxfId="250" headerRowCellStyle="Normal 3 2">
  <autoFilter ref="A462:G466" xr:uid="{E85210B3-10EA-48DE-8B78-2C70DDE45B2E}"/>
  <tableColumns count="7">
    <tableColumn id="1" xr3:uid="{F678ED2A-4639-4007-912F-96AA50F352E8}" name="Descripción" dataDxfId="249"/>
    <tableColumn id="2" xr3:uid="{67C7251B-5E58-4D27-B221-7A965495AAA9}" name="Column1" dataDxfId="248"/>
    <tableColumn id="3" xr3:uid="{B24C5099-ADBB-461B-95BC-AE36EA8EDE2B}" name="Column2" dataDxfId="247"/>
    <tableColumn id="4" xr3:uid="{2C6BA1B6-66E0-4AD7-B44E-5B251FF8B622}" name="Column3" dataDxfId="246"/>
    <tableColumn id="5" xr3:uid="{17D34977-7FE6-4300-91D4-164653CF6DC8}" name="Tarifa" dataDxfId="245"/>
    <tableColumn id="6" xr3:uid="{90A87C0A-0428-4EB2-88EA-50095393A438}" name="Rendimiento"/>
    <tableColumn id="7" xr3:uid="{3A824EFA-8A93-4CF8-8D8E-A7D490123913}" name="Valor Parcial" dataDxfId="244"/>
  </tableColumns>
  <tableStyleInfo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728F6F0F-47F7-4312-9535-C34E1F8792A9}" name="TRANS_03734" displayName="TRANS_03734" ref="A483:G485" totalsRowShown="0" headerRowDxfId="243" headerRowBorderDxfId="242" tableBorderDxfId="241" totalsRowBorderDxfId="240">
  <autoFilter ref="A483:G485" xr:uid="{728F6F0F-47F7-4312-9535-C34E1F8792A9}"/>
  <tableColumns count="7">
    <tableColumn id="1" xr3:uid="{62D82A87-8D91-4481-B3BF-E9BB553A2A78}" name="Descripción" dataDxfId="239" dataCellStyle="Normal 3 2"/>
    <tableColumn id="2" xr3:uid="{716DD648-BB43-4A7F-8B45-517DA317BB90}" name="Columna1" dataDxfId="238" dataCellStyle="Normal 3 2"/>
    <tableColumn id="3" xr3:uid="{4FB74FE1-38B5-43C0-8A57-A004E8775414}" name="Distancia Km." dataDxfId="237" dataCellStyle="Normal 3 2"/>
    <tableColumn id="4" xr3:uid="{58681E0B-1B75-4C38-AEBD-2501F80743D3}" name="Vol o Peso"/>
    <tableColumn id="5" xr3:uid="{84DF97D9-93B5-4F7C-BA1E-AFCCE6BBDBD4}" name="Tarifa" dataDxfId="236">
      <calculatedColumnFormula>1.0953*4000</calculatedColumnFormula>
    </tableColumn>
    <tableColumn id="6" xr3:uid="{43F85619-7CC4-44CE-88A9-856261D322E8}" name="Cantidad"/>
    <tableColumn id="7" xr3:uid="{5573873E-AACF-472C-9B6A-DB0FCFC9160E}" name="Vr. Unitario" dataDxfId="235" dataCellStyle="Normal 3 2">
      <calculatedColumnFormula>E484*F484*D484</calculatedColumnFormula>
    </tableColumn>
  </tableColumns>
  <tableStyleInfo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2FC8C994-EA2C-420D-861F-732CA508C891}" name="MO_03839" displayName="MO_03839" ref="A488:G490" totalsRowShown="0" headerRowDxfId="234" headerRowBorderDxfId="233" tableBorderDxfId="232" totalsRowBorderDxfId="231">
  <autoFilter ref="A488:G490" xr:uid="{2FC8C994-EA2C-420D-861F-732CA508C891}"/>
  <tableColumns count="7">
    <tableColumn id="1" xr3:uid="{0D2CF3FA-B59B-474A-B67C-323E575E822D}" name="Descripción" dataDxfId="230" dataCellStyle="Normal 3 2"/>
    <tableColumn id="2" xr3:uid="{763418B8-0D09-4513-9D3A-384A735F0AE4}" name="Cant" dataDxfId="229" dataCellStyle="Normal 3 2"/>
    <tableColumn id="3" xr3:uid="{D35AD178-325D-46E6-9EBC-28117ECD6506}" name="Jornal" dataDxfId="228" dataCellStyle="Moneda [0] 5"/>
    <tableColumn id="4" xr3:uid="{589C2442-9CA2-43DC-ACCA-416D7E1007A3}" name="Prestaciones" dataDxfId="227" dataCellStyle="Normal 3 2"/>
    <tableColumn id="5" xr3:uid="{78B094FA-436C-4AF0-A8F8-47EA9E276DE1}" name="Jornal Total" dataDxfId="226">
      <calculatedColumnFormula>B489*C489*(D489)</calculatedColumnFormula>
    </tableColumn>
    <tableColumn id="6" xr3:uid="{3BC873B0-2D8E-4AAD-9BC6-E3BD48C8ADD8}" name="Rendimiento" dataDxfId="225" dataCellStyle="Normal 3 2">
      <calculatedColumnFormula>F488</calculatedColumnFormula>
    </tableColumn>
    <tableColumn id="7" xr3:uid="{977CFAA9-144E-479E-8A37-3B180A90746E}" name="Valor Parcial" dataDxfId="224" dataCellStyle="Millares 3 2">
      <calculatedColumnFormula>E489*F489</calculatedColumnFormula>
    </tableColumn>
  </tableColumns>
  <tableStyleInfo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C9929682-5933-40E0-BFE3-8D0B6650F7A8}" name="MATERIALES_03540" displayName="MATERIALES_03540" ref="A519:G530" totalsRowShown="0" headerRowDxfId="223" headerRowBorderDxfId="222" tableBorderDxfId="221" totalsRowBorderDxfId="220">
  <tableColumns count="7">
    <tableColumn id="1" xr3:uid="{1AA4D5F1-E9FA-4ADC-BD6A-9DD82AFDF315}" name="Descripcion" dataDxfId="219"/>
    <tableColumn id="2" xr3:uid="{39E95F2C-F6F3-459B-AC37-FA30E87EF94F}" name="Columna1" dataDxfId="218"/>
    <tableColumn id="3" xr3:uid="{A7C8E885-ABD3-48E8-9CA9-8EB9E5F6E508}" name="Columna2" dataDxfId="217"/>
    <tableColumn id="4" xr3:uid="{0F8491D9-6CDB-423C-BF64-8CB2BE5C4381}" name="Unid." dataDxfId="216" dataCellStyle="Millares [0] 3">
      <calculatedColumnFormula>IFERROR(VLOOKUP(MATERIALES_03540[[#This Row],[Descripcion]],INSUM_[#All],2,FALSE),"")</calculatedColumnFormula>
    </tableColumn>
    <tableColumn id="5" xr3:uid="{3EBE940F-37B3-435D-99F5-D3536F0339E4}" name="Precio Unit." dataDxfId="215">
      <calculatedColumnFormula>IFERROR(VLOOKUP(MATERIALES_03540[[#This Row],[Descripcion]],INSUM_[#All],3,FALSE),"")</calculatedColumnFormula>
    </tableColumn>
    <tableColumn id="6" xr3:uid="{815033E8-BF42-4EBF-80E1-3C37692A17ED}" name="Cantidad" dataDxfId="214" dataCellStyle="Millares [0] 3"/>
    <tableColumn id="7" xr3:uid="{7FBEAA53-C713-4726-AE3D-61C683E5D803}" name="Vr. Unitario" dataDxfId="213" dataCellStyle="Millares 3 2">
      <calculatedColumnFormula>+IFERROR(E520*F520,"")</calculatedColumnFormula>
    </tableColumn>
  </tableColumns>
  <tableStyleInfo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3FB7D33F-3B9E-4EAB-A6AD-C73368735C54}" name="EQUIPOS_03641" displayName="EQUIPOS_03641" ref="A512:G516" totalsRowShown="0" headerRowDxfId="212" headerRowBorderDxfId="211" tableBorderDxfId="210" totalsRowBorderDxfId="209" headerRowCellStyle="Normal 3 2">
  <autoFilter ref="A512:G516" xr:uid="{3FB7D33F-3B9E-4EAB-A6AD-C73368735C54}"/>
  <tableColumns count="7">
    <tableColumn id="1" xr3:uid="{805EC598-0566-4263-8D04-36BF7B99FB70}" name="Descripción" dataDxfId="208"/>
    <tableColumn id="2" xr3:uid="{1E6C0172-2642-4E5C-8A8E-0100635C5E6A}" name="Column1" dataDxfId="207"/>
    <tableColumn id="3" xr3:uid="{B9397ED9-C96D-4311-81F9-C987DDCF8DC0}" name="Column2" dataDxfId="206"/>
    <tableColumn id="4" xr3:uid="{FDB4F280-55FD-497E-8E2D-D37597B74706}" name="Column3" dataDxfId="205"/>
    <tableColumn id="5" xr3:uid="{891DC8B7-8E82-4C52-B627-2C4C5FCA3F50}" name="Tarifa" dataDxfId="204"/>
    <tableColumn id="6" xr3:uid="{CD3DEF42-DBE5-474F-9BC8-6577FBAA4C47}" name="Rendimiento"/>
    <tableColumn id="7" xr3:uid="{50FE7B0F-4099-4FD7-BFDA-A465521255E4}" name="Valor Parcial" dataDxfId="203"/>
  </tableColumns>
  <tableStyleInfo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3EBA63AD-D60F-4FFB-AC52-959F781C03F6}" name="TRANS_03742" displayName="TRANS_03742" ref="A533:G535" totalsRowShown="0" headerRowDxfId="202" headerRowBorderDxfId="201" tableBorderDxfId="200" totalsRowBorderDxfId="199">
  <autoFilter ref="A533:G535" xr:uid="{3EBA63AD-D60F-4FFB-AC52-959F781C03F6}"/>
  <tableColumns count="7">
    <tableColumn id="1" xr3:uid="{8ED53A53-CEC3-4ABE-AC12-02EBC385A0E9}" name="Descripción" dataDxfId="198" dataCellStyle="Normal 3 2"/>
    <tableColumn id="2" xr3:uid="{C1C6E7E0-9F3A-4EF2-967E-7F878A6CB9B3}" name="Columna1" dataDxfId="197" dataCellStyle="Normal 3 2"/>
    <tableColumn id="3" xr3:uid="{DD7AB1A0-D3FD-4F8F-AE1E-AB6E40281FF5}" name="Distancia Km." dataDxfId="196" dataCellStyle="Normal 3 2"/>
    <tableColumn id="4" xr3:uid="{C395323C-9C75-479D-972B-B16FD3DE0C9A}" name="Vol o Peso"/>
    <tableColumn id="5" xr3:uid="{12D43892-5772-4F8C-A579-9770657E03AA}" name="Tarifa" dataDxfId="195">
      <calculatedColumnFormula>1.0953*100</calculatedColumnFormula>
    </tableColumn>
    <tableColumn id="6" xr3:uid="{DFAE8573-095F-4536-8CF0-072A91608415}" name="Cantidad"/>
    <tableColumn id="7" xr3:uid="{9A5B25D1-040E-4074-AD5D-2ACC62065DD5}" name="Vr. Unitario" dataDxfId="194" dataCellStyle="Normal 3 2">
      <calculatedColumnFormula>E534*F534*D534</calculatedColumnFormula>
    </tableColumn>
  </tableColumns>
  <tableStyleInfo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292A80F8-0356-43D3-AFBE-F1DA887D703F}" name="MO_03843" displayName="MO_03843" ref="A538:G540" totalsRowShown="0" headerRowDxfId="193" headerRowBorderDxfId="192" tableBorderDxfId="191" totalsRowBorderDxfId="190">
  <autoFilter ref="A538:G540" xr:uid="{292A80F8-0356-43D3-AFBE-F1DA887D703F}"/>
  <tableColumns count="7">
    <tableColumn id="1" xr3:uid="{61E05180-8D43-4A26-9B85-DD21EA5A2BAB}" name="Descripción" dataDxfId="189" dataCellStyle="Normal 3 2"/>
    <tableColumn id="2" xr3:uid="{1F5A885B-6206-4163-967F-3DD7068540BB}" name="Cant" dataDxfId="188" dataCellStyle="Normal 3 2"/>
    <tableColumn id="3" xr3:uid="{15BDF4B0-2A60-4884-B2AA-E4DAC9648F26}" name="Jornal" dataDxfId="187" dataCellStyle="Moneda [0] 5"/>
    <tableColumn id="4" xr3:uid="{BA53156A-ED0C-4003-9E64-B114B30C8D35}" name="Prestaciones" dataDxfId="186" dataCellStyle="Normal 3 2"/>
    <tableColumn id="5" xr3:uid="{26517F08-2C4B-43E1-9434-EB8721CA2407}" name="Jornal Total" dataDxfId="185">
      <calculatedColumnFormula>B539*C539*(D539)</calculatedColumnFormula>
    </tableColumn>
    <tableColumn id="6" xr3:uid="{9AA223B6-159E-4766-AD1E-5CD2A6E788AC}" name="Rendimiento" dataDxfId="184" dataCellStyle="Normal 3 2">
      <calculatedColumnFormula>F538</calculatedColumnFormula>
    </tableColumn>
    <tableColumn id="7" xr3:uid="{47642A47-9519-4C26-B4C3-677865DF58E5}" name="Valor Parcial" dataDxfId="183" dataCellStyle="Millares 3 2">
      <calculatedColumnFormula>E539*F539</calculatedColumnFormula>
    </tableColumn>
  </tableColumns>
  <tableStyleInfo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 xr:uid="{1936DA6A-BF23-4BB3-B149-EBB9D42695FC}" name="MATERIALES_03544" displayName="MATERIALES_03544" ref="A569:G580" totalsRowShown="0" headerRowDxfId="182" headerRowBorderDxfId="181" tableBorderDxfId="180" totalsRowBorderDxfId="179">
  <tableColumns count="7">
    <tableColumn id="1" xr3:uid="{2291AD0F-2EB3-409A-9631-ACBB8E7046E4}" name="Descripcion" dataDxfId="178"/>
    <tableColumn id="2" xr3:uid="{A0DE8AEB-2F75-42D3-90FC-60DADB8FA15B}" name="Columna1" dataDxfId="177"/>
    <tableColumn id="3" xr3:uid="{A2E1AC6E-D149-4DB5-90D0-11C01E582FCC}" name="Columna2" dataDxfId="176"/>
    <tableColumn id="4" xr3:uid="{4EE9A41A-FC50-4355-AD45-298A3057DDD2}" name="Unid." dataDxfId="175" dataCellStyle="Millares [0] 3">
      <calculatedColumnFormula>IFERROR(VLOOKUP(MATERIALES_03544[[#This Row],[Descripcion]],INSUM_[#All],2,FALSE),"")</calculatedColumnFormula>
    </tableColumn>
    <tableColumn id="5" xr3:uid="{245662DD-5808-4E8A-9611-1DAE4D91C046}" name="Precio Unit." dataDxfId="174">
      <calculatedColumnFormula>IFERROR(VLOOKUP(MATERIALES_03544[[#This Row],[Descripcion]],INSUM_[#All],3,FALSE),"")</calculatedColumnFormula>
    </tableColumn>
    <tableColumn id="6" xr3:uid="{FCBAF611-6F49-48A8-89FA-FDCD75FBC4C8}" name="Cantidad" dataDxfId="173" dataCellStyle="Millares [0] 3"/>
    <tableColumn id="7" xr3:uid="{7CB09613-1BE2-443B-A66C-71F891DF01DC}" name="Vr. Unitario" dataDxfId="172" dataCellStyle="Millares 3 2">
      <calculatedColumnFormula>+IFERROR(E570*F570,"")</calculatedColumnFormula>
    </tableColumn>
  </tableColumns>
  <tableStyleInfo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4" xr:uid="{54822761-704A-4AD8-97AD-1EF66CA50155}" name="EQUIPOS_03645" displayName="EQUIPOS_03645" ref="A562:G566" totalsRowShown="0" headerRowDxfId="171" headerRowBorderDxfId="170" tableBorderDxfId="169" totalsRowBorderDxfId="168" headerRowCellStyle="Normal 3 2">
  <autoFilter ref="A562:G566" xr:uid="{54822761-704A-4AD8-97AD-1EF66CA50155}"/>
  <tableColumns count="7">
    <tableColumn id="1" xr3:uid="{A3B1B740-8A79-4575-966F-D2C32584948A}" name="Descripción" dataDxfId="167"/>
    <tableColumn id="2" xr3:uid="{064B677B-E52B-41F2-9128-12D10ECC60EB}" name="Column1" dataDxfId="166"/>
    <tableColumn id="3" xr3:uid="{5852F0FC-4FD1-41F2-88CB-F14ABD9AE455}" name="Column2" dataDxfId="165"/>
    <tableColumn id="4" xr3:uid="{B40C2092-B6B8-43B0-98AD-904096226696}" name="Column3" dataDxfId="164"/>
    <tableColumn id="5" xr3:uid="{DE6EE0F1-A90E-44A0-8124-D377BBDD69D0}" name="Tarifa" dataDxfId="163"/>
    <tableColumn id="6" xr3:uid="{1248FFE8-DA12-4491-AE0E-EDDF1C9595BF}" name="Rendimiento"/>
    <tableColumn id="7" xr3:uid="{9A50CA21-65FA-4669-80ED-CC9FE3FACDE2}" name="Valor Parcial" dataDxfId="162"/>
  </tableColumns>
  <tableStyleInfo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E97419DB-9EA8-4A18-BBC6-CC237464E417}" name="TRANS_03746" displayName="TRANS_03746" ref="A583:G585" totalsRowShown="0" headerRowDxfId="161" headerRowBorderDxfId="160" tableBorderDxfId="159" totalsRowBorderDxfId="158">
  <autoFilter ref="A583:G585" xr:uid="{E97419DB-9EA8-4A18-BBC6-CC237464E417}"/>
  <tableColumns count="7">
    <tableColumn id="1" xr3:uid="{ED73ACC7-F6B5-4004-873D-D342B8092B41}" name="Descripción" dataDxfId="157" dataCellStyle="Normal 3 2"/>
    <tableColumn id="2" xr3:uid="{1D7283AF-7CDE-425C-81CD-B38BFE4BEF6C}" name="Columna1" dataDxfId="156" dataCellStyle="Normal 3 2"/>
    <tableColumn id="3" xr3:uid="{798F14D6-0B59-4226-9A1E-30A53D9C9157}" name="Distancia Km." dataDxfId="155" dataCellStyle="Normal 3 2"/>
    <tableColumn id="4" xr3:uid="{18D221CF-66FF-4C80-AEBE-5026061263DF}" name="Vol o Peso"/>
    <tableColumn id="5" xr3:uid="{8B640DD3-5EC8-4AEB-86D7-4FEF7D139C09}" name="Tarifa" dataDxfId="154"/>
    <tableColumn id="6" xr3:uid="{7430696F-C07A-4ECD-940A-2F8EDC880EB8}" name="Cantidad"/>
    <tableColumn id="7" xr3:uid="{DD8BA337-B478-4C36-9642-85281F928C22}" name="Vr. Unitario" dataDxfId="153" dataCellStyle="Normal 3 2">
      <calculatedColumnFormula>E584*F584*D584</calculatedColumnFormula>
    </tableColumn>
  </tableColumns>
  <tableStyleInfo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41A12D9-2EF1-4ED9-B174-9B7D7B1A6D1D}" name="MO_03847" displayName="MO_03847" ref="A588:G590" totalsRowShown="0" headerRowDxfId="152" headerRowBorderDxfId="151" tableBorderDxfId="150" totalsRowBorderDxfId="149">
  <autoFilter ref="A588:G590" xr:uid="{041A12D9-2EF1-4ED9-B174-9B7D7B1A6D1D}"/>
  <tableColumns count="7">
    <tableColumn id="1" xr3:uid="{3CC5FAA8-2A8F-4585-823D-5227051B1C40}" name="Descripción" dataDxfId="148" dataCellStyle="Normal 3 2"/>
    <tableColumn id="2" xr3:uid="{6174443B-46F5-4B05-90B8-A68A4F276442}" name="Cant" dataDxfId="147" dataCellStyle="Normal 3 2"/>
    <tableColumn id="3" xr3:uid="{176C2543-1AB8-429B-A25A-9738E61A0425}" name="Jornal" dataDxfId="146" dataCellStyle="Moneda [0] 5"/>
    <tableColumn id="4" xr3:uid="{AD9663FE-0C33-496E-B3F2-E027AE1B1E7E}" name="Prestaciones" dataDxfId="145" dataCellStyle="Normal 3 2"/>
    <tableColumn id="5" xr3:uid="{75FD53B0-F406-45DD-974E-7FFFE956E841}" name="Jornal Total" dataDxfId="144">
      <calculatedColumnFormula>B589*C589*(D589)</calculatedColumnFormula>
    </tableColumn>
    <tableColumn id="6" xr3:uid="{C0AA1F22-8042-4EFD-828C-FB3918AF7FCF}" name="Rendimiento" dataDxfId="143" dataCellStyle="Normal 3 2"/>
    <tableColumn id="7" xr3:uid="{0560EBBD-7295-4C5B-8CEB-9CAA116E16ED}" name="Valor Parcial" dataDxfId="142" dataCellStyle="Millares 3 2">
      <calculatedColumnFormula>E589*F589</calculatedColumnFormula>
    </tableColumn>
  </tableColumns>
  <tableStyleInfo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59ABB3D6-DE51-4A44-B5E9-6878268CB14D}" name="MATERIALES_03548" displayName="MATERIALES_03548" ref="A266:G277" totalsRowShown="0" headerRowDxfId="141" headerRowBorderDxfId="140" tableBorderDxfId="139" totalsRowBorderDxfId="138">
  <tableColumns count="7">
    <tableColumn id="1" xr3:uid="{9D03FFE5-FB32-4C06-AC48-FDB10EEA84C6}" name="Descripcion" dataDxfId="137"/>
    <tableColumn id="2" xr3:uid="{B864E4AC-8EC4-4C5C-9A58-361B46F6A7B4}" name="Columna1" dataDxfId="136"/>
    <tableColumn id="3" xr3:uid="{E9976C5C-28C9-4A0B-B84B-4998CA166938}" name="Columna2" dataDxfId="135"/>
    <tableColumn id="4" xr3:uid="{CAFF4514-DF7B-4271-A832-6BC4F86104AD}" name="Unid." dataDxfId="134" dataCellStyle="Millares [0] 3">
      <calculatedColumnFormula>IFERROR(VLOOKUP(MATERIALES_03548[[#This Row],[Descripcion]],INSUM_[#All],2,FALSE),"")</calculatedColumnFormula>
    </tableColumn>
    <tableColumn id="5" xr3:uid="{ACC45C42-45A0-4F88-AD5A-27FE60CF5247}" name="Precio Unit." dataDxfId="133">
      <calculatedColumnFormula>IFERROR(VLOOKUP(MATERIALES_03548[[#This Row],[Descripcion]],INSUM_[#All],3,FALSE),"")</calculatedColumnFormula>
    </tableColumn>
    <tableColumn id="6" xr3:uid="{029F5F5D-9F0B-4776-B062-8E5DC3919715}" name="Cantidad" dataDxfId="132" dataCellStyle="Millares [0] 3">
      <calculatedColumnFormula>1.03/6</calculatedColumnFormula>
    </tableColumn>
    <tableColumn id="7" xr3:uid="{F30A94F5-124B-4029-9A81-8EDC799FB65A}" name="Vr. Unitario" dataDxfId="131" dataCellStyle="Millares 3 2">
      <calculatedColumnFormula>+IFERROR(E267*F267,"")</calculatedColumnFormula>
    </tableColumn>
  </tableColumns>
  <tableStyleInfo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31C88B08-5191-4AC7-A005-33C3CA1702FB}" name="EQUIPOS_03649" displayName="EQUIPOS_03649" ref="A259:G263" totalsRowShown="0" headerRowDxfId="130" headerRowBorderDxfId="129" tableBorderDxfId="128" totalsRowBorderDxfId="127" headerRowCellStyle="Normal 3 2">
  <autoFilter ref="A259:G263" xr:uid="{31C88B08-5191-4AC7-A005-33C3CA1702FB}"/>
  <tableColumns count="7">
    <tableColumn id="1" xr3:uid="{5C9C0B08-6A09-4085-B035-BB94F1BA6034}" name="Descripción" dataDxfId="126"/>
    <tableColumn id="2" xr3:uid="{B061913F-82E7-4634-8609-38DB21DD2474}" name="Column1" dataDxfId="125"/>
    <tableColumn id="3" xr3:uid="{25F3A080-D163-4230-AF87-193AACC3582E}" name="Column2" dataDxfId="124"/>
    <tableColumn id="4" xr3:uid="{5B51C34B-8305-4FC4-938C-ED2E0A2E6E66}" name="Column3" dataDxfId="123"/>
    <tableColumn id="5" xr3:uid="{B5EE7FD4-FB7C-4880-99D4-122859E0B333}" name="Tarifa" dataDxfId="122"/>
    <tableColumn id="6" xr3:uid="{D700107C-59A6-4417-84A6-F5AB64E2FD51}" name="Rendimiento"/>
    <tableColumn id="7" xr3:uid="{1F2975D7-5295-4057-A0A5-FA3A2E7453A8}" name="Valor Parcial"/>
  </tableColumns>
  <tableStyleInfo showFirstColumn="0" showLastColumn="0" showRowStripes="1" showColumnStripes="0"/>
</table>
</file>

<file path=xl/tables/table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1D14A304-8A3F-4A52-A7F6-DBD9AB979508}" name="TRANS_03750" displayName="TRANS_03750" ref="A280:G282" totalsRowShown="0" headerRowDxfId="121" headerRowBorderDxfId="120" tableBorderDxfId="119" totalsRowBorderDxfId="118">
  <autoFilter ref="A280:G282" xr:uid="{1D14A304-8A3F-4A52-A7F6-DBD9AB979508}"/>
  <tableColumns count="7">
    <tableColumn id="1" xr3:uid="{6035630F-2581-4850-98F8-99762287A112}" name="Descripción" dataDxfId="117" dataCellStyle="Normal 3 2"/>
    <tableColumn id="2" xr3:uid="{C7AD0DB5-8145-439C-96FE-48C4978F6F5D}" name="Columna1" dataDxfId="116" dataCellStyle="Normal 3 2"/>
    <tableColumn id="3" xr3:uid="{971D952A-3369-470F-806D-F64C38DF8814}" name="Distancia Km." dataDxfId="115" dataCellStyle="Normal 3 2"/>
    <tableColumn id="4" xr3:uid="{9FC15C41-8C22-43FB-A880-5EB4F9DF1F26}" name="Vol o Peso"/>
    <tableColumn id="5" xr3:uid="{650374C4-7A24-4BD6-84CC-0BAF37209D0E}" name="Tarifa" dataDxfId="114">
      <calculatedColumnFormula>1.0953*1200</calculatedColumnFormula>
    </tableColumn>
    <tableColumn id="6" xr3:uid="{E7987462-A4D5-4890-AB81-BCBB25B9B624}" name="Cantidad"/>
    <tableColumn id="7" xr3:uid="{430D80C7-8520-4EB6-90CF-C4FD0D70CE28}" name="Vr. Unitario" dataDxfId="113" dataCellStyle="Normal 3 2">
      <calculatedColumnFormula>E281*F281*D281</calculatedColumnFormula>
    </tableColumn>
  </tableColumns>
  <tableStyleInfo showFirstColumn="0" showLastColumn="0" showRowStripes="1" showColumnStripes="0"/>
</table>
</file>

<file path=xl/tables/table4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CC29100D-5F20-4D6F-808E-3E5AE5C81CA4}" name="MO_03851" displayName="MO_03851" ref="A285:G287" totalsRowShown="0" headerRowDxfId="112" headerRowBorderDxfId="111" tableBorderDxfId="110" totalsRowBorderDxfId="109">
  <autoFilter ref="A285:G287" xr:uid="{CC29100D-5F20-4D6F-808E-3E5AE5C81CA4}"/>
  <tableColumns count="7">
    <tableColumn id="1" xr3:uid="{7559A133-2919-4FD9-A7D6-EDC36B829B8A}" name="Descripción" dataDxfId="108" dataCellStyle="Normal 3 2"/>
    <tableColumn id="2" xr3:uid="{1D054DF3-E062-442F-BD76-1DB124965558}" name="Cant" dataDxfId="107" dataCellStyle="Normal 3 2"/>
    <tableColumn id="3" xr3:uid="{30E717BA-9B90-4C38-85A1-1965179A5D7B}" name="Jornal" dataDxfId="106" dataCellStyle="Moneda [0] 5"/>
    <tableColumn id="4" xr3:uid="{3F4A9EE9-3BE3-40A6-AF4E-3C4242642E5C}" name="Prestaciones" dataDxfId="105" dataCellStyle="Normal 3 2"/>
    <tableColumn id="5" xr3:uid="{9D5A2C3B-35CE-456B-A9EC-30E3A217414C}" name="Jornal Total" dataDxfId="104">
      <calculatedColumnFormula>B286*C286*(D286)</calculatedColumnFormula>
    </tableColumn>
    <tableColumn id="6" xr3:uid="{B3C75D4E-F19F-4F0B-9B0E-8522D2356BED}" name="Rendimiento" dataDxfId="103" dataCellStyle="Normal 3 2">
      <calculatedColumnFormula>F285</calculatedColumnFormula>
    </tableColumn>
    <tableColumn id="7" xr3:uid="{C2440AB9-5F54-457D-9533-7DC4AB6FFAA9}" name="Valor Parcial" dataDxfId="102" dataCellStyle="Millares 3 2">
      <calculatedColumnFormula>E286*F286</calculatedColumnFormula>
    </tableColumn>
  </tableColumns>
  <tableStyleInfo showFirstColumn="0" showLastColumn="0" showRowStripes="1" showColumnStripes="0"/>
</table>
</file>

<file path=xl/tables/table4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3239B0A0-69D9-494E-91C6-767E0A76540D}" name="MATERIALES_03552" displayName="MATERIALES_03552" ref="A316:G327" totalsRowShown="0" headerRowDxfId="101" headerRowBorderDxfId="100" tableBorderDxfId="99" totalsRowBorderDxfId="98">
  <tableColumns count="7">
    <tableColumn id="1" xr3:uid="{41BBF77C-6EAD-406C-8CF1-4B4CD7B0D296}" name="Descripcion" dataDxfId="97"/>
    <tableColumn id="2" xr3:uid="{1BEDB5EE-6193-445F-BF21-DA97FD4085C6}" name="Columna1" dataDxfId="96"/>
    <tableColumn id="3" xr3:uid="{D37DD2F2-C8A3-4A45-9945-BF7C624161AA}" name="Columna2" dataDxfId="95"/>
    <tableColumn id="4" xr3:uid="{0B7AD4B9-74FD-459D-A52C-6560D91F1622}" name="Unid." dataDxfId="94" dataCellStyle="Millares [0] 3">
      <calculatedColumnFormula>IFERROR(VLOOKUP(MATERIALES_03552[[#This Row],[Descripcion]],INSUM_[#All],2,FALSE),"")</calculatedColumnFormula>
    </tableColumn>
    <tableColumn id="5" xr3:uid="{A726C16D-7F72-41C2-9DE9-80FE8B83E59D}" name="Precio Unit." dataDxfId="93">
      <calculatedColumnFormula>IFERROR(VLOOKUP(MATERIALES_03552[[#This Row],[Descripcion]],INSUM_[#All],3,FALSE),"")</calculatedColumnFormula>
    </tableColumn>
    <tableColumn id="6" xr3:uid="{FBBFDA94-B888-4E99-81C9-101D8442E480}" name="Cantidad" dataDxfId="92" dataCellStyle="Millares [0] 3"/>
    <tableColumn id="7" xr3:uid="{F15B25B3-C874-46E3-8DFA-346CBBA2F0F9}" name="Vr. Unitario" dataDxfId="91" dataCellStyle="Millares 3 2">
      <calculatedColumnFormula>+IFERROR(E317*F317,"")</calculatedColumnFormula>
    </tableColumn>
  </tableColumns>
  <tableStyleInfo showFirstColumn="0" showLastColumn="0" showRowStripes="1" showColumnStripes="0"/>
</table>
</file>

<file path=xl/tables/table4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8B42DFBD-4410-4AE2-9D62-EC0DB3EDBAC1}" name="EQUIPOS_03653" displayName="EQUIPOS_03653" ref="A309:G313" totalsRowShown="0" headerRowDxfId="90" headerRowBorderDxfId="89" tableBorderDxfId="88" totalsRowBorderDxfId="87" headerRowCellStyle="Normal 3 2">
  <autoFilter ref="A309:G313" xr:uid="{8B42DFBD-4410-4AE2-9D62-EC0DB3EDBAC1}"/>
  <tableColumns count="7">
    <tableColumn id="1" xr3:uid="{AB23B136-17BE-4AED-95F1-F7D01186EC69}" name="Descripción" dataDxfId="86"/>
    <tableColumn id="2" xr3:uid="{BD69C5F9-F842-40D3-801F-30F5FD3ADF15}" name="Column1" dataDxfId="85"/>
    <tableColumn id="3" xr3:uid="{AB3E6540-BDAC-4D15-8193-36C8093B358B}" name="Column2" dataDxfId="84"/>
    <tableColumn id="4" xr3:uid="{FFAFD740-8B20-40AE-888C-6C9AA883BE54}" name="Column3" dataDxfId="83"/>
    <tableColumn id="5" xr3:uid="{69862489-90D0-4F82-A259-AB880FEC2617}" name="Tarifa" dataDxfId="82"/>
    <tableColumn id="6" xr3:uid="{4AE92BF2-53FC-40E4-B49F-5671989D07C7}" name="Rendimiento"/>
    <tableColumn id="7" xr3:uid="{DFF6B998-604E-4ACB-A296-DB0D40E31791}" name="Valor Parcial"/>
  </tableColumns>
  <tableStyleInfo showFirstColumn="0" showLastColumn="0" showRowStripes="1" showColumnStripes="0"/>
</table>
</file>

<file path=xl/tables/table4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583F47AD-CEFB-4AF9-B4DB-7A8ABEFAD60C}" name="TRANS_03754" displayName="TRANS_03754" ref="A330:G332" totalsRowShown="0" headerRowDxfId="81" headerRowBorderDxfId="80" tableBorderDxfId="79" totalsRowBorderDxfId="78">
  <autoFilter ref="A330:G332" xr:uid="{583F47AD-CEFB-4AF9-B4DB-7A8ABEFAD60C}"/>
  <tableColumns count="7">
    <tableColumn id="1" xr3:uid="{CD292C09-E936-456D-9BC0-A66A1E5F310E}" name="Descripción" dataDxfId="77" dataCellStyle="Normal 3 2"/>
    <tableColumn id="2" xr3:uid="{6D9B4F45-2B97-4746-ADE4-B1EBA1D42253}" name="Columna1" dataDxfId="76" dataCellStyle="Normal 3 2"/>
    <tableColumn id="3" xr3:uid="{54DB48A0-F005-4202-84A9-3A630192C571}" name="Distancia Km." dataDxfId="75" dataCellStyle="Normal 3 2"/>
    <tableColumn id="4" xr3:uid="{404F5257-DA08-4836-B80B-483FF9EC358E}" name="Vol o Peso"/>
    <tableColumn id="5" xr3:uid="{349BB6B6-973F-40A9-B2FD-F2A9CE8CB6DE}" name="Tarifa" dataDxfId="74">
      <calculatedColumnFormula>1.0953*1200</calculatedColumnFormula>
    </tableColumn>
    <tableColumn id="6" xr3:uid="{54299F9F-45CB-4465-ADC6-385D4204FC9D}" name="Cantidad"/>
    <tableColumn id="7" xr3:uid="{56463826-BC4E-444D-9980-36D854519F87}" name="Vr. Unitario" dataDxfId="73" dataCellStyle="Normal 3 2">
      <calculatedColumnFormula>E331*F331*D331</calculatedColumnFormula>
    </tableColumn>
  </tableColumns>
  <tableStyleInfo showFirstColumn="0" showLastColumn="0" showRowStripes="1" showColumnStripes="0"/>
</table>
</file>

<file path=xl/tables/table4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390770CF-055A-4963-91ED-2255AE7A50ED}" name="MO_03855" displayName="MO_03855" ref="A335:G337" totalsRowShown="0" headerRowDxfId="72" headerRowBorderDxfId="71" tableBorderDxfId="70" totalsRowBorderDxfId="69">
  <autoFilter ref="A335:G337" xr:uid="{390770CF-055A-4963-91ED-2255AE7A50ED}"/>
  <tableColumns count="7">
    <tableColumn id="1" xr3:uid="{5EF09776-56B5-4C69-8F4C-0F622E4943DC}" name="Descripción" dataDxfId="68" dataCellStyle="Normal 3 2"/>
    <tableColumn id="2" xr3:uid="{F0278ED7-6098-4627-8F5F-43DA85840638}" name="Cant" dataDxfId="67" dataCellStyle="Normal 3 2"/>
    <tableColumn id="3" xr3:uid="{54210B9F-14A9-49D7-940F-9764DC9B3139}" name="Jornal" dataDxfId="66" dataCellStyle="Moneda [0] 5"/>
    <tableColumn id="4" xr3:uid="{9BDE1D10-5B49-4710-9D1B-FDD02F404255}" name="Prestaciones" dataDxfId="65" dataCellStyle="Normal 3 2"/>
    <tableColumn id="5" xr3:uid="{EE6285D0-2F44-4C1A-A026-C64DFD06CD74}" name="Jornal Total" dataDxfId="64">
      <calculatedColumnFormula>B336*C336*(D336)</calculatedColumnFormula>
    </tableColumn>
    <tableColumn id="6" xr3:uid="{31D8D91D-623C-4FA5-9EE5-B15C94ADBD1A}" name="Rendimiento" dataDxfId="63" dataCellStyle="Normal 3 2">
      <calculatedColumnFormula>F335</calculatedColumnFormula>
    </tableColumn>
    <tableColumn id="7" xr3:uid="{76C4AFFB-7105-467A-AE5B-67ED36B0FD1F}" name="Valor Parcial" dataDxfId="62" dataCellStyle="Millares 3 2">
      <calculatedColumnFormula>E336*F336</calculatedColumnFormula>
    </tableColumn>
  </tableColumns>
  <tableStyleInfo showFirstColumn="0" showLastColumn="0" showRowStripes="1" showColumnStripes="0"/>
</table>
</file>

<file path=xl/tables/table4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C606E743-43AC-4C6D-9026-C6C661F41DE7}" name="Table28" displayName="Table28" ref="A1:F1269" totalsRowCount="1" headerRowDxfId="61" dataDxfId="60" tableBorderDxfId="59">
  <autoFilter ref="A1:F1268" xr:uid="{C606E743-43AC-4C6D-9026-C6C661F41DE7}">
    <filterColumn colId="3">
      <filters>
        <filter val="10.00"/>
        <filter val="118.00"/>
        <filter val="136.00"/>
        <filter val="141.00"/>
        <filter val="17.00"/>
        <filter val="18.00"/>
        <filter val="19.00"/>
        <filter val="222.00"/>
        <filter val="281.00"/>
        <filter val="3.00"/>
        <filter val="30.00"/>
        <filter val="4.00"/>
        <filter val="46.00"/>
        <filter val="47.00"/>
        <filter val="48.00"/>
        <filter val="5.00"/>
        <filter val="54.00"/>
        <filter val="6.00"/>
        <filter val="604.00"/>
        <filter val="65.00"/>
        <filter val="7.00"/>
        <filter val="8.00"/>
      </filters>
    </filterColumn>
  </autoFilter>
  <sortState xmlns:xlrd2="http://schemas.microsoft.com/office/spreadsheetml/2017/richdata2" ref="A2:F1093">
    <sortCondition ref="A1:A1267"/>
  </sortState>
  <tableColumns count="6">
    <tableColumn id="1" xr3:uid="{F7C3702A-A26A-42D1-B533-D534BB647833}" name="ITEM" totalsRowLabel="Total" dataDxfId="58" totalsRowDxfId="57"/>
    <tableColumn id="2" xr3:uid="{32062975-DE3F-4CA8-A401-848D64EE8BAD}" name="DESCRIPCIÓN " totalsRowFunction="count" dataDxfId="56" totalsRowDxfId="55"/>
    <tableColumn id="3" xr3:uid="{81264EE3-9B1B-484D-8151-8CB3603248F5}" name="UNIDAD" dataDxfId="54"/>
    <tableColumn id="5" xr3:uid="{87A4F2A0-277F-4B35-9D48-D7D545476416}" name="CANTIDAD" dataDxfId="53">
      <calculatedColumnFormula>+ROUNDUP(SUMIFS('MEMORIA CANTIDADES'!E:E,'MEMORIA CANTIDADES'!B:B,Table28[[#This Row],[DESCRIPCIÓN ]],'MEMORIA CANTIDADES'!C:C,Table28[[#This Row],[UNIDAD]]),0)</calculatedColumnFormula>
    </tableColumn>
    <tableColumn id="6" xr3:uid="{A0B62CCF-BBFB-4448-AADD-4C20105FF2CA}" name="VALOR UNITARIO" dataDxfId="52"/>
    <tableColumn id="7" xr3:uid="{40CEF1B9-4BED-4F13-99F1-E6AB70AD92D9}" name="VALOR TOTAL" totalsRowFunction="sum" dataDxfId="51" totalsRowDxfId="50">
      <calculatedColumnFormula>+Table28[[#This Row],[CANTIDAD]]*Table28[[#This Row],[VALOR UNITARIO]]</calculatedColumnFormula>
    </tableColumn>
  </tableColumns>
  <tableStyleInfo name="TableStyleLight15" showFirstColumn="0" showLastColumn="0" showRowStripes="1" showColumnStripes="0"/>
</table>
</file>

<file path=xl/tables/table5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FFCDF10B-E772-483B-96AF-F034ED2FC06F}" name="MATERIALES_035" displayName="MATERIALES_035" ref="A16:G27" totalsRowShown="0" headerRowDxfId="49" headerRowBorderDxfId="48" tableBorderDxfId="47" totalsRowBorderDxfId="46">
  <tableColumns count="7">
    <tableColumn id="1" xr3:uid="{4C5978FA-83D6-41E8-958A-6E7D9A346A22}" name="Descripcion" dataDxfId="45"/>
    <tableColumn id="2" xr3:uid="{ED476498-F28A-459C-B423-9E54D2ADC885}" name="Columna1" dataDxfId="44"/>
    <tableColumn id="3" xr3:uid="{D584DAF0-24FF-48C6-BF83-70608398586C}" name="Columna2" dataDxfId="43"/>
    <tableColumn id="4" xr3:uid="{1083DCE3-A5C6-4971-BC8F-2E0DB9F2060B}" name="Unid." dataDxfId="42" dataCellStyle="Millares [0] 3">
      <calculatedColumnFormula>IFERROR(VLOOKUP(MATERIALES_035[[#This Row],[Descripcion]],INSUM_[#All],2,FALSE),"")</calculatedColumnFormula>
    </tableColumn>
    <tableColumn id="5" xr3:uid="{845C7BF2-89B8-4120-A56B-62D22A945BB0}" name="Precio Unit." dataDxfId="41">
      <calculatedColumnFormula>IFERROR(VLOOKUP(MATERIALES_035[[#This Row],[Descripcion]],INSUM_[#All],3,FALSE),"")</calculatedColumnFormula>
    </tableColumn>
    <tableColumn id="6" xr3:uid="{435B3B4C-78EE-4662-AB69-9EE30262419E}" name="Cantidad" dataDxfId="40" dataCellStyle="Millares [0] 3"/>
    <tableColumn id="7" xr3:uid="{520F4ECD-ED44-4D22-A9ED-314EE4BC1482}" name="Vr. Unitario" dataDxfId="39" dataCellStyle="Millares 3 2">
      <calculatedColumnFormula>+IFERROR(E17*F17,"")</calculatedColumnFormula>
    </tableColumn>
  </tableColumns>
  <tableStyleInfo showFirstColumn="0" showLastColumn="0" showRowStripes="1" showColumnStripes="0"/>
</table>
</file>

<file path=xl/tables/table5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33863C13-00F5-4112-8EFB-CCEE22F139A4}" name="EQUIPOS_036" displayName="EQUIPOS_036" ref="A9:G13" totalsRowShown="0" headerRowDxfId="38" headerRowBorderDxfId="37" tableBorderDxfId="36" totalsRowBorderDxfId="35" headerRowCellStyle="Normal 3 2">
  <autoFilter ref="A9:G13" xr:uid="{5FC2E61E-A212-44CA-9092-95BB700B00B4}">
    <filterColumn colId="0" hiddenButton="1"/>
    <filterColumn colId="1" hiddenButton="1"/>
    <filterColumn colId="2" hiddenButton="1"/>
    <filterColumn colId="3" hiddenButton="1"/>
    <filterColumn colId="4" hiddenButton="1"/>
    <filterColumn colId="5" hiddenButton="1"/>
    <filterColumn colId="6" hiddenButton="1"/>
  </autoFilter>
  <tableColumns count="7">
    <tableColumn id="1" xr3:uid="{179FB732-9F23-4BC3-969A-B41A093E4BF7}" name="Descripción" dataDxfId="34"/>
    <tableColumn id="2" xr3:uid="{674C1FBB-DC09-4DE9-8F21-8C4485C7A9B3}" name="Column1" dataDxfId="33"/>
    <tableColumn id="3" xr3:uid="{CC90BA4E-D1C4-4591-BC3E-ECC594C8AD8A}" name="Column2" dataDxfId="32"/>
    <tableColumn id="4" xr3:uid="{7E765605-BE74-4AF6-87FF-549C753416C1}" name="Column3" dataDxfId="31"/>
    <tableColumn id="5" xr3:uid="{B9D524F3-0013-4200-9B04-F2C9795353BE}" name="Tarifa" dataDxfId="30"/>
    <tableColumn id="6" xr3:uid="{C1835A0E-275D-49C4-8325-D30113489CF5}" name="Rendimiento"/>
    <tableColumn id="7" xr3:uid="{C3889EA4-8CE1-4AD2-808B-BD72BD267D58}" name="Valor Parcial"/>
  </tableColumns>
  <tableStyleInfo showFirstColumn="0" showLastColumn="0" showRowStripes="1" showColumnStripes="0"/>
</table>
</file>

<file path=xl/tables/table5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8D50AD49-B966-4BD8-A10D-842FCAA045B4}" name="TRANS_037" displayName="TRANS_037" ref="A30:G32" totalsRowShown="0" headerRowDxfId="29" headerRowBorderDxfId="28" tableBorderDxfId="27" totalsRowBorderDxfId="26">
  <autoFilter ref="A30:G32" xr:uid="{61895C1E-D132-4C43-9515-61CFF790C7ED}">
    <filterColumn colId="0" hiddenButton="1"/>
    <filterColumn colId="1" hiddenButton="1"/>
    <filterColumn colId="2" hiddenButton="1"/>
    <filterColumn colId="3" hiddenButton="1"/>
    <filterColumn colId="4" hiddenButton="1"/>
    <filterColumn colId="5" hiddenButton="1"/>
    <filterColumn colId="6" hiddenButton="1"/>
  </autoFilter>
  <tableColumns count="7">
    <tableColumn id="1" xr3:uid="{6BFA61A3-B5B9-49D3-A92A-C2FC5568EC2E}" name="Descripción" dataDxfId="25" dataCellStyle="Normal 3 2"/>
    <tableColumn id="2" xr3:uid="{733386D2-BF8E-4623-91C1-977F39765666}" name="Columna1" dataDxfId="24" dataCellStyle="Normal 3 2"/>
    <tableColumn id="3" xr3:uid="{3A07570A-020F-4EAF-86A3-62FDAE85C280}" name="Distancia Km." dataDxfId="23" dataCellStyle="Normal 3 2"/>
    <tableColumn id="4" xr3:uid="{2C7C3934-4E2D-4A8D-94AE-52EF32B0BA6B}" name="Vol o Peso"/>
    <tableColumn id="5" xr3:uid="{16BC30C2-9DDB-4D79-9682-1E1C876A0C88}" name="Tarifa" dataDxfId="22"/>
    <tableColumn id="6" xr3:uid="{2DC937D1-1992-4F7E-8B1B-3EB3C451E5C7}" name="Cantidad"/>
    <tableColumn id="7" xr3:uid="{644DAA2F-3A53-470F-A6CA-ABF7049B4719}" name="Vr. Unitario" dataDxfId="21" dataCellStyle="Normal 3 2">
      <calculatedColumnFormula>E31*F31*D31</calculatedColumnFormula>
    </tableColumn>
  </tableColumns>
  <tableStyleInfo showFirstColumn="0" showLastColumn="0" showRowStripes="1" showColumnStripes="0"/>
</table>
</file>

<file path=xl/tables/table5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A011148F-5873-4396-AC92-6B6C7799EC80}" name="MO_038" displayName="MO_038" ref="A35:G37" totalsRowShown="0" headerRowDxfId="20" headerRowBorderDxfId="19" tableBorderDxfId="18" totalsRowBorderDxfId="17">
  <autoFilter ref="A35:G37" xr:uid="{A9ED7008-EA3C-4188-8923-8CFB420E1CC7}">
    <filterColumn colId="0" hiddenButton="1"/>
    <filterColumn colId="1" hiddenButton="1"/>
    <filterColumn colId="2" hiddenButton="1"/>
    <filterColumn colId="3" hiddenButton="1"/>
    <filterColumn colId="4" hiddenButton="1"/>
    <filterColumn colId="5" hiddenButton="1"/>
    <filterColumn colId="6" hiddenButton="1"/>
  </autoFilter>
  <tableColumns count="7">
    <tableColumn id="1" xr3:uid="{CD82AC65-EE9E-4DA4-BB31-E303516A2AB0}" name="Descripción" dataDxfId="16" dataCellStyle="Normal 3 2"/>
    <tableColumn id="2" xr3:uid="{8B708F17-B72F-4504-A3AE-F035A1C1BA99}" name="Cant" dataDxfId="15" dataCellStyle="Normal 3 2"/>
    <tableColumn id="3" xr3:uid="{DEC1481C-3BF0-4D26-B38B-C3162FB2ADAD}" name="Jornal" dataDxfId="14" dataCellStyle="Moneda [0] 5"/>
    <tableColumn id="4" xr3:uid="{022D9655-FB74-41B2-811C-3E7E12DDFE48}" name="Prestaciones" dataDxfId="13" dataCellStyle="Normal 3 2"/>
    <tableColumn id="5" xr3:uid="{F5CFE53B-B18E-4E9F-97B9-6E1DC2D76F43}" name="Jornal Total" dataDxfId="12">
      <calculatedColumnFormula>B36*C36*(D36)</calculatedColumnFormula>
    </tableColumn>
    <tableColumn id="6" xr3:uid="{AADBF9E4-A869-4715-A044-2BFB9D20341F}" name="Rendimiento" dataDxfId="11" dataCellStyle="Normal 3 2">
      <calculatedColumnFormula>F35</calculatedColumnFormula>
    </tableColumn>
    <tableColumn id="7" xr3:uid="{8A482CE3-EAA2-4B50-9079-9D2BC1C6FA05}" name="Valor Parcial" dataDxfId="10" dataCellStyle="Millares 3 2">
      <calculatedColumnFormula>E36*F36</calculatedColumnFormula>
    </tableColumn>
  </tableColumns>
  <tableStyleInfo showFirstColumn="0" showLastColumn="0" showRowStripes="1" showColumnStripes="0"/>
</table>
</file>

<file path=xl/tables/table5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FABC453-261A-4C38-89C6-6CACB84D6B61}" name="INSUM_" displayName="INSUM_" ref="A1:D1267" headerRowDxfId="9">
  <autoFilter ref="A1:D1267" xr:uid="{00000000-0009-0000-0100-000001000000}"/>
  <sortState xmlns:xlrd2="http://schemas.microsoft.com/office/spreadsheetml/2017/richdata2" ref="A2:D1267">
    <sortCondition ref="D1:D1267"/>
  </sortState>
  <tableColumns count="4">
    <tableColumn id="2" xr3:uid="{F7604547-0B10-497F-85BA-BA49DFD22AEB}" name="CARACTERISTICAS " totalsRowLabel="Total" dataDxfId="8" totalsRowDxfId="7"/>
    <tableColumn id="3" xr3:uid="{1A62DC69-F47A-4D56-957A-CC546EDF6B37}" name="UNIDAD DE MEDIDA" dataDxfId="6" totalsRowDxfId="5"/>
    <tableColumn id="4" xr3:uid="{25834F96-E6B8-49F8-A00E-3A66448F6B50}" name="PRECIO" totalsRowFunction="sum" dataDxfId="4" totalsRowDxfId="3" dataCellStyle="Moneda 2"/>
    <tableColumn id="1" xr3:uid="{DC01AC9B-97C5-4D76-81B9-AB6C38DFE8E8}" name="No" dataDxfId="2"/>
  </tableColumns>
  <tableStyleInfo name="TableStyleMedium9" showFirstColumn="0" showLastColumn="0" showRowStripes="0" showColumnStripes="0"/>
</table>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3" Type="http://schemas.openxmlformats.org/officeDocument/2006/relationships/table" Target="../tables/table11.xml"/><Relationship Id="rId18" Type="http://schemas.openxmlformats.org/officeDocument/2006/relationships/table" Target="../tables/table16.xml"/><Relationship Id="rId26" Type="http://schemas.openxmlformats.org/officeDocument/2006/relationships/table" Target="../tables/table24.xml"/><Relationship Id="rId39" Type="http://schemas.openxmlformats.org/officeDocument/2006/relationships/table" Target="../tables/table37.xml"/><Relationship Id="rId21" Type="http://schemas.openxmlformats.org/officeDocument/2006/relationships/table" Target="../tables/table19.xml"/><Relationship Id="rId34" Type="http://schemas.openxmlformats.org/officeDocument/2006/relationships/table" Target="../tables/table32.xml"/><Relationship Id="rId42" Type="http://schemas.openxmlformats.org/officeDocument/2006/relationships/table" Target="../tables/table40.xml"/><Relationship Id="rId47" Type="http://schemas.openxmlformats.org/officeDocument/2006/relationships/table" Target="../tables/table45.xml"/><Relationship Id="rId50" Type="http://schemas.openxmlformats.org/officeDocument/2006/relationships/table" Target="../tables/table48.xml"/><Relationship Id="rId7" Type="http://schemas.openxmlformats.org/officeDocument/2006/relationships/table" Target="../tables/table5.xml"/><Relationship Id="rId2" Type="http://schemas.openxmlformats.org/officeDocument/2006/relationships/vmlDrawing" Target="../drawings/vmlDrawing3.vml"/><Relationship Id="rId16" Type="http://schemas.openxmlformats.org/officeDocument/2006/relationships/table" Target="../tables/table14.xml"/><Relationship Id="rId29" Type="http://schemas.openxmlformats.org/officeDocument/2006/relationships/table" Target="../tables/table27.xml"/><Relationship Id="rId11" Type="http://schemas.openxmlformats.org/officeDocument/2006/relationships/table" Target="../tables/table9.xml"/><Relationship Id="rId24" Type="http://schemas.openxmlformats.org/officeDocument/2006/relationships/table" Target="../tables/table22.xml"/><Relationship Id="rId32" Type="http://schemas.openxmlformats.org/officeDocument/2006/relationships/table" Target="../tables/table30.xml"/><Relationship Id="rId37" Type="http://schemas.openxmlformats.org/officeDocument/2006/relationships/table" Target="../tables/table35.xml"/><Relationship Id="rId40" Type="http://schemas.openxmlformats.org/officeDocument/2006/relationships/table" Target="../tables/table38.xml"/><Relationship Id="rId45" Type="http://schemas.openxmlformats.org/officeDocument/2006/relationships/table" Target="../tables/table43.xml"/><Relationship Id="rId5" Type="http://schemas.openxmlformats.org/officeDocument/2006/relationships/table" Target="../tables/table3.xml"/><Relationship Id="rId15" Type="http://schemas.openxmlformats.org/officeDocument/2006/relationships/table" Target="../tables/table13.xml"/><Relationship Id="rId23" Type="http://schemas.openxmlformats.org/officeDocument/2006/relationships/table" Target="../tables/table21.xml"/><Relationship Id="rId28" Type="http://schemas.openxmlformats.org/officeDocument/2006/relationships/table" Target="../tables/table26.xml"/><Relationship Id="rId36" Type="http://schemas.openxmlformats.org/officeDocument/2006/relationships/table" Target="../tables/table34.xml"/><Relationship Id="rId49" Type="http://schemas.openxmlformats.org/officeDocument/2006/relationships/table" Target="../tables/table47.xml"/><Relationship Id="rId10" Type="http://schemas.openxmlformats.org/officeDocument/2006/relationships/table" Target="../tables/table8.xml"/><Relationship Id="rId19" Type="http://schemas.openxmlformats.org/officeDocument/2006/relationships/table" Target="../tables/table17.xml"/><Relationship Id="rId31" Type="http://schemas.openxmlformats.org/officeDocument/2006/relationships/table" Target="../tables/table29.xml"/><Relationship Id="rId44" Type="http://schemas.openxmlformats.org/officeDocument/2006/relationships/table" Target="../tables/table42.xml"/><Relationship Id="rId4" Type="http://schemas.openxmlformats.org/officeDocument/2006/relationships/table" Target="../tables/table2.xml"/><Relationship Id="rId9" Type="http://schemas.openxmlformats.org/officeDocument/2006/relationships/table" Target="../tables/table7.xml"/><Relationship Id="rId14" Type="http://schemas.openxmlformats.org/officeDocument/2006/relationships/table" Target="../tables/table12.xml"/><Relationship Id="rId22" Type="http://schemas.openxmlformats.org/officeDocument/2006/relationships/table" Target="../tables/table20.xml"/><Relationship Id="rId27" Type="http://schemas.openxmlformats.org/officeDocument/2006/relationships/table" Target="../tables/table25.xml"/><Relationship Id="rId30" Type="http://schemas.openxmlformats.org/officeDocument/2006/relationships/table" Target="../tables/table28.xml"/><Relationship Id="rId35" Type="http://schemas.openxmlformats.org/officeDocument/2006/relationships/table" Target="../tables/table33.xml"/><Relationship Id="rId43" Type="http://schemas.openxmlformats.org/officeDocument/2006/relationships/table" Target="../tables/table41.xml"/><Relationship Id="rId48" Type="http://schemas.openxmlformats.org/officeDocument/2006/relationships/table" Target="../tables/table46.xml"/><Relationship Id="rId8" Type="http://schemas.openxmlformats.org/officeDocument/2006/relationships/table" Target="../tables/table6.xml"/><Relationship Id="rId3" Type="http://schemas.openxmlformats.org/officeDocument/2006/relationships/table" Target="../tables/table1.xml"/><Relationship Id="rId12" Type="http://schemas.openxmlformats.org/officeDocument/2006/relationships/table" Target="../tables/table10.xml"/><Relationship Id="rId17" Type="http://schemas.openxmlformats.org/officeDocument/2006/relationships/table" Target="../tables/table15.xml"/><Relationship Id="rId25" Type="http://schemas.openxmlformats.org/officeDocument/2006/relationships/table" Target="../tables/table23.xml"/><Relationship Id="rId33" Type="http://schemas.openxmlformats.org/officeDocument/2006/relationships/table" Target="../tables/table31.xml"/><Relationship Id="rId38" Type="http://schemas.openxmlformats.org/officeDocument/2006/relationships/table" Target="../tables/table36.xml"/><Relationship Id="rId46" Type="http://schemas.openxmlformats.org/officeDocument/2006/relationships/table" Target="../tables/table44.xml"/><Relationship Id="rId20" Type="http://schemas.openxmlformats.org/officeDocument/2006/relationships/table" Target="../tables/table18.xml"/><Relationship Id="rId41" Type="http://schemas.openxmlformats.org/officeDocument/2006/relationships/table" Target="../tables/table39.xml"/><Relationship Id="rId1" Type="http://schemas.openxmlformats.org/officeDocument/2006/relationships/printerSettings" Target="../printerSettings/printerSettings5.bin"/><Relationship Id="rId6" Type="http://schemas.openxmlformats.org/officeDocument/2006/relationships/table" Target="../tables/table4.xml"/></Relationships>
</file>

<file path=xl/worksheets/_rels/sheet6.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table" Target="../tables/table49.xml"/><Relationship Id="rId1" Type="http://schemas.openxmlformats.org/officeDocument/2006/relationships/drawing" Target="../drawings/drawing3.xml"/></Relationships>
</file>

<file path=xl/worksheets/_rels/sheet7.xml.rels><?xml version="1.0" encoding="UTF-8" standalone="yes"?>
<Relationships xmlns="http://schemas.openxmlformats.org/package/2006/relationships"><Relationship Id="rId3" Type="http://schemas.openxmlformats.org/officeDocument/2006/relationships/table" Target="../tables/table51.xml"/><Relationship Id="rId2" Type="http://schemas.openxmlformats.org/officeDocument/2006/relationships/table" Target="../tables/table50.xml"/><Relationship Id="rId1" Type="http://schemas.openxmlformats.org/officeDocument/2006/relationships/printerSettings" Target="../printerSettings/printerSettings6.bin"/><Relationship Id="rId5" Type="http://schemas.openxmlformats.org/officeDocument/2006/relationships/table" Target="../tables/table53.xml"/><Relationship Id="rId4" Type="http://schemas.openxmlformats.org/officeDocument/2006/relationships/table" Target="../tables/table52.xml"/></Relationships>
</file>

<file path=xl/worksheets/_rels/sheet8.xml.rels><?xml version="1.0" encoding="UTF-8" standalone="yes"?>
<Relationships xmlns="http://schemas.openxmlformats.org/package/2006/relationships"><Relationship Id="rId2" Type="http://schemas.openxmlformats.org/officeDocument/2006/relationships/table" Target="../tables/table54.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9E5673-B965-4409-B559-49A170EAFF2A}">
  <sheetPr codeName="Sheet2">
    <pageSetUpPr fitToPage="1"/>
  </sheetPr>
  <dimension ref="A1:AA45"/>
  <sheetViews>
    <sheetView showGridLines="0" tabSelected="1" view="pageBreakPreview" topLeftCell="B1" zoomScaleNormal="100" zoomScaleSheetLayoutView="100" workbookViewId="0">
      <selection activeCell="H2" sqref="H2"/>
    </sheetView>
  </sheetViews>
  <sheetFormatPr baseColWidth="10" defaultColWidth="8.88671875" defaultRowHeight="14.4" x14ac:dyDescent="0.3"/>
  <cols>
    <col min="1" max="1" width="5.5546875" style="368" hidden="1" customWidth="1"/>
    <col min="2" max="2" width="8.33203125" style="368" customWidth="1"/>
    <col min="3" max="3" width="14.33203125" style="368" hidden="1" customWidth="1"/>
    <col min="4" max="4" width="41.44140625" style="368" customWidth="1"/>
    <col min="5" max="5" width="8.6640625" style="368" customWidth="1"/>
    <col min="6" max="6" width="11" style="368" customWidth="1"/>
    <col min="7" max="7" width="19" style="368" customWidth="1"/>
    <col min="8" max="8" width="17" style="368" bestFit="1" customWidth="1"/>
    <col min="9" max="9" width="12.5546875" style="368" customWidth="1"/>
    <col min="10" max="10" width="18.109375" style="489" customWidth="1"/>
    <col min="11" max="11" width="16.33203125" style="449" customWidth="1"/>
    <col min="12" max="12" width="25.33203125" style="368" customWidth="1"/>
    <col min="13" max="13" width="8.88671875" style="368" hidden="1" customWidth="1"/>
    <col min="14" max="14" width="36.33203125" style="368" hidden="1" customWidth="1"/>
    <col min="15" max="15" width="14.6640625" style="368" hidden="1" customWidth="1"/>
    <col min="16" max="16" width="16.33203125" style="368" hidden="1" customWidth="1"/>
    <col min="17" max="17" width="13.33203125" style="368" hidden="1" customWidth="1"/>
    <col min="18" max="18" width="14.44140625" style="368" hidden="1" customWidth="1"/>
    <col min="19" max="19" width="16.33203125" style="368" hidden="1" customWidth="1"/>
    <col min="20" max="20" width="18.88671875" style="368" hidden="1" customWidth="1"/>
    <col min="21" max="21" width="24.88671875" style="368" hidden="1" customWidth="1"/>
    <col min="22" max="23" width="16.6640625" style="368" hidden="1" customWidth="1"/>
    <col min="24" max="24" width="14.33203125" style="368" hidden="1" customWidth="1"/>
    <col min="25" max="25" width="21.6640625" style="368" hidden="1" customWidth="1"/>
    <col min="26" max="26" width="23.33203125" style="368" hidden="1" customWidth="1"/>
    <col min="27" max="27" width="25.33203125" style="368" hidden="1" customWidth="1"/>
    <col min="28" max="28" width="0" style="368" hidden="1" customWidth="1"/>
    <col min="29" max="16384" width="8.88671875" style="368"/>
  </cols>
  <sheetData>
    <row r="1" spans="1:27" s="375" customFormat="1" ht="43.2" customHeight="1" thickBot="1" x14ac:dyDescent="0.35">
      <c r="A1" s="369"/>
      <c r="B1" s="370" t="str">
        <f>+CONCATENATE('INF. GENERAL'!A4," ",'INF. GENERAL'!B4)</f>
        <v>OBJETO:  ACTIVIDADES ADICIONALES A LA ADECUACIÓN DE LA CANCHA DE FÚTBOL (ID 2615), VEREDA COMUNIDAD CRISTALINA BAJA (ID 200), MUNICIPIO DE FUNDACION, MAGDALENA</v>
      </c>
      <c r="C1" s="371"/>
      <c r="D1" s="371"/>
      <c r="E1" s="371"/>
      <c r="F1" s="372"/>
      <c r="G1" s="372"/>
      <c r="H1" s="372"/>
      <c r="I1" s="372"/>
      <c r="J1" s="502"/>
      <c r="K1" s="373"/>
      <c r="L1" s="374"/>
      <c r="O1" s="558" t="s">
        <v>16</v>
      </c>
      <c r="P1" s="559"/>
      <c r="Q1" s="559"/>
      <c r="R1" s="559"/>
      <c r="S1" s="560"/>
      <c r="T1" s="554" t="s">
        <v>17</v>
      </c>
      <c r="U1" s="555"/>
      <c r="V1" s="555"/>
      <c r="W1" s="555"/>
      <c r="X1" s="555"/>
      <c r="Y1" s="555"/>
      <c r="Z1" s="556"/>
      <c r="AA1" s="557"/>
    </row>
    <row r="2" spans="1:27" s="375" customFormat="1" ht="87" thickBot="1" x14ac:dyDescent="0.35">
      <c r="A2" s="369"/>
      <c r="B2" s="376" t="s">
        <v>18</v>
      </c>
      <c r="C2" s="377" t="s">
        <v>19</v>
      </c>
      <c r="D2" s="378" t="s">
        <v>20</v>
      </c>
      <c r="E2" s="379" t="s">
        <v>21</v>
      </c>
      <c r="F2" s="496" t="s">
        <v>22</v>
      </c>
      <c r="G2" s="528" t="s">
        <v>2376</v>
      </c>
      <c r="H2" s="529" t="s">
        <v>2377</v>
      </c>
      <c r="I2" s="526" t="s">
        <v>2383</v>
      </c>
      <c r="J2" s="527" t="s">
        <v>2384</v>
      </c>
      <c r="K2" s="530" t="s">
        <v>2385</v>
      </c>
      <c r="L2" s="531" t="s">
        <v>2386</v>
      </c>
      <c r="O2" s="380" t="s">
        <v>24</v>
      </c>
      <c r="P2" s="381"/>
      <c r="Q2" s="381" t="s">
        <v>26</v>
      </c>
      <c r="R2" s="382" t="s">
        <v>27</v>
      </c>
      <c r="S2" s="383" t="s">
        <v>28</v>
      </c>
      <c r="T2" s="384" t="s">
        <v>24</v>
      </c>
      <c r="U2" s="385"/>
      <c r="V2" s="385" t="s">
        <v>29</v>
      </c>
      <c r="W2" s="385" t="s">
        <v>30</v>
      </c>
      <c r="X2" s="385"/>
      <c r="Y2" s="385" t="s">
        <v>26</v>
      </c>
      <c r="Z2" s="386" t="s">
        <v>27</v>
      </c>
      <c r="AA2" s="387" t="s">
        <v>31</v>
      </c>
    </row>
    <row r="3" spans="1:27" s="375" customFormat="1" ht="15" thickBot="1" x14ac:dyDescent="0.35">
      <c r="A3" s="388">
        <v>1</v>
      </c>
      <c r="B3" s="389">
        <f>+A3</f>
        <v>1</v>
      </c>
      <c r="C3" s="390"/>
      <c r="D3" s="391" t="s">
        <v>32</v>
      </c>
      <c r="E3" s="392"/>
      <c r="F3" s="393"/>
      <c r="G3" s="532"/>
      <c r="H3" s="533">
        <f>SUM(H4:H5)</f>
        <v>1586984.4206195362</v>
      </c>
      <c r="I3" s="507"/>
      <c r="J3" s="508">
        <f>SUM(J4:J5)</f>
        <v>3173968.8412390724</v>
      </c>
      <c r="K3" s="513"/>
      <c r="L3" s="394">
        <f>SUM(L4:N5)</f>
        <v>4760953.2618586086</v>
      </c>
      <c r="O3" s="395"/>
      <c r="P3" s="396"/>
      <c r="Q3" s="396"/>
      <c r="R3" s="396"/>
      <c r="S3" s="397"/>
      <c r="T3" s="396"/>
      <c r="U3" s="396"/>
      <c r="V3" s="396"/>
      <c r="W3" s="396"/>
      <c r="X3" s="396"/>
      <c r="Y3" s="396"/>
      <c r="Z3" s="396"/>
      <c r="AA3" s="397"/>
    </row>
    <row r="4" spans="1:27" s="375" customFormat="1" x14ac:dyDescent="0.3">
      <c r="A4" s="398" t="s">
        <v>33</v>
      </c>
      <c r="B4" s="399" t="str">
        <f>HYPERLINK("#"&amp;"'MEMORIA CANTIDADES'!A"&amp;MATCH(A4,'MEMORIA CANTIDADES'!A:A,0),A4)</f>
        <v>1.01</v>
      </c>
      <c r="C4" s="400" t="str">
        <f>+$D$3</f>
        <v>PRELIMINARES</v>
      </c>
      <c r="D4" s="401" t="s">
        <v>2241</v>
      </c>
      <c r="E4" s="402" t="s">
        <v>1304</v>
      </c>
      <c r="F4" s="524">
        <f>+VLOOKUP(B4,'MEMORIA CANTIDADES'!N:O,2,FALSE)</f>
        <v>272</v>
      </c>
      <c r="G4" s="534">
        <v>3782.9337225749991</v>
      </c>
      <c r="H4" s="535">
        <f>+G4*F4</f>
        <v>1028957.9725403998</v>
      </c>
      <c r="I4" s="509">
        <v>7565.8674451499983</v>
      </c>
      <c r="J4" s="510">
        <f>+I4*F4</f>
        <v>2057915.9450807995</v>
      </c>
      <c r="K4" s="514">
        <f>+I4+G4</f>
        <v>11348.801167724998</v>
      </c>
      <c r="L4" s="403">
        <f>+F4*K4</f>
        <v>3086873.9176211995</v>
      </c>
      <c r="O4" s="404">
        <f>+VLOOKUP(B4,APU!J:K,2,FALSE)</f>
        <v>1390.3335677249997</v>
      </c>
      <c r="P4" s="405"/>
      <c r="Q4" s="405">
        <f>+VLOOKUP(B4,APU!L:M,2,FALSE)</f>
        <v>547.65</v>
      </c>
      <c r="R4" s="405">
        <f>+VLOOKUP(B4,APU!M:N,2,FALSE)</f>
        <v>9410.8175999999985</v>
      </c>
      <c r="S4" s="406">
        <f>+SUM(O4:R4)</f>
        <v>11348.801167724998</v>
      </c>
      <c r="T4" s="407">
        <f t="shared" ref="T4" si="0">+O4*$F4</f>
        <v>378170.73042119993</v>
      </c>
      <c r="U4" s="408"/>
      <c r="V4" s="408">
        <f>+IFERROR(VLOOKUP(B4,APU!K:L,2,FALSE),"")</f>
        <v>4482609.4223999996</v>
      </c>
      <c r="W4" s="408">
        <f>+IFERROR(VLOOKUP(B4,'MEMORIA CANTIDADES'!P:Q,2,FALSE),"")</f>
        <v>4482609.4223999996</v>
      </c>
      <c r="X4" s="409"/>
      <c r="Y4" s="408">
        <f t="shared" ref="Y4:Z4" si="1">+Q4*$F4</f>
        <v>148960.79999999999</v>
      </c>
      <c r="Z4" s="408">
        <f t="shared" si="1"/>
        <v>2559742.3871999998</v>
      </c>
      <c r="AA4" s="406">
        <f>+T4+U4+Y4+Z4</f>
        <v>3086873.9176212</v>
      </c>
    </row>
    <row r="5" spans="1:27" s="375" customFormat="1" ht="15" thickBot="1" x14ac:dyDescent="0.35">
      <c r="A5" s="398" t="s">
        <v>36</v>
      </c>
      <c r="B5" s="399" t="str">
        <f>HYPERLINK("#"&amp;"'MEMORIA CANTIDADES'!A"&amp;MATCH(A5,'MEMORIA CANTIDADES'!A:A,0),A5)</f>
        <v>1.02</v>
      </c>
      <c r="C5" s="400" t="str">
        <f>+$D$3</f>
        <v>PRELIMINARES</v>
      </c>
      <c r="D5" s="401" t="s">
        <v>2242</v>
      </c>
      <c r="E5" s="402" t="s">
        <v>35</v>
      </c>
      <c r="F5" s="524">
        <f>+VLOOKUP(B5,'MEMORIA CANTIDADES'!N:O,2,FALSE)</f>
        <v>292.39999999999998</v>
      </c>
      <c r="G5" s="534">
        <v>1908.4351849491668</v>
      </c>
      <c r="H5" s="535">
        <f>+G5*F5</f>
        <v>558026.44807913632</v>
      </c>
      <c r="I5" s="509">
        <v>3816.8703698983336</v>
      </c>
      <c r="J5" s="510">
        <f>+I5*F5</f>
        <v>1116052.8961582726</v>
      </c>
      <c r="K5" s="514">
        <f>+I5+G5</f>
        <v>5725.3055548475004</v>
      </c>
      <c r="L5" s="403">
        <f>+F5*K5</f>
        <v>1674079.3442374091</v>
      </c>
      <c r="O5" s="410">
        <f>+VLOOKUP(B5,APU!J:K,2,FALSE)</f>
        <v>1098.0153308474999</v>
      </c>
      <c r="P5" s="411"/>
      <c r="Q5" s="411">
        <f>+VLOOKUP(B5,APU!L:M,2,FALSE)</f>
        <v>200</v>
      </c>
      <c r="R5" s="411">
        <f>+VLOOKUP(B5,APU!M:N,2,FALSE)</f>
        <v>4427.2902240000003</v>
      </c>
      <c r="S5" s="412">
        <f>+SUM(O5:R5)</f>
        <v>5725.3055548475004</v>
      </c>
      <c r="T5" s="413">
        <f t="shared" ref="T5" si="2">+O5*$F5</f>
        <v>321059.68273980892</v>
      </c>
      <c r="U5" s="414"/>
      <c r="V5" s="414">
        <f>+IFERROR(VLOOKUP(B5,APU!K:L,2,FALSE),"")</f>
        <v>1475158.9941600002</v>
      </c>
      <c r="W5" s="414">
        <f>+IFERROR(VLOOKUP(B5,'MEMORIA CANTIDADES'!P:Q,2,FALSE),"")</f>
        <v>1475158.9941600002</v>
      </c>
      <c r="X5" s="415"/>
      <c r="Y5" s="414">
        <f t="shared" ref="Y5" si="3">+Q5*$F5</f>
        <v>58479.999999999993</v>
      </c>
      <c r="Z5" s="414">
        <f t="shared" ref="Z5" si="4">+R5*$F5</f>
        <v>1294539.6614975999</v>
      </c>
      <c r="AA5" s="412">
        <f>+T5+U5+Y5+Z5</f>
        <v>1674079.3442374088</v>
      </c>
    </row>
    <row r="6" spans="1:27" s="375" customFormat="1" ht="15" thickBot="1" x14ac:dyDescent="0.35">
      <c r="A6" s="388" t="s">
        <v>2239</v>
      </c>
      <c r="B6" s="389" t="str">
        <f>+A6</f>
        <v>2</v>
      </c>
      <c r="C6" s="390"/>
      <c r="D6" s="391" t="s">
        <v>2240</v>
      </c>
      <c r="E6" s="392"/>
      <c r="F6" s="393"/>
      <c r="G6" s="536"/>
      <c r="H6" s="533">
        <f>SUM(H7:H13)</f>
        <v>23128544.851447675</v>
      </c>
      <c r="I6" s="511"/>
      <c r="J6" s="508">
        <f>SUM(J7:J13)</f>
        <v>46257089.702895343</v>
      </c>
      <c r="K6" s="513"/>
      <c r="L6" s="394">
        <f>SUM(L7:L13)</f>
        <v>69385634.55434303</v>
      </c>
      <c r="O6" s="395"/>
      <c r="P6" s="396"/>
      <c r="Q6" s="396"/>
      <c r="R6" s="396"/>
      <c r="S6" s="397"/>
      <c r="T6" s="396"/>
      <c r="U6" s="396"/>
      <c r="V6" s="396"/>
      <c r="W6" s="396"/>
      <c r="X6" s="396"/>
      <c r="Y6" s="396"/>
      <c r="Z6" s="396"/>
      <c r="AA6" s="397"/>
    </row>
    <row r="7" spans="1:27" s="375" customFormat="1" x14ac:dyDescent="0.3">
      <c r="A7" s="398" t="s">
        <v>2243</v>
      </c>
      <c r="B7" s="399" t="str">
        <f>HYPERLINK("#"&amp;"'MEMORIA CANTIDADES'!A"&amp;MATCH(A7,'MEMORIA CANTIDADES'!A:A,0),A7)</f>
        <v>2,01</v>
      </c>
      <c r="C7" s="416" t="str">
        <f t="shared" ref="C7:C13" si="5">+$D$6</f>
        <v>EXCAVACIONES, RELLENOS Y SISTEMA DE DRENAJE</v>
      </c>
      <c r="D7" s="401" t="s">
        <v>2251</v>
      </c>
      <c r="E7" s="402" t="s">
        <v>1284</v>
      </c>
      <c r="F7" s="524">
        <f>+VLOOKUP(B7,'MEMORIA CANTIDADES'!N:O,2,FALSE)</f>
        <v>138.7216</v>
      </c>
      <c r="G7" s="534">
        <v>24969.707351749825</v>
      </c>
      <c r="H7" s="535">
        <f t="shared" ref="H7:H13" si="6">+G7*F7</f>
        <v>3463837.7553664981</v>
      </c>
      <c r="I7" s="509">
        <v>49939.414703499649</v>
      </c>
      <c r="J7" s="510">
        <f t="shared" ref="J7:J18" si="7">+I7*F7</f>
        <v>6927675.5107329963</v>
      </c>
      <c r="K7" s="514">
        <f t="shared" ref="K7:K13" si="8">+I7+G7</f>
        <v>74909.122055249478</v>
      </c>
      <c r="L7" s="403">
        <f t="shared" ref="L7:L13" si="9">+F7*K7</f>
        <v>10391513.266099496</v>
      </c>
      <c r="O7" s="417">
        <f>+VLOOKUP(B7,APU!J:K,2,FALSE)</f>
        <v>3058.5157199999999</v>
      </c>
      <c r="P7" s="418"/>
      <c r="Q7" s="418">
        <f>+VLOOKUP(B7,APU!L:M,2,FALSE)</f>
        <v>0</v>
      </c>
      <c r="R7" s="418">
        <f>+VLOOKUP(B7,APU!M:N,2,FALSE)</f>
        <v>71850.606335249482</v>
      </c>
      <c r="S7" s="419">
        <f t="shared" ref="S7:S13" si="10">+SUM(O7:R7)</f>
        <v>74909.122055249478</v>
      </c>
      <c r="T7" s="420">
        <f t="shared" ref="T7" si="11">+O7*$F7</f>
        <v>424282.19430355198</v>
      </c>
      <c r="U7" s="421"/>
      <c r="V7" s="421">
        <f>+IFERROR(VLOOKUP(B7,APU!K:L,2,FALSE),"")</f>
        <v>0</v>
      </c>
      <c r="W7" s="421">
        <f>+IFERROR(VLOOKUP(B7,'MEMORIA CANTIDADES'!P:Q,2,FALSE),"")</f>
        <v>0</v>
      </c>
      <c r="X7" s="422"/>
      <c r="Y7" s="421">
        <f t="shared" ref="Y7" si="12">+Q7*$F7</f>
        <v>0</v>
      </c>
      <c r="Z7" s="421">
        <f t="shared" ref="Z7" si="13">+R7*$F7</f>
        <v>9967231.0717959441</v>
      </c>
      <c r="AA7" s="419">
        <f t="shared" ref="AA7:AA13" si="14">+T7+U7+Y7+Z7</f>
        <v>10391513.266099496</v>
      </c>
    </row>
    <row r="8" spans="1:27" s="375" customFormat="1" x14ac:dyDescent="0.3">
      <c r="A8" s="398" t="s">
        <v>2244</v>
      </c>
      <c r="B8" s="399" t="str">
        <f>HYPERLINK("#"&amp;"'MEMORIA CANTIDADES'!A"&amp;MATCH(A8,'MEMORIA CANTIDADES'!A:A,0),A8)</f>
        <v>2,02</v>
      </c>
      <c r="C8" s="416" t="str">
        <f t="shared" si="5"/>
        <v>EXCAVACIONES, RELLENOS Y SISTEMA DE DRENAJE</v>
      </c>
      <c r="D8" s="401" t="s">
        <v>2252</v>
      </c>
      <c r="E8" s="402" t="s">
        <v>1304</v>
      </c>
      <c r="F8" s="524">
        <f>+VLOOKUP(B8,'MEMORIA CANTIDADES'!N:O,2,FALSE)</f>
        <v>366</v>
      </c>
      <c r="G8" s="534">
        <v>11674.992642346961</v>
      </c>
      <c r="H8" s="535">
        <f t="shared" si="6"/>
        <v>4273047.3070989875</v>
      </c>
      <c r="I8" s="509">
        <v>23349.985284693921</v>
      </c>
      <c r="J8" s="510">
        <f t="shared" si="7"/>
        <v>8546094.614197975</v>
      </c>
      <c r="K8" s="514">
        <f t="shared" si="8"/>
        <v>35024.977927040884</v>
      </c>
      <c r="L8" s="403">
        <f t="shared" si="9"/>
        <v>12819141.921296963</v>
      </c>
      <c r="O8" s="423">
        <f>+VLOOKUP(B8,APU!J:K,2,FALSE)</f>
        <v>10724.097357285322</v>
      </c>
      <c r="P8" s="424"/>
      <c r="Q8" s="424">
        <f>+VLOOKUP(B8,APU!L:M,2,FALSE)</f>
        <v>876.24</v>
      </c>
      <c r="R8" s="424">
        <f>+VLOOKUP(B8,APU!M:N,2,FALSE)</f>
        <v>23424.64056975556</v>
      </c>
      <c r="S8" s="425">
        <f t="shared" si="10"/>
        <v>35024.977927040884</v>
      </c>
      <c r="T8" s="426">
        <f t="shared" ref="T8" si="15">+O8*$F8</f>
        <v>3925019.6327664279</v>
      </c>
      <c r="U8" s="427"/>
      <c r="V8" s="427">
        <f>+IFERROR(VLOOKUP(B8,APU!K:L,2,FALSE),"")</f>
        <v>28935121.405184001</v>
      </c>
      <c r="W8" s="427">
        <f>+IFERROR(VLOOKUP(B8,'MEMORIA CANTIDADES'!P:Q,2,FALSE),"")</f>
        <v>26759983.405184001</v>
      </c>
      <c r="X8" s="428"/>
      <c r="Y8" s="427">
        <f t="shared" ref="Y8" si="16">+Q8*$F8</f>
        <v>320703.84000000003</v>
      </c>
      <c r="Z8" s="427">
        <f t="shared" ref="Z8" si="17">+R8*$F8</f>
        <v>8573418.4485305343</v>
      </c>
      <c r="AA8" s="425">
        <f t="shared" si="14"/>
        <v>12819141.921296962</v>
      </c>
    </row>
    <row r="9" spans="1:27" s="375" customFormat="1" x14ac:dyDescent="0.3">
      <c r="A9" s="398" t="s">
        <v>2245</v>
      </c>
      <c r="B9" s="399" t="str">
        <f>HYPERLINK("#"&amp;"'MEMORIA CANTIDADES'!A"&amp;MATCH(A9,'MEMORIA CANTIDADES'!A:A,0),A9)</f>
        <v>2,03</v>
      </c>
      <c r="C9" s="416" t="str">
        <f t="shared" si="5"/>
        <v>EXCAVACIONES, RELLENOS Y SISTEMA DE DRENAJE</v>
      </c>
      <c r="D9" s="401" t="s">
        <v>2302</v>
      </c>
      <c r="E9" s="402" t="s">
        <v>1304</v>
      </c>
      <c r="F9" s="524">
        <f>+VLOOKUP(B9,'MEMORIA CANTIDADES'!N:O,2,FALSE)</f>
        <v>118</v>
      </c>
      <c r="G9" s="534">
        <v>3922.99428759797</v>
      </c>
      <c r="H9" s="535">
        <f t="shared" si="6"/>
        <v>462913.32593656046</v>
      </c>
      <c r="I9" s="509">
        <v>7845.9885751959391</v>
      </c>
      <c r="J9" s="510">
        <f t="shared" si="7"/>
        <v>925826.65187312081</v>
      </c>
      <c r="K9" s="514">
        <f t="shared" si="8"/>
        <v>11768.98286279391</v>
      </c>
      <c r="L9" s="403">
        <f t="shared" si="9"/>
        <v>1388739.9778096813</v>
      </c>
      <c r="O9" s="423">
        <f>+VLOOKUP(B9,APU!J:K,2,FALSE)</f>
        <v>3777.6740627939112</v>
      </c>
      <c r="P9" s="424"/>
      <c r="Q9" s="424">
        <f>+VLOOKUP(B9,APU!L:M,2,FALSE)</f>
        <v>1314.36</v>
      </c>
      <c r="R9" s="424">
        <f>+VLOOKUP(B9,APU!M:N,2,FALSE)</f>
        <v>6676.9487999999992</v>
      </c>
      <c r="S9" s="425">
        <f t="shared" si="10"/>
        <v>11768.98286279391</v>
      </c>
      <c r="T9" s="426">
        <f t="shared" ref="T9" si="18">+O9*$F9</f>
        <v>445765.53940968151</v>
      </c>
      <c r="U9" s="427"/>
      <c r="V9" s="427">
        <f>+IFERROR(VLOOKUP(B9,APU!K:L,2,FALSE),"")</f>
        <v>11073880.297269598</v>
      </c>
      <c r="W9" s="427">
        <f>+IFERROR(VLOOKUP(B9,'MEMORIA CANTIDADES'!P:Q,2,FALSE),"")</f>
        <v>11073880.297269598</v>
      </c>
      <c r="X9" s="428"/>
      <c r="Y9" s="427">
        <f t="shared" ref="Y9" si="19">+Q9*$F9</f>
        <v>155094.47999999998</v>
      </c>
      <c r="Z9" s="427">
        <f t="shared" ref="Z9" si="20">+R9*$F9</f>
        <v>787879.95839999989</v>
      </c>
      <c r="AA9" s="425">
        <f t="shared" si="14"/>
        <v>1388739.9778096813</v>
      </c>
    </row>
    <row r="10" spans="1:27" s="375" customFormat="1" ht="28.8" x14ac:dyDescent="0.3">
      <c r="A10" s="398" t="s">
        <v>2246</v>
      </c>
      <c r="B10" s="399" t="str">
        <f>HYPERLINK("#"&amp;"'MEMORIA CANTIDADES'!A"&amp;MATCH(A10,'MEMORIA CANTIDADES'!A:A,0),A10)</f>
        <v>2,04</v>
      </c>
      <c r="C10" s="416" t="str">
        <f t="shared" si="5"/>
        <v>EXCAVACIONES, RELLENOS Y SISTEMA DE DRENAJE</v>
      </c>
      <c r="D10" s="401" t="s">
        <v>2298</v>
      </c>
      <c r="E10" s="402" t="s">
        <v>1304</v>
      </c>
      <c r="F10" s="524">
        <f>+VLOOKUP(B10,'MEMORIA CANTIDADES'!N:O,2,FALSE)</f>
        <v>99</v>
      </c>
      <c r="G10" s="534">
        <v>10111.257415202288</v>
      </c>
      <c r="H10" s="535">
        <f t="shared" si="6"/>
        <v>1001014.4841050265</v>
      </c>
      <c r="I10" s="509">
        <v>20222.514830404576</v>
      </c>
      <c r="J10" s="510">
        <f t="shared" si="7"/>
        <v>2002028.9682100529</v>
      </c>
      <c r="K10" s="514">
        <f t="shared" si="8"/>
        <v>30333.772245606866</v>
      </c>
      <c r="L10" s="403">
        <f t="shared" si="9"/>
        <v>3003043.4523150795</v>
      </c>
      <c r="O10" s="423">
        <f>+VLOOKUP(B10,APU!J:K,2,FALSE)</f>
        <v>5216.4694776068663</v>
      </c>
      <c r="P10" s="424"/>
      <c r="Q10" s="424">
        <f>+VLOOKUP(B10,APU!L:M,2,FALSE)</f>
        <v>1314.36</v>
      </c>
      <c r="R10" s="424">
        <f>+VLOOKUP(B10,APU!M:N,2,FALSE)</f>
        <v>23802.942768000001</v>
      </c>
      <c r="S10" s="425">
        <f t="shared" si="10"/>
        <v>30333.772245606866</v>
      </c>
      <c r="T10" s="426">
        <f t="shared" ref="T10" si="21">+O10*$F10</f>
        <v>516430.47828307975</v>
      </c>
      <c r="U10" s="427"/>
      <c r="V10" s="427">
        <f>+IFERROR(VLOOKUP(B10,APU!K:L,2,FALSE),"")</f>
        <v>6469010.95995</v>
      </c>
      <c r="W10" s="427">
        <f>+IFERROR(VLOOKUP(B10,'MEMORIA CANTIDADES'!P:Q,2,FALSE),"")</f>
        <v>6469010.959950001</v>
      </c>
      <c r="X10" s="428"/>
      <c r="Y10" s="427">
        <f t="shared" ref="Y10" si="22">+Q10*$F10</f>
        <v>130121.63999999998</v>
      </c>
      <c r="Z10" s="427">
        <f t="shared" ref="Z10" si="23">+R10*$F10</f>
        <v>2356491.334032</v>
      </c>
      <c r="AA10" s="425">
        <f t="shared" si="14"/>
        <v>3003043.45231508</v>
      </c>
    </row>
    <row r="11" spans="1:27" s="375" customFormat="1" x14ac:dyDescent="0.3">
      <c r="A11" s="398" t="s">
        <v>2247</v>
      </c>
      <c r="B11" s="399" t="str">
        <f>HYPERLINK("#"&amp;"'MEMORIA CANTIDADES'!A"&amp;MATCH(A11,'MEMORIA CANTIDADES'!A:A,0),A11)</f>
        <v>2,05</v>
      </c>
      <c r="C11" s="416" t="str">
        <f t="shared" si="5"/>
        <v>EXCAVACIONES, RELLENOS Y SISTEMA DE DRENAJE</v>
      </c>
      <c r="D11" s="401" t="s">
        <v>2299</v>
      </c>
      <c r="E11" s="402" t="s">
        <v>1282</v>
      </c>
      <c r="F11" s="524">
        <f>+VLOOKUP(B11,'MEMORIA CANTIDADES'!N:O,2,FALSE)</f>
        <v>2</v>
      </c>
      <c r="G11" s="534">
        <v>271143.38759580179</v>
      </c>
      <c r="H11" s="535">
        <f t="shared" si="6"/>
        <v>542286.77519160358</v>
      </c>
      <c r="I11" s="509">
        <v>542286.77519160346</v>
      </c>
      <c r="J11" s="510">
        <f t="shared" si="7"/>
        <v>1084573.5503832069</v>
      </c>
      <c r="K11" s="514">
        <f t="shared" si="8"/>
        <v>813430.16278740531</v>
      </c>
      <c r="L11" s="403">
        <f t="shared" si="9"/>
        <v>1626860.3255748106</v>
      </c>
      <c r="O11" s="423">
        <f>+VLOOKUP(B11,APU!J:K,2,FALSE)</f>
        <v>217042.23358740535</v>
      </c>
      <c r="P11" s="424"/>
      <c r="Q11" s="424">
        <f>+VLOOKUP(B11,APU!L:M,2,FALSE)</f>
        <v>1314.36</v>
      </c>
      <c r="R11" s="424">
        <f>+VLOOKUP(B11,APU!M:N,2,FALSE)</f>
        <v>595073.56920000003</v>
      </c>
      <c r="S11" s="425">
        <f t="shared" si="10"/>
        <v>813430.16278740531</v>
      </c>
      <c r="T11" s="426">
        <f t="shared" ref="T11" si="24">+O11*$F11</f>
        <v>434084.46717481071</v>
      </c>
      <c r="U11" s="427"/>
      <c r="V11" s="427">
        <f>+IFERROR(VLOOKUP(B11,APU!K:L,2,FALSE),"")</f>
        <v>6148144.4004110619</v>
      </c>
      <c r="W11" s="427">
        <f>+IFERROR(VLOOKUP(B11,'MEMORIA CANTIDADES'!P:Q,2,FALSE),"")</f>
        <v>5466712.0007340005</v>
      </c>
      <c r="X11" s="428"/>
      <c r="Y11" s="427">
        <f t="shared" ref="Y11" si="25">+Q11*$F11</f>
        <v>2628.72</v>
      </c>
      <c r="Z11" s="427">
        <f t="shared" ref="Z11" si="26">+R11*$F11</f>
        <v>1190147.1384000001</v>
      </c>
      <c r="AA11" s="425">
        <f t="shared" si="14"/>
        <v>1626860.3255748106</v>
      </c>
    </row>
    <row r="12" spans="1:27" s="375" customFormat="1" x14ac:dyDescent="0.3">
      <c r="A12" s="398" t="s">
        <v>2297</v>
      </c>
      <c r="B12" s="399" t="str">
        <f>HYPERLINK("#"&amp;"'MEMORIA CANTIDADES'!A"&amp;MATCH(A12,'MEMORIA CANTIDADES'!A:A,0),A12)</f>
        <v>2,06</v>
      </c>
      <c r="C12" s="416" t="str">
        <f t="shared" si="5"/>
        <v>EXCAVACIONES, RELLENOS Y SISTEMA DE DRENAJE</v>
      </c>
      <c r="D12" s="401" t="s">
        <v>2253</v>
      </c>
      <c r="E12" s="402" t="s">
        <v>1284</v>
      </c>
      <c r="F12" s="524">
        <f>+VLOOKUP(B12,'MEMORIA CANTIDADES'!N:O,2,FALSE)</f>
        <v>348.75</v>
      </c>
      <c r="G12" s="534">
        <v>15920.396806341023</v>
      </c>
      <c r="H12" s="535">
        <f t="shared" si="6"/>
        <v>5552238.3862114316</v>
      </c>
      <c r="I12" s="509">
        <v>31840.793612682046</v>
      </c>
      <c r="J12" s="510">
        <f t="shared" si="7"/>
        <v>11104476.772422863</v>
      </c>
      <c r="K12" s="514">
        <f t="shared" si="8"/>
        <v>47761.190419023071</v>
      </c>
      <c r="L12" s="403">
        <f t="shared" si="9"/>
        <v>16656715.158634296</v>
      </c>
      <c r="O12" s="423">
        <f>+VLOOKUP(B12,APU!J:K,2,FALSE)</f>
        <v>15549.889500000001</v>
      </c>
      <c r="P12" s="424"/>
      <c r="Q12" s="424">
        <f>+VLOOKUP(B12,APU!L:M,2,FALSE)</f>
        <v>0</v>
      </c>
      <c r="R12" s="424">
        <f>+VLOOKUP(B12,APU!M:N,2,FALSE)</f>
        <v>32211.300919023073</v>
      </c>
      <c r="S12" s="425">
        <f t="shared" si="10"/>
        <v>47761.190419023071</v>
      </c>
      <c r="T12" s="426">
        <f t="shared" ref="T12" si="27">+O12*$F12</f>
        <v>5423023.9631250007</v>
      </c>
      <c r="U12" s="427"/>
      <c r="V12" s="427">
        <f>+IFERROR(VLOOKUP(B12,APU!K:L,2,FALSE),"")</f>
        <v>0</v>
      </c>
      <c r="W12" s="427">
        <f>+IFERROR(VLOOKUP(B12,'MEMORIA CANTIDADES'!P:Q,2,FALSE),"")</f>
        <v>0</v>
      </c>
      <c r="X12" s="428"/>
      <c r="Y12" s="427">
        <f t="shared" ref="Y12" si="28">+Q12*$F12</f>
        <v>0</v>
      </c>
      <c r="Z12" s="427">
        <f t="shared" ref="Z12" si="29">+R12*$F12</f>
        <v>11233691.195509296</v>
      </c>
      <c r="AA12" s="425">
        <f t="shared" si="14"/>
        <v>16656715.158634298</v>
      </c>
    </row>
    <row r="13" spans="1:27" s="375" customFormat="1" ht="29.4" thickBot="1" x14ac:dyDescent="0.35">
      <c r="A13" s="398" t="s">
        <v>2296</v>
      </c>
      <c r="B13" s="399" t="str">
        <f>HYPERLINK("#"&amp;"'MEMORIA CANTIDADES'!A"&amp;MATCH(A13,'MEMORIA CANTIDADES'!A:A,0),A13)</f>
        <v>2,07</v>
      </c>
      <c r="C13" s="416" t="str">
        <f t="shared" si="5"/>
        <v>EXCAVACIONES, RELLENOS Y SISTEMA DE DRENAJE</v>
      </c>
      <c r="D13" s="401" t="s">
        <v>2254</v>
      </c>
      <c r="E13" s="402" t="s">
        <v>1284</v>
      </c>
      <c r="F13" s="524">
        <f>+VLOOKUP(B13,'MEMORIA CANTIDADES'!N:O,2,FALSE)</f>
        <v>586.19000000000005</v>
      </c>
      <c r="G13" s="534">
        <v>13362.914443333333</v>
      </c>
      <c r="H13" s="535">
        <f t="shared" si="6"/>
        <v>7833206.8175375676</v>
      </c>
      <c r="I13" s="509">
        <v>26725.828886666663</v>
      </c>
      <c r="J13" s="510">
        <f t="shared" si="7"/>
        <v>15666413.635075133</v>
      </c>
      <c r="K13" s="514">
        <f t="shared" si="8"/>
        <v>40088.743329999998</v>
      </c>
      <c r="L13" s="403">
        <f t="shared" si="9"/>
        <v>23499620.452612702</v>
      </c>
      <c r="O13" s="423">
        <f>+VLOOKUP(B13,APU!J:K,2,FALSE)</f>
        <v>16292.449499999999</v>
      </c>
      <c r="P13" s="424"/>
      <c r="Q13" s="424">
        <f>+VLOOKUP(B13,APU!L:M,2,FALSE)</f>
        <v>0</v>
      </c>
      <c r="R13" s="424">
        <f>+VLOOKUP(B13,APU!M:N,2,FALSE)</f>
        <v>23796.293829999995</v>
      </c>
      <c r="S13" s="425">
        <f t="shared" si="10"/>
        <v>40088.743329999998</v>
      </c>
      <c r="T13" s="426">
        <f t="shared" ref="T13" si="30">+O13*$F13</f>
        <v>9550470.9724049997</v>
      </c>
      <c r="U13" s="427"/>
      <c r="V13" s="427">
        <f>+IFERROR(VLOOKUP(B13,APU!K:L,2,FALSE),"")</f>
        <v>185069748.97599098</v>
      </c>
      <c r="W13" s="427">
        <f>+IFERROR(VLOOKUP(B13,'MEMORIA CANTIDADES'!P:Q,2,FALSE),"")</f>
        <v>185069748.97599098</v>
      </c>
      <c r="X13" s="428"/>
      <c r="Y13" s="427">
        <f t="shared" ref="Y13" si="31">+Q13*$F13</f>
        <v>0</v>
      </c>
      <c r="Z13" s="427">
        <f>+R13*$F13</f>
        <v>13949149.480207698</v>
      </c>
      <c r="AA13" s="425">
        <f t="shared" si="14"/>
        <v>23499620.452612698</v>
      </c>
    </row>
    <row r="14" spans="1:27" s="375" customFormat="1" ht="15" thickBot="1" x14ac:dyDescent="0.35">
      <c r="A14" s="388" t="s">
        <v>2248</v>
      </c>
      <c r="B14" s="389" t="str">
        <f>+A14</f>
        <v>3</v>
      </c>
      <c r="C14" s="390"/>
      <c r="D14" s="391" t="s">
        <v>2249</v>
      </c>
      <c r="E14" s="392"/>
      <c r="F14" s="393"/>
      <c r="G14" s="536"/>
      <c r="H14" s="537">
        <f>SUM(H15:H15)</f>
        <v>1056882.6486787202</v>
      </c>
      <c r="I14" s="511"/>
      <c r="J14" s="508">
        <f>SUM(J15)</f>
        <v>2113765.2973574405</v>
      </c>
      <c r="K14" s="513"/>
      <c r="L14" s="394">
        <f>SUM(L15:L15)</f>
        <v>3170647.9460361609</v>
      </c>
      <c r="O14" s="395"/>
      <c r="P14" s="396"/>
      <c r="Q14" s="396"/>
      <c r="R14" s="396"/>
      <c r="S14" s="397"/>
      <c r="T14" s="396"/>
      <c r="U14" s="396"/>
      <c r="V14" s="396"/>
      <c r="W14" s="396"/>
      <c r="X14" s="396"/>
      <c r="Y14" s="396"/>
      <c r="Z14" s="396"/>
      <c r="AA14" s="397"/>
    </row>
    <row r="15" spans="1:27" s="375" customFormat="1" ht="15" thickBot="1" x14ac:dyDescent="0.35">
      <c r="A15" s="398" t="s">
        <v>2250</v>
      </c>
      <c r="B15" s="399" t="str">
        <f>HYPERLINK("#"&amp;"'MEMORIA CANTIDADES'!A"&amp;MATCH(A15,'MEMORIA CANTIDADES'!A:A,0),A15)</f>
        <v>3,01</v>
      </c>
      <c r="C15" s="416" t="str">
        <f>+$D$14</f>
        <v>ESTRUCTURAS DE CONTENCIÓN</v>
      </c>
      <c r="D15" s="401" t="s">
        <v>2291</v>
      </c>
      <c r="E15" s="402" t="s">
        <v>1304</v>
      </c>
      <c r="F15" s="524">
        <f>+VLOOKUP(B15,'MEMORIA CANTIDADES'!N:O,2,FALSE)</f>
        <v>44</v>
      </c>
      <c r="G15" s="534">
        <v>24020.060197243642</v>
      </c>
      <c r="H15" s="535">
        <f>+G15*F15</f>
        <v>1056882.6486787202</v>
      </c>
      <c r="I15" s="509">
        <v>48040.120394487283</v>
      </c>
      <c r="J15" s="510">
        <f t="shared" si="7"/>
        <v>2113765.2973574405</v>
      </c>
      <c r="K15" s="514">
        <f>+I15+G15</f>
        <v>72060.180591730925</v>
      </c>
      <c r="L15" s="403">
        <f>+F15*K15</f>
        <v>3170647.9460361609</v>
      </c>
      <c r="O15" s="417">
        <f>+VLOOKUP(B15,APU!J:K,2,FALSE)</f>
        <v>18521.916591730922</v>
      </c>
      <c r="P15" s="418"/>
      <c r="Q15" s="418">
        <f>+VLOOKUP(B15,APU!L:M,2,FALSE)</f>
        <v>4381.2</v>
      </c>
      <c r="R15" s="418">
        <f>+VLOOKUP(B15,APU!M:N,2,FALSE)</f>
        <v>49157.064000000006</v>
      </c>
      <c r="S15" s="419">
        <f>+SUM(O15:R15)</f>
        <v>72060.180591730925</v>
      </c>
      <c r="T15" s="420">
        <f t="shared" ref="T15" si="32">+O15*$F15</f>
        <v>814964.33003616054</v>
      </c>
      <c r="U15" s="421"/>
      <c r="V15" s="421">
        <f>+IFERROR(VLOOKUP(B15,APU!K:L,2,FALSE),"")</f>
        <v>12103722.255679999</v>
      </c>
      <c r="W15" s="421">
        <f>+IFERROR(VLOOKUP(B15,'MEMORIA CANTIDADES'!P:Q,2,FALSE),"")</f>
        <v>8555465.3676799983</v>
      </c>
      <c r="X15" s="422"/>
      <c r="Y15" s="421">
        <f t="shared" ref="Y15" si="33">+Q15*$F15</f>
        <v>192772.8</v>
      </c>
      <c r="Z15" s="421">
        <f t="shared" ref="Z15" si="34">+R15*$F15</f>
        <v>2162910.8160000001</v>
      </c>
      <c r="AA15" s="419">
        <f>+T15+U15+Y15+Z15</f>
        <v>3170647.9460361609</v>
      </c>
    </row>
    <row r="16" spans="1:27" s="375" customFormat="1" ht="15" thickBot="1" x14ac:dyDescent="0.35">
      <c r="A16" s="388" t="s">
        <v>2255</v>
      </c>
      <c r="B16" s="389" t="str">
        <f>+A16</f>
        <v>4</v>
      </c>
      <c r="C16" s="390"/>
      <c r="D16" s="391" t="s">
        <v>2303</v>
      </c>
      <c r="E16" s="392"/>
      <c r="F16" s="393"/>
      <c r="G16" s="536"/>
      <c r="H16" s="533">
        <f>SUM(H17:H18)</f>
        <v>3755441.2997488175</v>
      </c>
      <c r="I16" s="511"/>
      <c r="J16" s="508">
        <f>SUM(J17:J18)</f>
        <v>7510882.5994976349</v>
      </c>
      <c r="K16" s="513"/>
      <c r="L16" s="394">
        <f>SUM(L17:N18)</f>
        <v>11266323.899246452</v>
      </c>
      <c r="O16" s="395"/>
      <c r="P16" s="396"/>
      <c r="Q16" s="396"/>
      <c r="R16" s="396"/>
      <c r="S16" s="397"/>
      <c r="T16" s="396"/>
      <c r="U16" s="396"/>
      <c r="V16" s="396"/>
      <c r="W16" s="396"/>
      <c r="X16" s="396"/>
      <c r="Y16" s="396"/>
      <c r="Z16" s="396"/>
      <c r="AA16" s="397"/>
    </row>
    <row r="17" spans="1:27" s="375" customFormat="1" x14ac:dyDescent="0.3">
      <c r="A17" s="398" t="s">
        <v>2256</v>
      </c>
      <c r="B17" s="399" t="str">
        <f>HYPERLINK("#"&amp;"'MEMORIA CANTIDADES'!A"&amp;MATCH(A17,'MEMORIA CANTIDADES'!A:A,0),A17)</f>
        <v>4,01</v>
      </c>
      <c r="C17" s="416" t="str">
        <f>+$D$14</f>
        <v>ESTRUCTURAS DE CONTENCIÓN</v>
      </c>
      <c r="D17" s="401" t="s">
        <v>2289</v>
      </c>
      <c r="E17" s="402" t="s">
        <v>35</v>
      </c>
      <c r="F17" s="524">
        <f>+VLOOKUP(B17,'MEMORIA CANTIDADES'!N:O,2,FALSE)</f>
        <v>900</v>
      </c>
      <c r="G17" s="534">
        <v>2489.2524936899995</v>
      </c>
      <c r="H17" s="535">
        <f t="shared" ref="H17:H18" si="35">+G17*F17</f>
        <v>2240327.2443209994</v>
      </c>
      <c r="I17" s="509">
        <v>4978.504987379999</v>
      </c>
      <c r="J17" s="510">
        <f t="shared" si="7"/>
        <v>4480654.4886419987</v>
      </c>
      <c r="K17" s="514">
        <f>+I17+G17</f>
        <v>7467.7574810699989</v>
      </c>
      <c r="L17" s="403">
        <f>+F17*K17</f>
        <v>6720981.7329629986</v>
      </c>
      <c r="O17" s="417">
        <f>+VLOOKUP(B17,APU!J:K,2,FALSE)</f>
        <v>681.27868106999995</v>
      </c>
      <c r="P17" s="418"/>
      <c r="Q17" s="418">
        <f>+VLOOKUP(B17,APU!L:M,2,FALSE)</f>
        <v>109.53</v>
      </c>
      <c r="R17" s="418">
        <f>+VLOOKUP(B17,APU!M:N,2,FALSE)</f>
        <v>6676.9487999999992</v>
      </c>
      <c r="S17" s="419">
        <f>+SUM(O17:R17)</f>
        <v>7467.7574810699989</v>
      </c>
      <c r="T17" s="420">
        <f t="shared" ref="T17" si="36">+O17*$F17</f>
        <v>613150.81296299992</v>
      </c>
      <c r="U17" s="421"/>
      <c r="V17" s="421">
        <f>+IFERROR(VLOOKUP(B17,APU!K:L,2,FALSE),"")</f>
        <v>3425876.8200000003</v>
      </c>
      <c r="W17" s="421">
        <f>+IFERROR(VLOOKUP(B17,'MEMORIA CANTIDADES'!P:Q,2,FALSE),"")</f>
        <v>3425876.82</v>
      </c>
      <c r="X17" s="422"/>
      <c r="Y17" s="421">
        <f t="shared" ref="Y17" si="37">+Q17*$F17</f>
        <v>98577</v>
      </c>
      <c r="Z17" s="421">
        <f t="shared" ref="Z17" si="38">+R17*$F17</f>
        <v>6009253.919999999</v>
      </c>
      <c r="AA17" s="419">
        <f>+T17+U17+Y17+Z17</f>
        <v>6720981.7329629986</v>
      </c>
    </row>
    <row r="18" spans="1:27" s="375" customFormat="1" ht="15" thickBot="1" x14ac:dyDescent="0.35">
      <c r="A18" s="398" t="s">
        <v>2257</v>
      </c>
      <c r="B18" s="429" t="str">
        <f>HYPERLINK("#"&amp;"'MEMORIA CANTIDADES'!A"&amp;MATCH(A18,'MEMORIA CANTIDADES'!A:A,0),A18)</f>
        <v>4,02</v>
      </c>
      <c r="C18" s="430" t="str">
        <f>+$D$14</f>
        <v>ESTRUCTURAS DE CONTENCIÓN</v>
      </c>
      <c r="D18" s="431" t="s">
        <v>2290</v>
      </c>
      <c r="E18" s="432" t="s">
        <v>1282</v>
      </c>
      <c r="F18" s="525">
        <f>+VLOOKUP(B18,'MEMORIA CANTIDADES'!N:O,2,FALSE)</f>
        <v>4</v>
      </c>
      <c r="G18" s="534">
        <v>378778.51385695447</v>
      </c>
      <c r="H18" s="535">
        <f t="shared" si="35"/>
        <v>1515114.0554278179</v>
      </c>
      <c r="I18" s="509">
        <v>757557.02771390893</v>
      </c>
      <c r="J18" s="510">
        <f t="shared" si="7"/>
        <v>3030228.1108556357</v>
      </c>
      <c r="K18" s="514">
        <f>+I18+G18</f>
        <v>1136335.5415708635</v>
      </c>
      <c r="L18" s="433">
        <f>+F18*K18</f>
        <v>4545342.1662834538</v>
      </c>
      <c r="O18" s="410">
        <f>+VLOOKUP(B18,APU!J:K,2,FALSE)</f>
        <v>64474.961570863452</v>
      </c>
      <c r="P18" s="411"/>
      <c r="Q18" s="411">
        <f>+VLOOKUP(B18,APU!L:M,2,FALSE)</f>
        <v>0</v>
      </c>
      <c r="R18" s="411">
        <f>+VLOOKUP(B18,APU!M:N,2,FALSE)</f>
        <v>1071860.58</v>
      </c>
      <c r="S18" s="412">
        <f>+SUM(O18:R18)</f>
        <v>1136335.5415708635</v>
      </c>
      <c r="T18" s="413">
        <f t="shared" ref="T18" si="39">+O18*$F18</f>
        <v>257899.84628345381</v>
      </c>
      <c r="U18" s="414"/>
      <c r="V18" s="414">
        <f>+IFERROR(VLOOKUP(B18,APU!K:L,2,FALSE),"")</f>
        <v>10466082.8753768</v>
      </c>
      <c r="W18" s="414">
        <f>+IFERROR(VLOOKUP(B18,'MEMORIA CANTIDADES'!P:Q,2,FALSE),"")</f>
        <v>10466082.8753768</v>
      </c>
      <c r="X18" s="415"/>
      <c r="Y18" s="414">
        <f t="shared" ref="Y18" si="40">+Q18*$F18</f>
        <v>0</v>
      </c>
      <c r="Z18" s="414">
        <f t="shared" ref="Z18" si="41">+R18*$F18</f>
        <v>4287442.32</v>
      </c>
      <c r="AA18" s="412">
        <f>+T18+U18+Y18+Z18</f>
        <v>4545342.1662834538</v>
      </c>
    </row>
    <row r="19" spans="1:27" ht="15" thickBot="1" x14ac:dyDescent="0.35">
      <c r="B19" s="445" t="s">
        <v>2387</v>
      </c>
      <c r="C19" s="434"/>
      <c r="D19" s="446"/>
      <c r="E19" s="446"/>
      <c r="F19" s="446"/>
      <c r="G19" s="512"/>
      <c r="H19" s="538">
        <f>+SUM(H3:H18)/2</f>
        <v>29527853.220494751</v>
      </c>
      <c r="I19" s="512"/>
      <c r="J19" s="539">
        <f>SUM(J3:J18)/2</f>
        <v>59055706.440989494</v>
      </c>
      <c r="K19" s="515"/>
      <c r="L19" s="499">
        <f>+SUM(L3:L18)/2</f>
        <v>88583559.661484256</v>
      </c>
      <c r="O19" s="447"/>
      <c r="P19" s="435"/>
      <c r="Q19" s="435"/>
      <c r="R19" s="435"/>
      <c r="S19" s="436"/>
      <c r="T19" s="480">
        <f>SUM(T4:T18)</f>
        <v>23104322.649911173</v>
      </c>
      <c r="U19" s="480"/>
      <c r="V19" s="435">
        <f t="shared" ref="V19:AA19" si="42">SUM(V4:V18)</f>
        <v>269649356.40642244</v>
      </c>
      <c r="W19" s="437">
        <f t="shared" si="42"/>
        <v>263244529.11874536</v>
      </c>
      <c r="X19" s="437"/>
      <c r="Y19" s="437">
        <f t="shared" si="42"/>
        <v>1107339.28</v>
      </c>
      <c r="Z19" s="437">
        <f t="shared" si="42"/>
        <v>64371897.731573068</v>
      </c>
      <c r="AA19" s="438">
        <f t="shared" si="42"/>
        <v>88583559.661484241</v>
      </c>
    </row>
    <row r="20" spans="1:27" x14ac:dyDescent="0.3">
      <c r="B20" s="448"/>
      <c r="L20" s="450"/>
    </row>
    <row r="21" spans="1:27" x14ac:dyDescent="0.3">
      <c r="B21" s="451"/>
      <c r="C21" s="375"/>
      <c r="D21" s="516"/>
      <c r="E21" s="517"/>
      <c r="F21" s="500"/>
      <c r="G21" s="500"/>
      <c r="H21" s="500"/>
      <c r="I21" s="500"/>
      <c r="J21" s="503"/>
      <c r="L21" s="452"/>
      <c r="M21" s="439"/>
      <c r="O21" s="439"/>
    </row>
    <row r="22" spans="1:27" ht="14.4" hidden="1" customHeight="1" x14ac:dyDescent="0.3">
      <c r="B22" s="453"/>
      <c r="C22" s="440"/>
      <c r="D22" s="518"/>
      <c r="E22" s="518"/>
      <c r="F22" s="518"/>
      <c r="G22" s="518"/>
      <c r="H22" s="518"/>
      <c r="I22" s="518"/>
      <c r="J22" s="518"/>
      <c r="K22" s="518"/>
      <c r="L22" s="454"/>
      <c r="O22" s="439"/>
    </row>
    <row r="23" spans="1:27" x14ac:dyDescent="0.3">
      <c r="B23" s="453"/>
      <c r="C23" s="440"/>
      <c r="D23" s="518"/>
      <c r="E23" s="518"/>
      <c r="F23" s="519"/>
      <c r="G23" s="519"/>
      <c r="H23" s="521" t="s">
        <v>2381</v>
      </c>
      <c r="I23" s="520"/>
      <c r="J23" s="522" t="s">
        <v>2382</v>
      </c>
      <c r="K23" s="369"/>
      <c r="L23" s="523" t="s">
        <v>31</v>
      </c>
      <c r="O23" s="439"/>
    </row>
    <row r="24" spans="1:27" x14ac:dyDescent="0.3">
      <c r="B24" s="451"/>
      <c r="C24" s="375"/>
      <c r="D24" s="497" t="s">
        <v>2380</v>
      </c>
      <c r="E24" s="497"/>
      <c r="F24" s="497"/>
      <c r="G24" s="497"/>
      <c r="H24" s="540">
        <f>+H19</f>
        <v>29527853.220494751</v>
      </c>
      <c r="I24" s="497"/>
      <c r="J24" s="543">
        <f>+J19</f>
        <v>59055706.440989494</v>
      </c>
      <c r="K24" s="497"/>
      <c r="L24" s="501">
        <f>+J24+H24</f>
        <v>88583559.661484241</v>
      </c>
      <c r="O24" s="439"/>
      <c r="P24" s="439"/>
    </row>
    <row r="25" spans="1:27" x14ac:dyDescent="0.3">
      <c r="B25" s="451"/>
      <c r="C25" s="375"/>
      <c r="D25" s="491"/>
      <c r="E25" s="492" t="s">
        <v>2292</v>
      </c>
      <c r="F25" s="492"/>
      <c r="G25" s="492"/>
      <c r="H25" s="498">
        <f>+H24*0.2</f>
        <v>5905570.6440989505</v>
      </c>
      <c r="I25" s="492"/>
      <c r="J25" s="498">
        <f>+J24*0.2</f>
        <v>11811141.288197899</v>
      </c>
      <c r="K25" s="490"/>
      <c r="L25" s="493">
        <f>+$L$24*0.2</f>
        <v>17716711.93229685</v>
      </c>
      <c r="P25" s="439"/>
      <c r="Q25" s="441"/>
      <c r="R25" s="441"/>
      <c r="T25" s="441"/>
      <c r="U25" s="441"/>
    </row>
    <row r="26" spans="1:27" x14ac:dyDescent="0.3">
      <c r="B26" s="451"/>
      <c r="C26" s="375"/>
      <c r="D26" s="491"/>
      <c r="E26" s="492" t="s">
        <v>2293</v>
      </c>
      <c r="F26" s="492"/>
      <c r="G26" s="492"/>
      <c r="H26" s="498">
        <f>+H24*0.07</f>
        <v>2066949.7254346327</v>
      </c>
      <c r="I26" s="492"/>
      <c r="J26" s="498">
        <f>+J24*0.07</f>
        <v>4133899.450869265</v>
      </c>
      <c r="K26" s="490"/>
      <c r="L26" s="493">
        <f>+$L$24*0.07</f>
        <v>6200849.1763038971</v>
      </c>
      <c r="P26" s="439"/>
      <c r="Q26" s="441"/>
      <c r="R26" s="441"/>
      <c r="T26" s="441"/>
      <c r="U26" s="441"/>
    </row>
    <row r="27" spans="1:27" x14ac:dyDescent="0.3">
      <c r="B27" s="451"/>
      <c r="C27" s="375"/>
      <c r="D27" s="491"/>
      <c r="E27" s="492" t="s">
        <v>2294</v>
      </c>
      <c r="F27" s="492"/>
      <c r="G27" s="492"/>
      <c r="H27" s="498">
        <f>+H24*0.03</f>
        <v>885835.59661484254</v>
      </c>
      <c r="I27" s="492"/>
      <c r="J27" s="498">
        <f>+J24*0.03</f>
        <v>1771671.1932296848</v>
      </c>
      <c r="K27" s="490"/>
      <c r="L27" s="493">
        <f>+$L$24*0.03</f>
        <v>2657506.7898445274</v>
      </c>
      <c r="P27" s="439"/>
      <c r="Q27" s="441"/>
      <c r="R27" s="441"/>
      <c r="T27" s="441"/>
      <c r="U27" s="441"/>
    </row>
    <row r="28" spans="1:27" x14ac:dyDescent="0.3">
      <c r="B28" s="451"/>
      <c r="C28" s="375"/>
      <c r="D28" s="491"/>
      <c r="E28" s="492" t="s">
        <v>2301</v>
      </c>
      <c r="F28" s="492"/>
      <c r="G28" s="492"/>
      <c r="H28" s="498">
        <f>+H27*0.19</f>
        <v>168308.7633568201</v>
      </c>
      <c r="I28" s="492"/>
      <c r="J28" s="498">
        <f>+J27*0.19</f>
        <v>336617.52671364014</v>
      </c>
      <c r="K28" s="490"/>
      <c r="L28" s="493">
        <f>0.19*L27</f>
        <v>504926.29007046024</v>
      </c>
      <c r="P28" s="439"/>
      <c r="Q28" s="441"/>
      <c r="R28" s="441"/>
      <c r="T28" s="441"/>
      <c r="U28" s="441"/>
    </row>
    <row r="29" spans="1:27" x14ac:dyDescent="0.3">
      <c r="B29" s="451"/>
      <c r="C29" s="375"/>
      <c r="D29" s="497" t="s">
        <v>2378</v>
      </c>
      <c r="E29" s="497"/>
      <c r="F29" s="497"/>
      <c r="G29" s="497"/>
      <c r="H29" s="541">
        <f>SUM(H25:H28)</f>
        <v>9026664.7295052465</v>
      </c>
      <c r="I29" s="497"/>
      <c r="J29" s="543">
        <f>SUM(J25:J28)</f>
        <v>18053329.459010489</v>
      </c>
      <c r="K29" s="497"/>
      <c r="L29" s="501">
        <f>SUM(L25:L28)</f>
        <v>27079994.188515734</v>
      </c>
      <c r="P29" s="439"/>
      <c r="Q29" s="441"/>
      <c r="R29" s="441"/>
      <c r="T29" s="441"/>
      <c r="U29" s="441"/>
    </row>
    <row r="30" spans="1:27" x14ac:dyDescent="0.3">
      <c r="B30" s="451"/>
      <c r="C30" s="375"/>
      <c r="D30" s="561"/>
      <c r="E30" s="562"/>
      <c r="F30" s="562"/>
      <c r="G30" s="562"/>
      <c r="H30" s="562"/>
      <c r="I30" s="562"/>
      <c r="J30" s="562"/>
      <c r="K30" s="562"/>
      <c r="L30" s="563"/>
      <c r="P30" s="439"/>
      <c r="Q30" s="441"/>
      <c r="R30" s="441"/>
      <c r="T30" s="441"/>
      <c r="U30" s="441"/>
    </row>
    <row r="31" spans="1:27" ht="13.95" customHeight="1" x14ac:dyDescent="0.3">
      <c r="B31" s="448"/>
      <c r="D31" s="497" t="s">
        <v>2373</v>
      </c>
      <c r="E31" s="497"/>
      <c r="F31" s="497"/>
      <c r="G31" s="497"/>
      <c r="H31" s="542">
        <f>+H29+H24</f>
        <v>38554517.949999996</v>
      </c>
      <c r="I31" s="497"/>
      <c r="J31" s="544">
        <f>+J29+J24</f>
        <v>77109035.899999976</v>
      </c>
      <c r="K31" s="497"/>
      <c r="L31" s="501">
        <f>+L29+L24</f>
        <v>115663553.84999998</v>
      </c>
      <c r="O31" s="481"/>
      <c r="P31" s="439"/>
    </row>
    <row r="32" spans="1:27" x14ac:dyDescent="0.3">
      <c r="B32" s="448"/>
      <c r="E32" s="455"/>
      <c r="L32" s="456"/>
      <c r="O32" s="442"/>
      <c r="P32" s="439"/>
    </row>
    <row r="33" spans="2:16" x14ac:dyDescent="0.3">
      <c r="B33" s="448"/>
      <c r="D33" s="545" t="s">
        <v>2374</v>
      </c>
      <c r="E33" s="546"/>
      <c r="F33" s="546"/>
      <c r="G33" s="546"/>
      <c r="H33" s="546"/>
      <c r="I33" s="546"/>
      <c r="J33" s="546"/>
      <c r="K33" s="547"/>
      <c r="L33" s="495">
        <f>+J31</f>
        <v>77109035.899999976</v>
      </c>
      <c r="O33" s="442"/>
      <c r="P33" s="439"/>
    </row>
    <row r="34" spans="2:16" x14ac:dyDescent="0.3">
      <c r="B34" s="448"/>
      <c r="D34" s="548" t="s">
        <v>2379</v>
      </c>
      <c r="E34" s="549"/>
      <c r="F34" s="549"/>
      <c r="G34" s="549"/>
      <c r="H34" s="549"/>
      <c r="I34" s="549"/>
      <c r="J34" s="549"/>
      <c r="K34" s="550"/>
      <c r="L34" s="494">
        <f>+H31</f>
        <v>38554517.949999996</v>
      </c>
      <c r="O34" s="439" t="s">
        <v>2375</v>
      </c>
    </row>
    <row r="35" spans="2:16" x14ac:dyDescent="0.3">
      <c r="B35" s="448"/>
      <c r="D35" s="551" t="s">
        <v>17</v>
      </c>
      <c r="E35" s="552"/>
      <c r="F35" s="552"/>
      <c r="G35" s="552"/>
      <c r="H35" s="552"/>
      <c r="I35" s="552"/>
      <c r="J35" s="552"/>
      <c r="K35" s="553"/>
      <c r="L35" s="501">
        <f>SUM(L33:L34)</f>
        <v>115663553.84999996</v>
      </c>
      <c r="O35" s="439"/>
    </row>
    <row r="36" spans="2:16" x14ac:dyDescent="0.3">
      <c r="B36" s="448"/>
      <c r="K36" s="368"/>
      <c r="P36" s="489"/>
    </row>
    <row r="37" spans="2:16" x14ac:dyDescent="0.3">
      <c r="B37" s="448"/>
      <c r="E37" s="455"/>
      <c r="L37" s="456"/>
    </row>
    <row r="38" spans="2:16" x14ac:dyDescent="0.3">
      <c r="B38" s="448"/>
      <c r="E38" s="455"/>
      <c r="L38" s="456"/>
    </row>
    <row r="39" spans="2:16" x14ac:dyDescent="0.3">
      <c r="B39" s="448"/>
      <c r="E39" s="455"/>
      <c r="L39" s="456"/>
    </row>
    <row r="40" spans="2:16" ht="15" thickBot="1" x14ac:dyDescent="0.35">
      <c r="B40" s="448"/>
      <c r="D40" s="457" t="s">
        <v>97</v>
      </c>
      <c r="E40" s="458"/>
      <c r="F40" s="458"/>
      <c r="G40" s="458"/>
      <c r="H40" s="458"/>
      <c r="I40" s="458"/>
      <c r="J40" s="504"/>
      <c r="L40" s="456"/>
    </row>
    <row r="41" spans="2:16" x14ac:dyDescent="0.3">
      <c r="B41" s="448"/>
      <c r="D41" s="459" t="str">
        <f>IF('INF. GENERAL'!$B$19=0," ",'INF. GENERAL'!$B$19)</f>
        <v>JAVIER JOSÉ ROSADO MENDINUETA</v>
      </c>
      <c r="E41" s="459"/>
      <c r="F41" s="459"/>
      <c r="G41" s="459"/>
      <c r="H41" s="459"/>
      <c r="I41" s="459"/>
      <c r="J41" s="504"/>
      <c r="L41" s="456"/>
    </row>
    <row r="42" spans="2:16" x14ac:dyDescent="0.3">
      <c r="B42" s="460"/>
      <c r="C42" s="458"/>
      <c r="D42" s="459" t="str">
        <f>IF('INF. GENERAL'!$B$20=0," ",'INF. GENERAL'!$B$20)</f>
        <v>PROFESIONAL APOYO</v>
      </c>
      <c r="E42" s="459"/>
      <c r="F42" s="459"/>
      <c r="G42" s="459"/>
      <c r="H42" s="459"/>
      <c r="I42" s="459"/>
      <c r="J42" s="504"/>
      <c r="L42" s="461"/>
    </row>
    <row r="43" spans="2:16" x14ac:dyDescent="0.3">
      <c r="B43" s="460"/>
      <c r="C43" s="458"/>
      <c r="D43" s="459" t="str">
        <f>IF('INF. GENERAL'!$B$18=0," ",'INF. GENERAL'!$B$18)</f>
        <v>ALCALDÍA MUNICIPAL DE FUNDACIÓN - MAGDALENA</v>
      </c>
      <c r="E43" s="462"/>
      <c r="F43" s="462"/>
      <c r="G43" s="462"/>
      <c r="H43" s="462"/>
      <c r="I43" s="462"/>
      <c r="J43" s="505"/>
      <c r="L43" s="461"/>
    </row>
    <row r="44" spans="2:16" x14ac:dyDescent="0.3">
      <c r="B44" s="463"/>
      <c r="C44" s="443"/>
      <c r="D44" s="459" t="str">
        <f>IF('INF. GENERAL'!$B$21=0," ",'INF. GENERAL'!$B$21)</f>
        <v>MP: 08700-52350</v>
      </c>
      <c r="E44" s="459"/>
      <c r="F44" s="459"/>
      <c r="G44" s="459"/>
      <c r="H44" s="459"/>
      <c r="I44" s="459"/>
      <c r="J44" s="504"/>
      <c r="L44" s="464"/>
    </row>
    <row r="45" spans="2:16" ht="15" thickBot="1" x14ac:dyDescent="0.35">
      <c r="B45" s="465"/>
      <c r="C45" s="444"/>
      <c r="D45" s="444"/>
      <c r="E45" s="466"/>
      <c r="F45" s="444"/>
      <c r="G45" s="444"/>
      <c r="H45" s="444"/>
      <c r="I45" s="444"/>
      <c r="J45" s="506"/>
      <c r="K45" s="467"/>
      <c r="L45" s="468"/>
    </row>
  </sheetData>
  <mergeCells count="6">
    <mergeCell ref="D33:K33"/>
    <mergeCell ref="D34:K34"/>
    <mergeCell ref="D35:K35"/>
    <mergeCell ref="T1:AA1"/>
    <mergeCell ref="O1:S1"/>
    <mergeCell ref="D30:L30"/>
  </mergeCells>
  <phoneticPr fontId="19" type="noConversion"/>
  <conditionalFormatting sqref="P2">
    <cfRule type="cellIs" dxfId="1" priority="2" operator="equal">
      <formula>"ok"</formula>
    </cfRule>
  </conditionalFormatting>
  <conditionalFormatting sqref="U2:X2">
    <cfRule type="cellIs" dxfId="0" priority="1" operator="equal">
      <formula>"ok"</formula>
    </cfRule>
  </conditionalFormatting>
  <printOptions horizontalCentered="1"/>
  <pageMargins left="0.70866141732283472" right="0.70866141732283472" top="1.3385826771653544" bottom="0.74803149606299213" header="0.31496062992125984" footer="0.31496062992125984"/>
  <pageSetup scale="69" fitToHeight="0" orientation="landscape" r:id="rId1"/>
  <headerFooter>
    <oddHeader>&amp;C&amp;G</oddHeader>
  </headerFooter>
  <rowBreaks count="1" manualBreakCount="1">
    <brk id="35" min="1" max="26" man="1"/>
  </rowBreaks>
  <ignoredErrors>
    <ignoredError sqref="L5 K6 F4:F18 L4 K14 K16" unlockedFormula="1"/>
    <ignoredError sqref="L6:L18" formula="1" unlockedFormula="1"/>
    <ignoredError sqref="L19" formula="1"/>
  </ignoredErrors>
  <drawing r:id="rId2"/>
  <legacyDrawingHF r:id="rId3"/>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4E41A862-17AC-4BFC-9C6F-1CD07856B91F}">
          <x14:formula1>
            <xm:f>Actividades!$K$1:$K$18</xm:f>
          </x14:formula1>
          <xm:sqref>E4:E5 E17:E18 E15 E7:E13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150737-9CFE-4ACE-BF27-AF272F003F75}">
  <sheetPr codeName="Sheet1"/>
  <dimension ref="A1:H22"/>
  <sheetViews>
    <sheetView workbookViewId="0">
      <selection activeCell="B1" sqref="B1"/>
    </sheetView>
  </sheetViews>
  <sheetFormatPr baseColWidth="10" defaultColWidth="11.5546875" defaultRowHeight="14.4" x14ac:dyDescent="0.3"/>
  <cols>
    <col min="1" max="1" width="24.5546875" customWidth="1"/>
    <col min="2" max="2" width="22.5546875" customWidth="1"/>
    <col min="3" max="3" width="27.5546875" customWidth="1"/>
  </cols>
  <sheetData>
    <row r="1" spans="1:8" ht="15" thickBot="1" x14ac:dyDescent="0.35"/>
    <row r="2" spans="1:8" x14ac:dyDescent="0.3">
      <c r="A2" s="566" t="s">
        <v>0</v>
      </c>
      <c r="B2" s="567"/>
      <c r="C2" s="567"/>
      <c r="D2" s="567"/>
      <c r="E2" s="567"/>
      <c r="F2" s="568"/>
    </row>
    <row r="3" spans="1:8" x14ac:dyDescent="0.3">
      <c r="A3" s="569"/>
      <c r="B3" s="570"/>
      <c r="C3" s="570"/>
      <c r="D3" s="570"/>
      <c r="E3" s="570"/>
      <c r="F3" s="571"/>
    </row>
    <row r="4" spans="1:8" x14ac:dyDescent="0.3">
      <c r="A4" s="572" t="s">
        <v>1</v>
      </c>
      <c r="B4" s="575" t="s">
        <v>2264</v>
      </c>
      <c r="C4" s="575"/>
      <c r="D4" s="575"/>
      <c r="E4" s="575"/>
      <c r="F4" s="576"/>
    </row>
    <row r="5" spans="1:8" x14ac:dyDescent="0.3">
      <c r="A5" s="573"/>
      <c r="B5" s="575"/>
      <c r="C5" s="575"/>
      <c r="D5" s="575"/>
      <c r="E5" s="575"/>
      <c r="F5" s="576"/>
    </row>
    <row r="6" spans="1:8" ht="15" thickBot="1" x14ac:dyDescent="0.35">
      <c r="A6" s="574"/>
      <c r="B6" s="577"/>
      <c r="C6" s="577"/>
      <c r="D6" s="577"/>
      <c r="E6" s="577"/>
      <c r="F6" s="578"/>
    </row>
    <row r="7" spans="1:8" x14ac:dyDescent="0.3">
      <c r="A7" s="1"/>
      <c r="B7" s="2"/>
      <c r="C7" s="2"/>
      <c r="D7" s="2"/>
      <c r="E7" s="2"/>
      <c r="F7" s="3"/>
    </row>
    <row r="8" spans="1:8" x14ac:dyDescent="0.3">
      <c r="A8" s="564" t="s">
        <v>2</v>
      </c>
      <c r="B8" s="564"/>
      <c r="C8" s="564"/>
      <c r="D8" s="564"/>
      <c r="E8" s="2"/>
      <c r="F8" s="3"/>
    </row>
    <row r="9" spans="1:8" x14ac:dyDescent="0.3">
      <c r="A9" s="4" t="s">
        <v>3</v>
      </c>
      <c r="B9" s="5"/>
      <c r="C9" s="6" t="s">
        <v>4</v>
      </c>
      <c r="D9" s="7">
        <v>1</v>
      </c>
      <c r="E9" s="3"/>
      <c r="F9" s="8"/>
    </row>
    <row r="10" spans="1:8" ht="27.6" x14ac:dyDescent="0.3">
      <c r="A10" s="4" t="s">
        <v>5</v>
      </c>
      <c r="B10" s="9">
        <v>4</v>
      </c>
      <c r="C10" s="6" t="s">
        <v>6</v>
      </c>
      <c r="D10" s="9">
        <v>4</v>
      </c>
      <c r="E10" s="3"/>
      <c r="F10" s="8"/>
    </row>
    <row r="11" spans="1:8" x14ac:dyDescent="0.3">
      <c r="A11" s="1"/>
      <c r="B11" s="2"/>
      <c r="C11" s="2"/>
      <c r="D11" s="2"/>
      <c r="E11" s="2"/>
      <c r="F11" s="2"/>
    </row>
    <row r="12" spans="1:8" x14ac:dyDescent="0.3">
      <c r="A12" s="564" t="s">
        <v>7</v>
      </c>
      <c r="B12" s="564"/>
      <c r="C12" s="564"/>
      <c r="D12" s="564"/>
      <c r="E12" s="2"/>
      <c r="F12" s="2"/>
    </row>
    <row r="13" spans="1:8" ht="14.4" customHeight="1" x14ac:dyDescent="0.3">
      <c r="A13" s="10" t="s">
        <v>8</v>
      </c>
      <c r="B13" s="58" t="s">
        <v>9</v>
      </c>
      <c r="C13" s="58"/>
      <c r="D13" s="58"/>
      <c r="E13" s="2"/>
      <c r="F13" s="2"/>
    </row>
    <row r="14" spans="1:8" x14ac:dyDescent="0.3">
      <c r="A14" s="10" t="s">
        <v>10</v>
      </c>
      <c r="B14" s="59" t="s">
        <v>2258</v>
      </c>
      <c r="C14" s="58"/>
      <c r="D14" s="58"/>
      <c r="E14" s="2"/>
      <c r="F14" s="2"/>
      <c r="H14" s="11"/>
    </row>
    <row r="15" spans="1:8" x14ac:dyDescent="0.3">
      <c r="A15" s="10" t="s">
        <v>11</v>
      </c>
      <c r="B15" s="59" t="s">
        <v>2259</v>
      </c>
      <c r="C15" s="58"/>
      <c r="D15" s="58"/>
      <c r="E15" s="2"/>
      <c r="F15" s="2"/>
      <c r="H15" s="12"/>
    </row>
    <row r="16" spans="1:8" x14ac:dyDescent="0.3">
      <c r="A16" s="1"/>
      <c r="B16" s="2"/>
      <c r="C16" s="2"/>
      <c r="D16" s="2"/>
      <c r="E16" s="2"/>
      <c r="F16" s="2"/>
    </row>
    <row r="17" spans="1:6" x14ac:dyDescent="0.3">
      <c r="A17" s="564"/>
      <c r="B17" s="565"/>
      <c r="C17" s="565"/>
      <c r="D17" s="565"/>
      <c r="E17" s="2"/>
      <c r="F17" s="2"/>
    </row>
    <row r="18" spans="1:6" x14ac:dyDescent="0.3">
      <c r="A18" s="49" t="s">
        <v>12</v>
      </c>
      <c r="B18" s="60" t="s">
        <v>2260</v>
      </c>
      <c r="C18" s="50"/>
      <c r="D18" s="51"/>
      <c r="E18" s="2"/>
      <c r="F18" s="2"/>
    </row>
    <row r="19" spans="1:6" x14ac:dyDescent="0.3">
      <c r="A19" s="4" t="s">
        <v>13</v>
      </c>
      <c r="B19" s="60" t="s">
        <v>2261</v>
      </c>
      <c r="C19" s="61"/>
      <c r="D19" s="62"/>
      <c r="E19" s="2"/>
      <c r="F19" s="2"/>
    </row>
    <row r="20" spans="1:6" x14ac:dyDescent="0.3">
      <c r="A20" s="4" t="s">
        <v>14</v>
      </c>
      <c r="B20" s="60" t="s">
        <v>2262</v>
      </c>
      <c r="C20" s="61"/>
      <c r="D20" s="62"/>
      <c r="E20" s="2"/>
      <c r="F20" s="2"/>
    </row>
    <row r="21" spans="1:6" x14ac:dyDescent="0.3">
      <c r="A21" s="10" t="s">
        <v>15</v>
      </c>
      <c r="B21" s="60" t="s">
        <v>2263</v>
      </c>
      <c r="C21" s="61"/>
      <c r="D21" s="62"/>
      <c r="E21" s="2"/>
      <c r="F21" s="2"/>
    </row>
    <row r="22" spans="1:6" x14ac:dyDescent="0.3">
      <c r="E22" s="2"/>
      <c r="F22" s="2"/>
    </row>
  </sheetData>
  <mergeCells count="6">
    <mergeCell ref="A17:D17"/>
    <mergeCell ref="A2:F3"/>
    <mergeCell ref="A4:A6"/>
    <mergeCell ref="B4:F6"/>
    <mergeCell ref="A8:D8"/>
    <mergeCell ref="A12:D12"/>
  </mergeCells>
  <pageMargins left="0.7" right="0.7" top="0.75" bottom="0.75" header="0.3" footer="0.3"/>
  <pageSetup scale="8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21BC4D-C13E-4D3F-AC74-879D070A7724}">
  <sheetPr codeName="Sheet3"/>
  <dimension ref="A1:X516"/>
  <sheetViews>
    <sheetView view="pageBreakPreview" topLeftCell="A490" zoomScale="88" zoomScaleNormal="70" zoomScaleSheetLayoutView="88" workbookViewId="0">
      <selection activeCell="B503" sqref="B503"/>
    </sheetView>
  </sheetViews>
  <sheetFormatPr baseColWidth="10" defaultColWidth="8.88671875" defaultRowHeight="14.4" x14ac:dyDescent="0.3"/>
  <cols>
    <col min="1" max="1" width="7.88671875" style="199" bestFit="1" customWidth="1"/>
    <col min="2" max="2" width="22.6640625" style="199" customWidth="1"/>
    <col min="3" max="3" width="9.5546875" style="199" customWidth="1"/>
    <col min="4" max="4" width="14.6640625" style="199" customWidth="1"/>
    <col min="5" max="5" width="12.6640625" style="199" customWidth="1"/>
    <col min="6" max="6" width="19.88671875" style="199" customWidth="1"/>
    <col min="7" max="7" width="39.5546875" style="199" customWidth="1"/>
    <col min="8" max="8" width="14.109375" style="199" customWidth="1"/>
    <col min="9" max="11" width="11.5546875" style="199" customWidth="1"/>
    <col min="12" max="12" width="11.88671875" style="234" customWidth="1"/>
    <col min="13" max="13" width="8.88671875" style="233"/>
    <col min="14" max="14" width="8.88671875" style="232"/>
    <col min="15" max="15" width="15.88671875" style="232" customWidth="1"/>
    <col min="16" max="16" width="13.109375" style="232" bestFit="1" customWidth="1"/>
    <col min="17" max="17" width="16.6640625" style="232" bestFit="1" customWidth="1"/>
    <col min="18" max="19" width="8.88671875" style="232"/>
    <col min="20" max="24" width="8.88671875" style="233"/>
    <col min="25" max="16384" width="8.88671875" style="234"/>
  </cols>
  <sheetData>
    <row r="1" spans="1:12" ht="18.600000000000001" thickBot="1" x14ac:dyDescent="0.35">
      <c r="A1" s="229" t="s">
        <v>37</v>
      </c>
      <c r="B1" s="200" t="s">
        <v>38</v>
      </c>
      <c r="C1" s="230"/>
      <c r="D1" s="230"/>
      <c r="E1" s="230"/>
      <c r="F1" s="230"/>
      <c r="G1" s="230"/>
      <c r="H1" s="230"/>
      <c r="I1" s="230"/>
      <c r="J1" s="230"/>
      <c r="K1" s="230"/>
      <c r="L1" s="231" t="s">
        <v>37</v>
      </c>
    </row>
    <row r="2" spans="1:12" ht="15" thickBot="1" x14ac:dyDescent="0.35">
      <c r="A2" s="235" t="s">
        <v>37</v>
      </c>
      <c r="B2" s="236"/>
      <c r="C2" s="236"/>
      <c r="D2" s="236"/>
      <c r="E2" s="237"/>
      <c r="F2" s="236"/>
      <c r="G2" s="238"/>
      <c r="H2" s="236"/>
      <c r="I2" s="236"/>
      <c r="J2" s="236"/>
      <c r="K2" s="236"/>
      <c r="L2" s="239" t="s">
        <v>37</v>
      </c>
    </row>
    <row r="3" spans="1:12" ht="15" thickBot="1" x14ac:dyDescent="0.35">
      <c r="A3" s="240" t="s">
        <v>39</v>
      </c>
      <c r="B3" s="241" t="s">
        <v>21</v>
      </c>
      <c r="C3" s="242" t="s">
        <v>20</v>
      </c>
      <c r="D3" s="243"/>
      <c r="E3" s="243"/>
      <c r="F3" s="243"/>
      <c r="G3" s="244"/>
      <c r="H3" s="245" t="s">
        <v>40</v>
      </c>
      <c r="I3" s="246"/>
      <c r="J3" s="247"/>
      <c r="K3" s="242" t="s">
        <v>41</v>
      </c>
      <c r="L3" s="248"/>
    </row>
    <row r="4" spans="1:12" ht="15" thickBot="1" x14ac:dyDescent="0.35">
      <c r="A4" s="469" t="s">
        <v>33</v>
      </c>
      <c r="B4" s="249" t="str">
        <f>VLOOKUP(A4,PRESUPUESTO!$A$3:$F$973,5,FALSE)</f>
        <v>ml</v>
      </c>
      <c r="C4" s="42" t="str">
        <f>VLOOKUP(A4,PRESUPUESTO!$A$3:$F$973,4,FALSE)</f>
        <v>Cerramiento en lona verde incluye estructura</v>
      </c>
      <c r="D4" s="43"/>
      <c r="E4" s="44"/>
      <c r="F4" s="45"/>
      <c r="G4" s="46"/>
      <c r="H4" s="250" t="str">
        <f>VLOOKUP(A4,PRESUPUESTO!$A$3:$F$973,3,FALSE)</f>
        <v>PRELIMINARES</v>
      </c>
      <c r="I4" s="251"/>
      <c r="J4" s="252"/>
      <c r="K4" s="253">
        <f>ROUND(+L22,2)</f>
        <v>272</v>
      </c>
      <c r="L4" s="254"/>
    </row>
    <row r="5" spans="1:12" ht="15" thickBot="1" x14ac:dyDescent="0.35">
      <c r="A5" s="582" t="s">
        <v>42</v>
      </c>
      <c r="B5" s="583"/>
      <c r="C5" s="583"/>
      <c r="D5" s="583"/>
      <c r="E5" s="583"/>
      <c r="F5" s="584"/>
      <c r="G5" s="580" t="s">
        <v>43</v>
      </c>
      <c r="H5" s="582" t="s">
        <v>44</v>
      </c>
      <c r="I5" s="583"/>
      <c r="J5" s="583"/>
      <c r="K5" s="584"/>
      <c r="L5" s="593" t="s">
        <v>45</v>
      </c>
    </row>
    <row r="6" spans="1:12" ht="15" thickBot="1" x14ac:dyDescent="0.35">
      <c r="A6" s="585" t="e" vm="1">
        <v>#VALUE!</v>
      </c>
      <c r="B6" s="586"/>
      <c r="C6" s="586"/>
      <c r="D6" s="586"/>
      <c r="E6" s="586"/>
      <c r="F6" s="587"/>
      <c r="G6" s="581"/>
      <c r="H6" s="255" t="s">
        <v>46</v>
      </c>
      <c r="I6" s="255" t="s">
        <v>47</v>
      </c>
      <c r="J6" s="255" t="s">
        <v>48</v>
      </c>
      <c r="K6" s="256" t="s">
        <v>49</v>
      </c>
      <c r="L6" s="594"/>
    </row>
    <row r="7" spans="1:12" x14ac:dyDescent="0.3">
      <c r="A7" s="588"/>
      <c r="B7" s="579"/>
      <c r="C7" s="579"/>
      <c r="D7" s="579"/>
      <c r="E7" s="579"/>
      <c r="F7" s="589"/>
      <c r="G7" s="47" t="s">
        <v>2265</v>
      </c>
      <c r="H7" s="257">
        <v>214</v>
      </c>
      <c r="I7" s="257"/>
      <c r="J7" s="257"/>
      <c r="K7" s="257">
        <v>1</v>
      </c>
      <c r="L7" s="258">
        <f>+IF(B4="m2",H7*I7*K7,IF(B4="m3",H7*I7*J7*K7,IF(B4="ml",H7*K7,IF(B4="und",K7,IF(B4="GLOBAL",K7,"")))))</f>
        <v>214</v>
      </c>
    </row>
    <row r="8" spans="1:12" x14ac:dyDescent="0.3">
      <c r="A8" s="588"/>
      <c r="B8" s="579"/>
      <c r="C8" s="579"/>
      <c r="D8" s="579"/>
      <c r="E8" s="579"/>
      <c r="F8" s="589"/>
      <c r="G8" s="47" t="s">
        <v>2266</v>
      </c>
      <c r="H8" s="259">
        <v>58</v>
      </c>
      <c r="I8" s="259"/>
      <c r="J8" s="259"/>
      <c r="K8" s="259">
        <v>1</v>
      </c>
      <c r="L8" s="260">
        <f>+IF(B4="m2",H8*I8*K8,IF(B4="m3",H8*I8*J8*K8,IF(B4="ml",H8*K8,IF(B4="und",K8,IF(B4="GLOBAL",K8,"")))))</f>
        <v>58</v>
      </c>
    </row>
    <row r="9" spans="1:12" x14ac:dyDescent="0.3">
      <c r="A9" s="588"/>
      <c r="B9" s="579"/>
      <c r="C9" s="579"/>
      <c r="D9" s="579"/>
      <c r="E9" s="579"/>
      <c r="F9" s="589"/>
      <c r="G9" s="47"/>
      <c r="H9" s="259"/>
      <c r="I9" s="259"/>
      <c r="J9" s="259"/>
      <c r="K9" s="259"/>
      <c r="L9" s="260">
        <f>+IF(B4="m2",H9*I9*K9,IF(B4="m3",H9*I9*J9*K9,IF(B4="ml",H9*K9,IF(B4="und",K9,IF(B4="GLOBAL",K9,"")))))</f>
        <v>0</v>
      </c>
    </row>
    <row r="10" spans="1:12" x14ac:dyDescent="0.3">
      <c r="A10" s="588"/>
      <c r="B10" s="579"/>
      <c r="C10" s="579"/>
      <c r="D10" s="579"/>
      <c r="E10" s="579"/>
      <c r="F10" s="589"/>
      <c r="G10" s="47"/>
      <c r="H10" s="259"/>
      <c r="I10" s="259"/>
      <c r="J10" s="259"/>
      <c r="K10" s="259"/>
      <c r="L10" s="260">
        <f>+IF(B4="m2",H10*I10*K10,IF(B4="m3",H10*I10*J10*K10,IF(B4="ml",H10*K10,IF(B4="und",K10,IF(B4="GLOBAL",K10,"")))))</f>
        <v>0</v>
      </c>
    </row>
    <row r="11" spans="1:12" x14ac:dyDescent="0.3">
      <c r="A11" s="588"/>
      <c r="B11" s="579"/>
      <c r="C11" s="579"/>
      <c r="D11" s="579"/>
      <c r="E11" s="579"/>
      <c r="F11" s="589"/>
      <c r="G11" s="47"/>
      <c r="H11" s="259"/>
      <c r="I11" s="259"/>
      <c r="J11" s="259"/>
      <c r="K11" s="259"/>
      <c r="L11" s="260">
        <f>+IF(B4="m2",H11*I11*K11,IF(B4="m3",H11*I11*J11*K11,IF(B4="ml",H11*K11,IF(B4="und",K11,IF(B4="GLOBAL",K11,"")))))</f>
        <v>0</v>
      </c>
    </row>
    <row r="12" spans="1:12" x14ac:dyDescent="0.3">
      <c r="A12" s="588"/>
      <c r="B12" s="579"/>
      <c r="C12" s="579"/>
      <c r="D12" s="579"/>
      <c r="E12" s="579"/>
      <c r="F12" s="589"/>
      <c r="G12" s="47"/>
      <c r="H12" s="259"/>
      <c r="I12" s="259"/>
      <c r="J12" s="259"/>
      <c r="K12" s="259"/>
      <c r="L12" s="260">
        <f>+IF(B4="m2",H12*I12*K12,IF(B4="m3",H12*I12*J12*K12,IF(B4="ml",H12*K12,IF(B4="und",K12,IF(B4="GLOBAL",K12,"")))))</f>
        <v>0</v>
      </c>
    </row>
    <row r="13" spans="1:12" x14ac:dyDescent="0.3">
      <c r="A13" s="588"/>
      <c r="B13" s="579"/>
      <c r="C13" s="579"/>
      <c r="D13" s="579"/>
      <c r="E13" s="579"/>
      <c r="F13" s="589"/>
      <c r="G13" s="47"/>
      <c r="H13" s="259"/>
      <c r="I13" s="259"/>
      <c r="J13" s="259"/>
      <c r="K13" s="259"/>
      <c r="L13" s="260">
        <f>+IF(B4="m2",H13*I13*K13,IF(B4="m3",H13*I13*J13*K13,IF(B4="ml",H13*K13,IF(B4="und",K13,IF(B4="GLOBAL",K13,"")))))</f>
        <v>0</v>
      </c>
    </row>
    <row r="14" spans="1:12" x14ac:dyDescent="0.3">
      <c r="A14" s="588"/>
      <c r="B14" s="579"/>
      <c r="C14" s="579"/>
      <c r="D14" s="579"/>
      <c r="E14" s="579"/>
      <c r="F14" s="589"/>
      <c r="G14" s="47"/>
      <c r="H14" s="259"/>
      <c r="I14" s="259"/>
      <c r="J14" s="259"/>
      <c r="K14" s="259"/>
      <c r="L14" s="260">
        <f>+IF(B4="m2",H14*I14*K14,IF(B4="m3",H14*I14*J14*K14,IF(B4="ml",H14*K14,IF(B4="und",K14,IF(B4="GLOBAL",K14,"")))))</f>
        <v>0</v>
      </c>
    </row>
    <row r="15" spans="1:12" x14ac:dyDescent="0.3">
      <c r="A15" s="588"/>
      <c r="B15" s="579"/>
      <c r="C15" s="579"/>
      <c r="D15" s="579"/>
      <c r="E15" s="579"/>
      <c r="F15" s="589"/>
      <c r="G15" s="47"/>
      <c r="H15" s="259"/>
      <c r="I15" s="259"/>
      <c r="J15" s="259"/>
      <c r="K15" s="259"/>
      <c r="L15" s="260">
        <f>+IF(B4="m2",H15*I15*K15,IF(B4="m3",H15*I15*J15*K15,IF(B4="ml",H15*K15,IF(B4="und",K15,IF(B4="GLOBAL",K15,"")))))</f>
        <v>0</v>
      </c>
    </row>
    <row r="16" spans="1:12" x14ac:dyDescent="0.3">
      <c r="A16" s="588"/>
      <c r="B16" s="579"/>
      <c r="C16" s="579"/>
      <c r="D16" s="579"/>
      <c r="E16" s="579"/>
      <c r="F16" s="589"/>
      <c r="G16" s="47"/>
      <c r="H16" s="259"/>
      <c r="I16" s="259"/>
      <c r="J16" s="259"/>
      <c r="K16" s="259"/>
      <c r="L16" s="260">
        <f>+IF(B4="m2",H16*I16*K16,IF(B4="m3",H16*I16*J16*K16,IF(B4="ml",H16*K16,IF(B4="und",K16,IF(B4="GLOBAL",K16,"")))))</f>
        <v>0</v>
      </c>
    </row>
    <row r="17" spans="1:17" x14ac:dyDescent="0.3">
      <c r="A17" s="588"/>
      <c r="B17" s="579"/>
      <c r="C17" s="579"/>
      <c r="D17" s="579"/>
      <c r="E17" s="579"/>
      <c r="F17" s="589"/>
      <c r="G17" s="47"/>
      <c r="H17" s="259"/>
      <c r="I17" s="259"/>
      <c r="J17" s="259"/>
      <c r="K17" s="259"/>
      <c r="L17" s="260">
        <f>+IF(B4="m2",H17*I17*K17,IF(B4="m3",H17*I17*J17*K17,IF(B4="ml",H17*K17,IF(B4="und",K17,IF(B4="GLOBAL",K17,"")))))</f>
        <v>0</v>
      </c>
    </row>
    <row r="18" spans="1:17" x14ac:dyDescent="0.3">
      <c r="A18" s="588"/>
      <c r="B18" s="579"/>
      <c r="C18" s="579"/>
      <c r="D18" s="579"/>
      <c r="E18" s="579"/>
      <c r="F18" s="589"/>
      <c r="G18" s="47"/>
      <c r="H18" s="259"/>
      <c r="I18" s="259"/>
      <c r="J18" s="259"/>
      <c r="K18" s="259"/>
      <c r="L18" s="260">
        <f>+IF(B4="m2",H18*I18*K18,IF(B4="m3",H18*I18*J18*K18,IF(B4="ml",H18*K18,IF(B4="und",K18,IF(B4="GLOBAL",K18,"")))))</f>
        <v>0</v>
      </c>
    </row>
    <row r="19" spans="1:17" x14ac:dyDescent="0.3">
      <c r="A19" s="588"/>
      <c r="B19" s="579"/>
      <c r="C19" s="579"/>
      <c r="D19" s="579"/>
      <c r="E19" s="579"/>
      <c r="F19" s="589"/>
      <c r="G19" s="47"/>
      <c r="H19" s="259"/>
      <c r="I19" s="259"/>
      <c r="J19" s="259"/>
      <c r="K19" s="259"/>
      <c r="L19" s="260">
        <f>+IF(B4="m2",H19*I19*K19,IF(B4="m3",H19*I19*J19*K19,IF(B4="ml",H19*K19,IF(B4="und",K19,IF(B4="GLOBAL",K19,"")))))</f>
        <v>0</v>
      </c>
    </row>
    <row r="20" spans="1:17" x14ac:dyDescent="0.3">
      <c r="A20" s="588"/>
      <c r="B20" s="579"/>
      <c r="C20" s="579"/>
      <c r="D20" s="579"/>
      <c r="E20" s="579"/>
      <c r="F20" s="589"/>
      <c r="G20" s="47"/>
      <c r="H20" s="259"/>
      <c r="I20" s="259"/>
      <c r="J20" s="259"/>
      <c r="K20" s="259"/>
      <c r="L20" s="260">
        <f>+IF(B4="m2",H20*I20*K20,IF(B4="m3",H20*I20*J20*K20,IF(B4="ml",H20*K20,IF(B4="und",K20,IF(B4="GLOBAL",K20,"")))))</f>
        <v>0</v>
      </c>
    </row>
    <row r="21" spans="1:17" x14ac:dyDescent="0.3">
      <c r="A21" s="588"/>
      <c r="B21" s="579"/>
      <c r="C21" s="579"/>
      <c r="D21" s="579"/>
      <c r="E21" s="579"/>
      <c r="F21" s="589"/>
      <c r="G21" s="47"/>
      <c r="H21" s="259"/>
      <c r="I21" s="259"/>
      <c r="J21" s="259"/>
      <c r="K21" s="259"/>
      <c r="L21" s="260">
        <f>+IF(B4="m2",H21*I21*K21,IF(B4="m3",H21*I21*J21*K21,IF(B4="ml",H21*K21,IF(B4="und",K21,IF(B4="GLOBAL",K21,"")))))</f>
        <v>0</v>
      </c>
    </row>
    <row r="22" spans="1:17" ht="15" thickBot="1" x14ac:dyDescent="0.35">
      <c r="A22" s="590"/>
      <c r="B22" s="591"/>
      <c r="C22" s="591"/>
      <c r="D22" s="591"/>
      <c r="E22" s="591"/>
      <c r="F22" s="592"/>
      <c r="G22" s="261" t="s">
        <v>31</v>
      </c>
      <c r="H22" s="262"/>
      <c r="I22" s="262"/>
      <c r="J22" s="262"/>
      <c r="K22" s="262"/>
      <c r="L22" s="263">
        <f>SUM(L7:L21)</f>
        <v>272</v>
      </c>
      <c r="N22" s="264" t="str">
        <f>+A4</f>
        <v>1.01</v>
      </c>
      <c r="O22" s="331">
        <f>+L22</f>
        <v>272</v>
      </c>
    </row>
    <row r="23" spans="1:17" x14ac:dyDescent="0.3">
      <c r="A23" s="265"/>
      <c r="B23" s="266"/>
      <c r="C23" s="266"/>
      <c r="D23" s="266"/>
      <c r="E23" s="267"/>
      <c r="L23" s="268"/>
    </row>
    <row r="24" spans="1:17" ht="15" thickBot="1" x14ac:dyDescent="0.35">
      <c r="A24" s="269" t="s">
        <v>50</v>
      </c>
      <c r="B24" s="270"/>
      <c r="C24" s="270"/>
      <c r="D24" s="270"/>
      <c r="E24" s="271"/>
      <c r="F24" s="272"/>
      <c r="G24" s="272"/>
      <c r="H24" s="272"/>
      <c r="I24" s="272"/>
      <c r="J24" s="272"/>
      <c r="K24" s="272"/>
      <c r="L24" s="273"/>
    </row>
    <row r="25" spans="1:17" ht="15" thickBot="1" x14ac:dyDescent="0.35">
      <c r="A25" s="274" t="s">
        <v>18</v>
      </c>
      <c r="B25" s="275" t="s">
        <v>51</v>
      </c>
      <c r="C25" s="275" t="s">
        <v>21</v>
      </c>
      <c r="D25" s="275" t="s">
        <v>52</v>
      </c>
      <c r="E25" s="276" t="s">
        <v>22</v>
      </c>
      <c r="F25" s="277"/>
      <c r="G25" s="278"/>
      <c r="H25" s="278"/>
      <c r="I25" s="278"/>
      <c r="J25" s="278"/>
      <c r="K25" s="278"/>
      <c r="L25" s="273"/>
    </row>
    <row r="26" spans="1:17" ht="27.6" x14ac:dyDescent="0.3">
      <c r="A26" s="191">
        <f>IFERROR(VLOOKUP(B26,INSUMOS!A:D,4,FALSE),"")</f>
        <v>385</v>
      </c>
      <c r="B26" s="163" t="str">
        <f>+IFERROR(VLOOKUP(N26,APU!J:M,4,FALSE),"")</f>
        <v>Guadua rolliza diámetro 10 cm x 3 m</v>
      </c>
      <c r="C26" s="163" t="str">
        <f>+IFERROR(VLOOKUP(B26,INSUMOS!A:D,2,FALSE),"")</f>
        <v>Unidad</v>
      </c>
      <c r="D26" s="192">
        <f>IFERROR(VLOOKUP(N26,APU!J:N,5,FALSE),"")</f>
        <v>0.5</v>
      </c>
      <c r="E26" s="279">
        <f>IFERROR(D26*K4,"")</f>
        <v>136</v>
      </c>
      <c r="F26" s="278"/>
      <c r="G26" s="234"/>
      <c r="H26" s="234"/>
      <c r="I26" s="278"/>
      <c r="J26" s="278"/>
      <c r="K26" s="278"/>
      <c r="L26" s="273"/>
      <c r="N26" s="280" t="str">
        <f>+_xlfn.CONCAT("M",N22,O26)</f>
        <v>M1.011</v>
      </c>
      <c r="O26" s="280">
        <v>1</v>
      </c>
      <c r="P26" s="281">
        <f>+IFERROR(VLOOKUP(B26,INSUMOS!A:D,3,FALSE),"")</f>
        <v>13755.21</v>
      </c>
      <c r="Q26" s="282">
        <f t="shared" ref="Q26:Q36" si="0">IFERROR(E26*P26,"")</f>
        <v>1870708.5599999998</v>
      </c>
    </row>
    <row r="27" spans="1:17" ht="41.4" x14ac:dyDescent="0.3">
      <c r="A27" s="191">
        <f>IFERROR(VLOOKUP(B27,INSUMOS!A:D,4,FALSE),"")</f>
        <v>645</v>
      </c>
      <c r="B27" s="163" t="str">
        <f>+IFERROR(VLOOKUP(N27,APU!J:M,4,FALSE),"")</f>
        <v>Tela plástica para cerramiento (polisombra) altura 2,10 m cualquier color</v>
      </c>
      <c r="C27" s="163" t="str">
        <f>+IFERROR(VLOOKUP(B27,INSUMOS!A:D,2,FALSE),"")</f>
        <v>Metro Lineal</v>
      </c>
      <c r="D27" s="192">
        <f>IFERROR(VLOOKUP(N27,APU!J:N,5,FALSE),"")</f>
        <v>1.03</v>
      </c>
      <c r="E27" s="283">
        <f>IFERROR(D27*K4,"")</f>
        <v>280.16000000000003</v>
      </c>
      <c r="F27" s="278"/>
      <c r="G27" s="234"/>
      <c r="H27" s="234"/>
      <c r="I27" s="278"/>
      <c r="J27" s="278"/>
      <c r="K27" s="278"/>
      <c r="L27" s="273"/>
      <c r="N27" s="280" t="str">
        <f>+_xlfn.CONCAT("M",N22,O27)</f>
        <v>M1.012</v>
      </c>
      <c r="O27" s="280">
        <v>2</v>
      </c>
      <c r="P27" s="281">
        <f>+IFERROR(VLOOKUP(B27,INSUMOS!A:D,3,FALSE),"")</f>
        <v>9322.89</v>
      </c>
      <c r="Q27" s="282">
        <f t="shared" si="0"/>
        <v>2611900.8624</v>
      </c>
    </row>
    <row r="28" spans="1:17" x14ac:dyDescent="0.3">
      <c r="A28" s="191" t="str">
        <f>IFERROR(VLOOKUP(B28,INSUMOS!A:D,4,FALSE),"")</f>
        <v/>
      </c>
      <c r="B28" s="163">
        <f>+IFERROR(VLOOKUP(N28,APU!J:M,4,FALSE),"")</f>
        <v>0</v>
      </c>
      <c r="C28" s="163" t="str">
        <f>+IFERROR(VLOOKUP(B28,INSUMOS!A:D,2,FALSE),"")</f>
        <v/>
      </c>
      <c r="D28" s="192">
        <f>IFERROR(VLOOKUP(N28,APU!J:N,5,FALSE),"")</f>
        <v>0</v>
      </c>
      <c r="E28" s="283">
        <f>IFERROR(D28*K4,"")</f>
        <v>0</v>
      </c>
      <c r="F28" s="278"/>
      <c r="G28" s="234"/>
      <c r="H28" s="234"/>
      <c r="I28" s="278"/>
      <c r="J28" s="278"/>
      <c r="K28" s="278"/>
      <c r="L28" s="273"/>
      <c r="N28" s="280" t="str">
        <f>+_xlfn.CONCAT("M",N22,O28)</f>
        <v>M1.013</v>
      </c>
      <c r="O28" s="280">
        <v>3</v>
      </c>
      <c r="P28" s="281" t="str">
        <f>+IFERROR(VLOOKUP(B28,INSUMOS!A:D,3,FALSE),"")</f>
        <v/>
      </c>
      <c r="Q28" s="282" t="str">
        <f t="shared" si="0"/>
        <v/>
      </c>
    </row>
    <row r="29" spans="1:17" x14ac:dyDescent="0.3">
      <c r="A29" s="191" t="str">
        <f>IFERROR(VLOOKUP(B29,INSUMOS!A:D,4,FALSE),"")</f>
        <v/>
      </c>
      <c r="B29" s="163">
        <f>+IFERROR(VLOOKUP(N29,APU!J:M,4,FALSE),"")</f>
        <v>0</v>
      </c>
      <c r="C29" s="163" t="str">
        <f>+IFERROR(VLOOKUP(B29,INSUMOS!A:D,2,FALSE),"")</f>
        <v/>
      </c>
      <c r="D29" s="192">
        <f>IFERROR(VLOOKUP(N29,APU!J:N,5,FALSE),"")</f>
        <v>0</v>
      </c>
      <c r="E29" s="283">
        <f>IFERROR(D29*K4,"")</f>
        <v>0</v>
      </c>
      <c r="F29" s="278"/>
      <c r="G29" s="470"/>
      <c r="H29" s="470"/>
      <c r="I29" s="284"/>
      <c r="J29" s="278"/>
      <c r="K29" s="278"/>
      <c r="L29" s="273"/>
      <c r="N29" s="280" t="str">
        <f>+_xlfn.CONCAT("M",N22,O29)</f>
        <v>M1.014</v>
      </c>
      <c r="O29" s="280">
        <v>4</v>
      </c>
      <c r="P29" s="281" t="str">
        <f>+IFERROR(VLOOKUP(B29,INSUMOS!A:D,3,FALSE),"")</f>
        <v/>
      </c>
      <c r="Q29" s="282" t="str">
        <f t="shared" si="0"/>
        <v/>
      </c>
    </row>
    <row r="30" spans="1:17" x14ac:dyDescent="0.3">
      <c r="A30" s="191" t="str">
        <f>IFERROR(VLOOKUP(B30,INSUMOS!A:D,4,FALSE),"")</f>
        <v/>
      </c>
      <c r="B30" s="163">
        <f>+IFERROR(VLOOKUP(N30,APU!J:M,4,FALSE),"")</f>
        <v>0</v>
      </c>
      <c r="C30" s="163" t="str">
        <f>+IFERROR(VLOOKUP(B30,INSUMOS!A:D,2,FALSE),"")</f>
        <v/>
      </c>
      <c r="D30" s="192">
        <f>IFERROR(VLOOKUP(N30,APU!J:N,5,FALSE),"")</f>
        <v>0</v>
      </c>
      <c r="E30" s="283">
        <f>IFERROR(D30*K4,"")</f>
        <v>0</v>
      </c>
      <c r="F30" s="278"/>
      <c r="G30" s="470"/>
      <c r="H30" s="470"/>
      <c r="I30" s="284"/>
      <c r="J30" s="278"/>
      <c r="K30" s="278"/>
      <c r="L30" s="273"/>
      <c r="N30" s="280" t="str">
        <f>+_xlfn.CONCAT("M",N22,O30)</f>
        <v>M1.015</v>
      </c>
      <c r="O30" s="280">
        <v>5</v>
      </c>
      <c r="P30" s="281" t="str">
        <f>+IFERROR(VLOOKUP(B30,INSUMOS!A:D,3,FALSE),"")</f>
        <v/>
      </c>
      <c r="Q30" s="282" t="str">
        <f t="shared" si="0"/>
        <v/>
      </c>
    </row>
    <row r="31" spans="1:17" x14ac:dyDescent="0.3">
      <c r="A31" s="191" t="str">
        <f>IFERROR(VLOOKUP(B31,INSUMOS!A:D,4,FALSE),"")</f>
        <v/>
      </c>
      <c r="B31" s="163">
        <f>+IFERROR(VLOOKUP(N31,APU!J:M,4,FALSE),"")</f>
        <v>0</v>
      </c>
      <c r="C31" s="163" t="str">
        <f>+IFERROR(VLOOKUP(B31,INSUMOS!A:D,2,FALSE),"")</f>
        <v/>
      </c>
      <c r="D31" s="192">
        <f>IFERROR(VLOOKUP(N31,APU!J:N,5,FALSE),"")</f>
        <v>0</v>
      </c>
      <c r="E31" s="285">
        <f>IFERROR(D31*K4,"")</f>
        <v>0</v>
      </c>
      <c r="F31" s="278"/>
      <c r="G31" s="470"/>
      <c r="H31" s="470"/>
      <c r="I31" s="284"/>
      <c r="J31" s="278"/>
      <c r="K31" s="278"/>
      <c r="L31" s="273"/>
      <c r="N31" s="280" t="str">
        <f>+_xlfn.CONCAT("M",N22,O31)</f>
        <v>M1.016</v>
      </c>
      <c r="O31" s="280">
        <v>6</v>
      </c>
      <c r="P31" s="281" t="str">
        <f>+IFERROR(VLOOKUP(B31,INSUMOS!A:D,3,FALSE),"")</f>
        <v/>
      </c>
      <c r="Q31" s="282" t="str">
        <f t="shared" si="0"/>
        <v/>
      </c>
    </row>
    <row r="32" spans="1:17" x14ac:dyDescent="0.3">
      <c r="A32" s="191" t="str">
        <f>IFERROR(VLOOKUP(B32,INSUMOS!A:D,4,FALSE),"")</f>
        <v/>
      </c>
      <c r="B32" s="163">
        <f>+IFERROR(VLOOKUP(N32,APU!J:M,4,FALSE),"")</f>
        <v>0</v>
      </c>
      <c r="C32" s="163" t="str">
        <f>+IFERROR(VLOOKUP(B32,INSUMOS!A:D,2,FALSE),"")</f>
        <v/>
      </c>
      <c r="D32" s="192">
        <f>IFERROR(VLOOKUP(N32,APU!J:N,5,FALSE),"")</f>
        <v>0</v>
      </c>
      <c r="E32" s="285">
        <f>IFERROR(D32*K4,"")</f>
        <v>0</v>
      </c>
      <c r="F32" s="278"/>
      <c r="G32" s="470"/>
      <c r="H32" s="470"/>
      <c r="I32" s="284"/>
      <c r="J32" s="278"/>
      <c r="K32" s="278"/>
      <c r="L32" s="273"/>
      <c r="N32" s="280" t="str">
        <f>+_xlfn.CONCAT("M",N22,O32)</f>
        <v>M1.017</v>
      </c>
      <c r="O32" s="280">
        <v>7</v>
      </c>
      <c r="P32" s="281" t="str">
        <f>+IFERROR(VLOOKUP(B32,INSUMOS!A:D,3,FALSE),"")</f>
        <v/>
      </c>
      <c r="Q32" s="282" t="str">
        <f t="shared" si="0"/>
        <v/>
      </c>
    </row>
    <row r="33" spans="1:20" x14ac:dyDescent="0.3">
      <c r="A33" s="191" t="str">
        <f>IFERROR(VLOOKUP(B33,INSUMOS!A:D,4,FALSE),"")</f>
        <v/>
      </c>
      <c r="B33" s="163">
        <f>+IFERROR(VLOOKUP(N33,APU!J:M,4,FALSE),"")</f>
        <v>0</v>
      </c>
      <c r="C33" s="163" t="str">
        <f>+IFERROR(VLOOKUP(B33,INSUMOS!A:D,2,FALSE),"")</f>
        <v/>
      </c>
      <c r="D33" s="192">
        <f>IFERROR(VLOOKUP(N33,APU!J:N,5,FALSE),"")</f>
        <v>0</v>
      </c>
      <c r="E33" s="285">
        <f>IFERROR(D33*K4,"")</f>
        <v>0</v>
      </c>
      <c r="F33" s="278"/>
      <c r="G33" s="470"/>
      <c r="H33" s="470"/>
      <c r="I33" s="284"/>
      <c r="J33" s="278"/>
      <c r="K33" s="278"/>
      <c r="L33" s="273"/>
      <c r="N33" s="280" t="str">
        <f>+_xlfn.CONCAT("M",N22,O33)</f>
        <v>M1.018</v>
      </c>
      <c r="O33" s="280">
        <v>8</v>
      </c>
      <c r="P33" s="281" t="str">
        <f>+IFERROR(VLOOKUP(B33,INSUMOS!A:D,3,FALSE),"")</f>
        <v/>
      </c>
      <c r="Q33" s="282" t="str">
        <f t="shared" si="0"/>
        <v/>
      </c>
    </row>
    <row r="34" spans="1:20" x14ac:dyDescent="0.3">
      <c r="A34" s="191" t="str">
        <f>IFERROR(VLOOKUP(B34,INSUMOS!A:D,4,FALSE),"")</f>
        <v/>
      </c>
      <c r="B34" s="163">
        <f>+IFERROR(VLOOKUP(N34,APU!J:M,4,FALSE),"")</f>
        <v>0</v>
      </c>
      <c r="C34" s="163" t="str">
        <f>+IFERROR(VLOOKUP(B34,INSUMOS!A:D,2,FALSE),"")</f>
        <v/>
      </c>
      <c r="D34" s="192">
        <f>IFERROR(VLOOKUP(N34,APU!J:N,5,FALSE),"")</f>
        <v>0</v>
      </c>
      <c r="E34" s="285">
        <f>IFERROR(D34*K4,"")</f>
        <v>0</v>
      </c>
      <c r="F34" s="278"/>
      <c r="G34" s="470"/>
      <c r="H34" s="470"/>
      <c r="I34" s="284"/>
      <c r="J34" s="278"/>
      <c r="K34" s="278"/>
      <c r="L34" s="273"/>
      <c r="N34" s="280" t="str">
        <f>+_xlfn.CONCAT("M",N22,O34)</f>
        <v>M1.019</v>
      </c>
      <c r="O34" s="280">
        <v>9</v>
      </c>
      <c r="P34" s="281" t="str">
        <f>+IFERROR(VLOOKUP(B34,INSUMOS!A:D,3,FALSE),"")</f>
        <v/>
      </c>
      <c r="Q34" s="282" t="str">
        <f t="shared" si="0"/>
        <v/>
      </c>
    </row>
    <row r="35" spans="1:20" x14ac:dyDescent="0.3">
      <c r="A35" s="191" t="str">
        <f>IFERROR(VLOOKUP(B35,INSUMOS!A:D,4,FALSE),"")</f>
        <v/>
      </c>
      <c r="B35" s="163">
        <f>+IFERROR(VLOOKUP(N35,APU!J:M,4,FALSE),"")</f>
        <v>0</v>
      </c>
      <c r="C35" s="163" t="str">
        <f>+IFERROR(VLOOKUP(B35,INSUMOS!A:D,2,FALSE),"")</f>
        <v/>
      </c>
      <c r="D35" s="192">
        <f>IFERROR(VLOOKUP(N35,APU!J:N,5,FALSE),"")</f>
        <v>0</v>
      </c>
      <c r="E35" s="285">
        <f>IFERROR(D35*K4,"")</f>
        <v>0</v>
      </c>
      <c r="F35" s="278"/>
      <c r="G35" s="470"/>
      <c r="H35" s="470"/>
      <c r="I35" s="284"/>
      <c r="J35" s="278"/>
      <c r="K35" s="278"/>
      <c r="L35" s="273"/>
      <c r="N35" s="280" t="str">
        <f>+_xlfn.CONCAT("M",N22,O35)</f>
        <v>M1.0110</v>
      </c>
      <c r="O35" s="280">
        <v>10</v>
      </c>
      <c r="P35" s="281" t="str">
        <f>+IFERROR(VLOOKUP(B35,INSUMOS!A:D,3,FALSE),"")</f>
        <v/>
      </c>
      <c r="Q35" s="282" t="str">
        <f t="shared" si="0"/>
        <v/>
      </c>
    </row>
    <row r="36" spans="1:20" ht="15" thickBot="1" x14ac:dyDescent="0.35">
      <c r="A36" s="286" t="str">
        <f>IFERROR(VLOOKUP(B36,INSUMOS!A:D,4,FALSE),"")</f>
        <v/>
      </c>
      <c r="B36" s="287">
        <f>+IFERROR(VLOOKUP(N36,APU!J:M,4,FALSE),"")</f>
        <v>0</v>
      </c>
      <c r="C36" s="287" t="str">
        <f>+IFERROR(VLOOKUP(B36,INSUMOS!A:D,2,FALSE),"")</f>
        <v/>
      </c>
      <c r="D36" s="288">
        <f>IFERROR(VLOOKUP(N36,APU!J:N,5,FALSE),"")</f>
        <v>0</v>
      </c>
      <c r="E36" s="289">
        <f>IFERROR(D36*K4,"")</f>
        <v>0</v>
      </c>
      <c r="F36" s="278"/>
      <c r="G36" s="470"/>
      <c r="H36" s="470"/>
      <c r="I36" s="284"/>
      <c r="J36" s="278"/>
      <c r="K36" s="278"/>
      <c r="L36" s="273"/>
      <c r="N36" s="280" t="str">
        <f>+_xlfn.CONCAT("M",N22,O36)</f>
        <v>M1.0111</v>
      </c>
      <c r="O36" s="280">
        <v>11</v>
      </c>
      <c r="P36" s="281" t="str">
        <f>+IFERROR(VLOOKUP(B36,INSUMOS!A:D,3,FALSE),"")</f>
        <v/>
      </c>
      <c r="Q36" s="282" t="str">
        <f t="shared" si="0"/>
        <v/>
      </c>
    </row>
    <row r="37" spans="1:20" x14ac:dyDescent="0.3">
      <c r="A37" s="471"/>
      <c r="C37" s="290"/>
      <c r="D37" s="290"/>
      <c r="E37" s="290"/>
      <c r="F37" s="472"/>
      <c r="G37" s="291"/>
      <c r="H37" s="473"/>
      <c r="I37" s="284"/>
      <c r="J37" s="272"/>
      <c r="K37" s="272"/>
      <c r="L37" s="273"/>
      <c r="N37" s="280"/>
      <c r="O37" s="280"/>
      <c r="P37" s="280"/>
      <c r="Q37" s="280"/>
    </row>
    <row r="38" spans="1:20" x14ac:dyDescent="0.3">
      <c r="A38" s="471"/>
      <c r="C38" s="290"/>
      <c r="D38" s="290"/>
      <c r="E38" s="290"/>
      <c r="F38" s="472"/>
      <c r="G38" s="291"/>
      <c r="H38" s="473"/>
      <c r="I38" s="284"/>
      <c r="J38" s="272"/>
      <c r="K38" s="272"/>
      <c r="L38" s="273"/>
      <c r="N38" s="280"/>
      <c r="O38" s="280"/>
      <c r="P38" s="292" t="str">
        <f>+A4</f>
        <v>1.01</v>
      </c>
      <c r="Q38" s="282">
        <f>SUM(Q26:Q36)</f>
        <v>4482609.4223999996</v>
      </c>
    </row>
    <row r="39" spans="1:20" x14ac:dyDescent="0.3">
      <c r="A39" s="471"/>
      <c r="C39" s="293"/>
      <c r="D39" s="293"/>
      <c r="E39" s="294"/>
      <c r="F39" s="472"/>
      <c r="G39" s="234"/>
      <c r="H39" s="234"/>
      <c r="I39" s="284"/>
      <c r="J39" s="272"/>
      <c r="K39" s="272"/>
      <c r="L39" s="273"/>
    </row>
    <row r="40" spans="1:20" x14ac:dyDescent="0.3">
      <c r="A40" s="471"/>
      <c r="C40" s="293"/>
      <c r="D40" s="293"/>
      <c r="E40" s="294"/>
      <c r="F40" s="293"/>
      <c r="G40" s="295"/>
      <c r="H40" s="295"/>
      <c r="I40" s="295"/>
      <c r="J40" s="296"/>
      <c r="K40" s="297"/>
      <c r="L40" s="298"/>
    </row>
    <row r="41" spans="1:20" x14ac:dyDescent="0.3">
      <c r="A41" s="299"/>
      <c r="B41" s="293"/>
      <c r="C41" s="293"/>
      <c r="D41" s="293"/>
      <c r="E41" s="294"/>
      <c r="F41" s="293"/>
      <c r="G41" s="300" t="str">
        <f>+'INF. GENERAL'!$B$19</f>
        <v>JAVIER JOSÉ ROSADO MENDINUETA</v>
      </c>
      <c r="H41" s="301"/>
      <c r="I41" s="301"/>
      <c r="J41" s="301"/>
      <c r="K41" s="297"/>
      <c r="L41" s="302"/>
    </row>
    <row r="42" spans="1:20" x14ac:dyDescent="0.3">
      <c r="A42" s="299"/>
      <c r="B42" s="293"/>
      <c r="C42" s="293"/>
      <c r="D42" s="293"/>
      <c r="E42" s="294"/>
      <c r="F42" s="293"/>
      <c r="G42" s="303" t="str">
        <f>+'INF. GENERAL'!$B$20</f>
        <v>PROFESIONAL APOYO</v>
      </c>
      <c r="H42" s="301"/>
      <c r="I42" s="301"/>
      <c r="J42" s="301"/>
      <c r="K42" s="297"/>
      <c r="L42" s="302"/>
    </row>
    <row r="43" spans="1:20" ht="15" thickBot="1" x14ac:dyDescent="0.35">
      <c r="A43" s="235" t="s">
        <v>37</v>
      </c>
      <c r="B43" s="236"/>
      <c r="C43" s="236"/>
      <c r="D43" s="236"/>
      <c r="E43" s="237"/>
      <c r="F43" s="236"/>
      <c r="G43" s="318" t="str">
        <f>+'INF. GENERAL'!$B$21</f>
        <v>MP: 08700-52350</v>
      </c>
      <c r="H43" s="319"/>
      <c r="I43" s="319"/>
      <c r="J43" s="319"/>
      <c r="K43" s="236"/>
      <c r="L43" s="304" t="s">
        <v>37</v>
      </c>
      <c r="S43" s="272"/>
      <c r="T43" s="278"/>
    </row>
    <row r="44" spans="1:20" ht="18.600000000000001" thickBot="1" x14ac:dyDescent="0.35">
      <c r="A44" s="229" t="s">
        <v>37</v>
      </c>
      <c r="B44" s="200" t="s">
        <v>38</v>
      </c>
      <c r="C44" s="230"/>
      <c r="D44" s="230"/>
      <c r="E44" s="230"/>
      <c r="F44" s="230"/>
      <c r="G44" s="230"/>
      <c r="H44" s="230"/>
      <c r="I44" s="230"/>
      <c r="J44" s="230"/>
      <c r="K44" s="230"/>
      <c r="L44" s="231" t="s">
        <v>37</v>
      </c>
      <c r="S44" s="272"/>
      <c r="T44" s="278"/>
    </row>
    <row r="45" spans="1:20" ht="15" thickBot="1" x14ac:dyDescent="0.35">
      <c r="A45" s="235"/>
      <c r="B45" s="236"/>
      <c r="C45" s="236"/>
      <c r="D45" s="236"/>
      <c r="E45" s="237"/>
      <c r="F45" s="236"/>
      <c r="G45" s="238"/>
      <c r="H45" s="193"/>
      <c r="I45" s="193"/>
      <c r="J45" s="193"/>
      <c r="K45" s="236"/>
      <c r="L45" s="304"/>
      <c r="S45" s="272"/>
      <c r="T45" s="278"/>
    </row>
    <row r="46" spans="1:20" ht="15" thickBot="1" x14ac:dyDescent="0.35">
      <c r="A46" s="240" t="s">
        <v>39</v>
      </c>
      <c r="B46" s="241" t="s">
        <v>21</v>
      </c>
      <c r="C46" s="242" t="s">
        <v>20</v>
      </c>
      <c r="D46" s="243"/>
      <c r="E46" s="243"/>
      <c r="F46" s="243"/>
      <c r="G46" s="244"/>
      <c r="H46" s="245" t="s">
        <v>40</v>
      </c>
      <c r="I46" s="246"/>
      <c r="J46" s="247"/>
      <c r="K46" s="242" t="s">
        <v>41</v>
      </c>
      <c r="L46" s="244"/>
      <c r="S46" s="272"/>
      <c r="T46" s="278"/>
    </row>
    <row r="47" spans="1:20" ht="15" thickBot="1" x14ac:dyDescent="0.35">
      <c r="A47" s="474" t="s">
        <v>36</v>
      </c>
      <c r="B47" s="249" t="str">
        <f>VLOOKUP(A47,PRESUPUESTO!$A$3:$F$973,5,FALSE)</f>
        <v>m2</v>
      </c>
      <c r="C47" s="42" t="str">
        <f>VLOOKUP(A47,PRESUPUESTO!$A$3:$F$973,4,FALSE)</f>
        <v>Trazado y replanteo</v>
      </c>
      <c r="D47" s="43"/>
      <c r="E47" s="44"/>
      <c r="F47" s="45"/>
      <c r="G47" s="46"/>
      <c r="H47" s="250" t="str">
        <f>VLOOKUP(A47,PRESUPUESTO!$A$3:$F$973,3,FALSE)</f>
        <v>PRELIMINARES</v>
      </c>
      <c r="I47" s="251"/>
      <c r="J47" s="252"/>
      <c r="K47" s="253">
        <f>ROUND(+L65,2)</f>
        <v>292.39999999999998</v>
      </c>
      <c r="L47" s="306"/>
      <c r="S47" s="272"/>
      <c r="T47" s="278"/>
    </row>
    <row r="48" spans="1:20" ht="15" thickBot="1" x14ac:dyDescent="0.35">
      <c r="A48" s="242" t="s">
        <v>42</v>
      </c>
      <c r="B48" s="243"/>
      <c r="C48" s="243"/>
      <c r="D48" s="243"/>
      <c r="E48" s="243"/>
      <c r="F48" s="244"/>
      <c r="G48" s="580" t="s">
        <v>43</v>
      </c>
      <c r="H48" s="582" t="s">
        <v>44</v>
      </c>
      <c r="I48" s="583"/>
      <c r="J48" s="583"/>
      <c r="K48" s="584"/>
      <c r="L48" s="580" t="s">
        <v>45</v>
      </c>
      <c r="S48" s="272"/>
      <c r="T48" s="278"/>
    </row>
    <row r="49" spans="1:20" ht="15" thickBot="1" x14ac:dyDescent="0.35">
      <c r="A49" s="585" t="e" vm="1">
        <v>#VALUE!</v>
      </c>
      <c r="B49" s="586"/>
      <c r="C49" s="586"/>
      <c r="D49" s="586"/>
      <c r="E49" s="586"/>
      <c r="F49" s="587"/>
      <c r="G49" s="581"/>
      <c r="H49" s="255" t="s">
        <v>46</v>
      </c>
      <c r="I49" s="255" t="s">
        <v>47</v>
      </c>
      <c r="J49" s="255" t="s">
        <v>48</v>
      </c>
      <c r="K49" s="256" t="s">
        <v>49</v>
      </c>
      <c r="L49" s="581"/>
      <c r="S49" s="272"/>
      <c r="T49" s="278"/>
    </row>
    <row r="50" spans="1:20" x14ac:dyDescent="0.3">
      <c r="A50" s="588"/>
      <c r="B50" s="579"/>
      <c r="C50" s="579"/>
      <c r="D50" s="579"/>
      <c r="E50" s="579"/>
      <c r="F50" s="589"/>
      <c r="G50" s="47" t="s">
        <v>2267</v>
      </c>
      <c r="H50" s="257">
        <v>374</v>
      </c>
      <c r="I50" s="257">
        <v>0.6</v>
      </c>
      <c r="J50" s="257"/>
      <c r="K50" s="257">
        <v>1</v>
      </c>
      <c r="L50" s="307">
        <f>+IF(B47="m2",H50*I50*K50,IF(B47="m3",H50*I50*J50*K50,IF(B47="ml",H50*K50,IF(B47="UND",K50,IF(B47="GLOBAL",K50,"")))))</f>
        <v>224.4</v>
      </c>
      <c r="S50" s="272"/>
      <c r="T50" s="278"/>
    </row>
    <row r="51" spans="1:20" x14ac:dyDescent="0.3">
      <c r="A51" s="588"/>
      <c r="B51" s="579"/>
      <c r="C51" s="579"/>
      <c r="D51" s="579"/>
      <c r="E51" s="579"/>
      <c r="F51" s="589"/>
      <c r="G51" s="47" t="s">
        <v>2268</v>
      </c>
      <c r="H51" s="259">
        <v>24</v>
      </c>
      <c r="I51" s="259">
        <v>1</v>
      </c>
      <c r="J51" s="259"/>
      <c r="K51" s="259">
        <v>1</v>
      </c>
      <c r="L51" s="308">
        <f>+IF(B47="m2",H51*I51*K51,IF(B47="m3",H51*I51*J51*K51,IF(B47="ml",H51*K51,IF(B47="UND",K51,IF(B47="GLOBAL",K51,"")))))</f>
        <v>24</v>
      </c>
      <c r="S51" s="272"/>
      <c r="T51" s="278"/>
    </row>
    <row r="52" spans="1:20" x14ac:dyDescent="0.3">
      <c r="A52" s="588"/>
      <c r="B52" s="579"/>
      <c r="C52" s="579"/>
      <c r="D52" s="579"/>
      <c r="E52" s="579"/>
      <c r="F52" s="589"/>
      <c r="G52" s="47" t="s">
        <v>2269</v>
      </c>
      <c r="H52" s="259">
        <v>44</v>
      </c>
      <c r="I52" s="259">
        <v>1</v>
      </c>
      <c r="J52" s="259"/>
      <c r="K52" s="259">
        <v>1</v>
      </c>
      <c r="L52" s="308">
        <f>+IF(B47="m2",H52*I52*K52,IF(B47="m3",H52*I52*J52*K52,IF(B47="ml",H52*K52,IF(B47="UND",K52,IF(B47="GLOBAL",K52,"")))))</f>
        <v>44</v>
      </c>
      <c r="S52" s="272"/>
      <c r="T52" s="278"/>
    </row>
    <row r="53" spans="1:20" x14ac:dyDescent="0.3">
      <c r="A53" s="588"/>
      <c r="B53" s="579"/>
      <c r="C53" s="579"/>
      <c r="D53" s="579"/>
      <c r="E53" s="579"/>
      <c r="F53" s="589"/>
      <c r="G53" s="47"/>
      <c r="H53" s="259"/>
      <c r="I53" s="259"/>
      <c r="J53" s="259"/>
      <c r="K53" s="259"/>
      <c r="L53" s="308">
        <f>+IF(B47="m2",H53*I53*K53,IF(B47="m3",H53*I53*J53*K53,IF(B47="ml",H53*K53,IF(B47="UND",K53,IF(B47="GLOBAL",K53,"")))))</f>
        <v>0</v>
      </c>
      <c r="S53" s="272"/>
      <c r="T53" s="278"/>
    </row>
    <row r="54" spans="1:20" x14ac:dyDescent="0.3">
      <c r="A54" s="588"/>
      <c r="B54" s="579"/>
      <c r="C54" s="579"/>
      <c r="D54" s="579"/>
      <c r="E54" s="579"/>
      <c r="F54" s="589"/>
      <c r="G54" s="47"/>
      <c r="H54" s="259"/>
      <c r="I54" s="259"/>
      <c r="J54" s="259"/>
      <c r="K54" s="259"/>
      <c r="L54" s="308">
        <f>+IF(B47="m2",H54*I54*K54,IF(B47="m3",H54*I54*J54*K54,IF(B47="ml",H54*K54,IF(B47="UND",K54,IF(B47="GLOBAL",K54,"")))))</f>
        <v>0</v>
      </c>
      <c r="S54" s="272"/>
      <c r="T54" s="278"/>
    </row>
    <row r="55" spans="1:20" x14ac:dyDescent="0.3">
      <c r="A55" s="588"/>
      <c r="B55" s="579"/>
      <c r="C55" s="579"/>
      <c r="D55" s="579"/>
      <c r="E55" s="579"/>
      <c r="F55" s="589"/>
      <c r="G55" s="47"/>
      <c r="H55" s="259"/>
      <c r="I55" s="259"/>
      <c r="J55" s="259"/>
      <c r="K55" s="259"/>
      <c r="L55" s="308">
        <f>+IF(B47="m2",H55*I55*K55,IF(B47="m3",H55*I55*J55*K55,IF(B47="ml",H55*K55,IF(B47="UND",K55,IF(B47="GLOBAL",K55,"")))))</f>
        <v>0</v>
      </c>
      <c r="S55" s="272"/>
      <c r="T55" s="278"/>
    </row>
    <row r="56" spans="1:20" x14ac:dyDescent="0.3">
      <c r="A56" s="588"/>
      <c r="B56" s="579"/>
      <c r="C56" s="579"/>
      <c r="D56" s="579"/>
      <c r="E56" s="579"/>
      <c r="F56" s="589"/>
      <c r="G56" s="47"/>
      <c r="H56" s="259"/>
      <c r="I56" s="259"/>
      <c r="J56" s="259"/>
      <c r="K56" s="259"/>
      <c r="L56" s="308">
        <f>+IF(B47="m2",H56*I56*K56,IF(B47="m3",H56*I56*J56*K56,IF(B47="ml",H56*K56,IF(B47="UND",K56,IF(B47="GLOBAL",K56,"")))))</f>
        <v>0</v>
      </c>
      <c r="S56" s="272"/>
      <c r="T56" s="278"/>
    </row>
    <row r="57" spans="1:20" x14ac:dyDescent="0.3">
      <c r="A57" s="588"/>
      <c r="B57" s="579"/>
      <c r="C57" s="579"/>
      <c r="D57" s="579"/>
      <c r="E57" s="579"/>
      <c r="F57" s="589"/>
      <c r="G57" s="47"/>
      <c r="H57" s="259"/>
      <c r="I57" s="259"/>
      <c r="J57" s="259"/>
      <c r="K57" s="259"/>
      <c r="L57" s="308">
        <f>+IF(B47="m2",H57*I57*K57,IF(B47="m3",H57*I57*J57*K57,IF(B47="ml",H57*K57,IF(B47="UND",K57,IF(B47="GLOBAL",K57,"")))))</f>
        <v>0</v>
      </c>
      <c r="S57" s="272"/>
      <c r="T57" s="278"/>
    </row>
    <row r="58" spans="1:20" x14ac:dyDescent="0.3">
      <c r="A58" s="588"/>
      <c r="B58" s="579"/>
      <c r="C58" s="579"/>
      <c r="D58" s="579"/>
      <c r="E58" s="579"/>
      <c r="F58" s="589"/>
      <c r="G58" s="47"/>
      <c r="H58" s="259"/>
      <c r="I58" s="259"/>
      <c r="J58" s="259"/>
      <c r="K58" s="259"/>
      <c r="L58" s="308">
        <f>+IF(B47="m2",H58*I58*K58,IF(B47="m3",H58*I58*J58*K58,IF(B47="ml",H58*K58,IF(B47="UND",K58,IF(B47="GLOBAL",K58,"")))))</f>
        <v>0</v>
      </c>
      <c r="S58" s="272"/>
      <c r="T58" s="278"/>
    </row>
    <row r="59" spans="1:20" x14ac:dyDescent="0.3">
      <c r="A59" s="588"/>
      <c r="B59" s="579"/>
      <c r="C59" s="579"/>
      <c r="D59" s="579"/>
      <c r="E59" s="579"/>
      <c r="F59" s="589"/>
      <c r="G59" s="47"/>
      <c r="H59" s="259"/>
      <c r="I59" s="259"/>
      <c r="J59" s="259"/>
      <c r="K59" s="259"/>
      <c r="L59" s="308">
        <f>+IF(B47="m2",H59*I59*K59,IF(B47="m3",H59*I59*J59*K59,IF(B47="ml",H59*K59,IF(B47="UND",K59,IF(B47="GLOBAL",K59,"")))))</f>
        <v>0</v>
      </c>
      <c r="S59" s="272"/>
      <c r="T59" s="278"/>
    </row>
    <row r="60" spans="1:20" x14ac:dyDescent="0.3">
      <c r="A60" s="588"/>
      <c r="B60" s="579"/>
      <c r="C60" s="579"/>
      <c r="D60" s="579"/>
      <c r="E60" s="579"/>
      <c r="F60" s="589"/>
      <c r="G60" s="47"/>
      <c r="H60" s="259"/>
      <c r="I60" s="259"/>
      <c r="J60" s="259"/>
      <c r="K60" s="259"/>
      <c r="L60" s="308">
        <f>+IF(B47="m2",H60*I60*K60,IF(B47="m3",H60*I60*J60*K60,IF(B47="ml",H60*K60,IF(B47="UND",K60,IF(B47="GLOBAL",K60,"")))))</f>
        <v>0</v>
      </c>
      <c r="S60" s="272"/>
      <c r="T60" s="278"/>
    </row>
    <row r="61" spans="1:20" x14ac:dyDescent="0.3">
      <c r="A61" s="588"/>
      <c r="B61" s="579"/>
      <c r="C61" s="579"/>
      <c r="D61" s="579"/>
      <c r="E61" s="579"/>
      <c r="F61" s="589"/>
      <c r="G61" s="47"/>
      <c r="H61" s="259"/>
      <c r="I61" s="259"/>
      <c r="J61" s="259"/>
      <c r="K61" s="259"/>
      <c r="L61" s="308">
        <f>+IF(B47="m2",H61*I61*K61,IF(B47="m3",H61*I61*J61*K61,IF(B47="ml",H61*K61,IF(B47="UND",K61,IF(B47="GLOBAL",K61,"")))))</f>
        <v>0</v>
      </c>
      <c r="S61" s="272"/>
      <c r="T61" s="278"/>
    </row>
    <row r="62" spans="1:20" x14ac:dyDescent="0.3">
      <c r="A62" s="588"/>
      <c r="B62" s="579"/>
      <c r="C62" s="579"/>
      <c r="D62" s="579"/>
      <c r="E62" s="579"/>
      <c r="F62" s="589"/>
      <c r="G62" s="47"/>
      <c r="H62" s="259"/>
      <c r="I62" s="259"/>
      <c r="J62" s="259"/>
      <c r="K62" s="259"/>
      <c r="L62" s="308">
        <f>+IF(B47="m2",H62*I62*K62,IF(B47="m3",H62*I62*J62*K62,IF(B47="ml",H62*K62,IF(B47="UND",K62,IF(B47="GLOBAL",K62,"")))))</f>
        <v>0</v>
      </c>
      <c r="S62" s="272"/>
      <c r="T62" s="278"/>
    </row>
    <row r="63" spans="1:20" x14ac:dyDescent="0.3">
      <c r="A63" s="588"/>
      <c r="B63" s="579"/>
      <c r="C63" s="579"/>
      <c r="D63" s="579"/>
      <c r="E63" s="579"/>
      <c r="F63" s="589"/>
      <c r="G63" s="47"/>
      <c r="H63" s="259"/>
      <c r="I63" s="259"/>
      <c r="J63" s="259"/>
      <c r="K63" s="259"/>
      <c r="L63" s="308">
        <f>+IF(B47="m2",H63*I63*K63,IF(B47="m3",H63*I63*J63*K63,IF(B47="ml",H63*K63,IF(B47="UND",K63,IF(B47="GLOBAL",K63,"")))))</f>
        <v>0</v>
      </c>
      <c r="S63" s="272"/>
      <c r="T63" s="278"/>
    </row>
    <row r="64" spans="1:20" x14ac:dyDescent="0.3">
      <c r="A64" s="588"/>
      <c r="B64" s="579"/>
      <c r="C64" s="579"/>
      <c r="D64" s="579"/>
      <c r="E64" s="579"/>
      <c r="F64" s="589"/>
      <c r="G64" s="47"/>
      <c r="H64" s="259"/>
      <c r="I64" s="259"/>
      <c r="J64" s="259"/>
      <c r="K64" s="259"/>
      <c r="L64" s="308">
        <f>+IF(B47="m2",H64*I64*K64,IF(B47="m3",H64*I64*J64*K64,IF(B47="ml",H64*K64,IF(B47="UND",K64,IF(B47="GLOBAL",K64,"")))))</f>
        <v>0</v>
      </c>
      <c r="S64" s="272"/>
      <c r="T64" s="278"/>
    </row>
    <row r="65" spans="1:20" ht="15" thickBot="1" x14ac:dyDescent="0.35">
      <c r="A65" s="590"/>
      <c r="B65" s="591"/>
      <c r="C65" s="591"/>
      <c r="D65" s="591"/>
      <c r="E65" s="591"/>
      <c r="F65" s="592"/>
      <c r="G65" s="261" t="s">
        <v>31</v>
      </c>
      <c r="H65" s="262"/>
      <c r="I65" s="262"/>
      <c r="J65" s="262"/>
      <c r="K65" s="262"/>
      <c r="L65" s="309">
        <f>SUM(L50:L64)</f>
        <v>292.39999999999998</v>
      </c>
      <c r="N65" s="264" t="str">
        <f>+A47</f>
        <v>1.02</v>
      </c>
      <c r="O65" s="331">
        <f>+L65</f>
        <v>292.39999999999998</v>
      </c>
      <c r="S65" s="272"/>
      <c r="T65" s="278"/>
    </row>
    <row r="66" spans="1:20" ht="15" thickBot="1" x14ac:dyDescent="0.35">
      <c r="A66" s="265"/>
      <c r="B66" s="266"/>
      <c r="C66" s="266"/>
      <c r="D66" s="266"/>
      <c r="E66" s="267"/>
      <c r="L66" s="310"/>
      <c r="S66" s="272"/>
      <c r="T66" s="278"/>
    </row>
    <row r="67" spans="1:20" ht="15" thickBot="1" x14ac:dyDescent="0.35">
      <c r="A67" s="269" t="s">
        <v>50</v>
      </c>
      <c r="B67" s="270"/>
      <c r="C67" s="270"/>
      <c r="D67" s="270"/>
      <c r="E67" s="271"/>
      <c r="F67" s="278"/>
      <c r="G67" s="278"/>
      <c r="H67" s="278"/>
      <c r="I67" s="278"/>
      <c r="J67" s="272"/>
      <c r="K67" s="272"/>
      <c r="L67" s="311"/>
      <c r="S67" s="272"/>
      <c r="T67" s="278"/>
    </row>
    <row r="68" spans="1:20" ht="15" thickBot="1" x14ac:dyDescent="0.35">
      <c r="A68" s="274" t="s">
        <v>18</v>
      </c>
      <c r="B68" s="275" t="s">
        <v>51</v>
      </c>
      <c r="C68" s="275" t="s">
        <v>21</v>
      </c>
      <c r="D68" s="275" t="s">
        <v>52</v>
      </c>
      <c r="E68" s="276" t="s">
        <v>22</v>
      </c>
      <c r="F68" s="277"/>
      <c r="G68" s="284"/>
      <c r="H68" s="284"/>
      <c r="I68" s="284"/>
      <c r="J68" s="284"/>
      <c r="K68" s="284"/>
      <c r="L68" s="312"/>
      <c r="S68" s="272"/>
      <c r="T68" s="278"/>
    </row>
    <row r="69" spans="1:20" ht="27.6" x14ac:dyDescent="0.3">
      <c r="A69" s="191">
        <f>IFERROR(VLOOKUP(B69,INSUMOS!A:D,4,FALSE),"")</f>
        <v>605</v>
      </c>
      <c r="B69" s="163" t="str">
        <f>+IFERROR(VLOOKUP(N69,APU!J:M,4,FALSE),"")</f>
        <v>Puntilla con cabeza de 2" caja x 500 gr</v>
      </c>
      <c r="C69" s="163" t="str">
        <f>+IFERROR(VLOOKUP(B69,INSUMOS!A:D,2,FALSE),"")</f>
        <v>Unidad</v>
      </c>
      <c r="D69" s="192">
        <f>IFERROR(VLOOKUP(N69,APU!J:N,5,FALSE),"")</f>
        <v>0.02</v>
      </c>
      <c r="E69" s="279">
        <f>IFERROR(D69*K47,"")</f>
        <v>5.8479999999999999</v>
      </c>
      <c r="F69" s="278"/>
      <c r="G69" s="284"/>
      <c r="H69" s="284"/>
      <c r="I69" s="284"/>
      <c r="J69" s="284"/>
      <c r="K69" s="284"/>
      <c r="L69" s="312"/>
      <c r="N69" s="280" t="str">
        <f>+_xlfn.CONCAT("M",N65,O69)</f>
        <v>M1.021</v>
      </c>
      <c r="O69" s="280">
        <v>1</v>
      </c>
      <c r="P69" s="281">
        <f>+IFERROR(VLOOKUP(B69,INSUMOS!A:D,3,FALSE),"")</f>
        <v>10330.58</v>
      </c>
      <c r="Q69" s="314">
        <f t="shared" ref="Q69:Q79" si="1">IFERROR(E69*P69,"")</f>
        <v>60413.23184</v>
      </c>
      <c r="S69" s="272"/>
      <c r="T69" s="278"/>
    </row>
    <row r="70" spans="1:20" ht="27.6" x14ac:dyDescent="0.3">
      <c r="A70" s="191">
        <f>IFERROR(VLOOKUP(B70,INSUMOS!A:D,4,FALSE),"")</f>
        <v>401</v>
      </c>
      <c r="B70" s="163" t="str">
        <f>+IFERROR(VLOOKUP(N70,APU!J:M,4,FALSE),"")</f>
        <v>Estacas en madera entre 0,5 y 1,0 metro</v>
      </c>
      <c r="C70" s="163" t="str">
        <f>+IFERROR(VLOOKUP(B70,INSUMOS!A:D,2,FALSE),"")</f>
        <v>Unidad</v>
      </c>
      <c r="D70" s="192">
        <f>IFERROR(VLOOKUP(N70,APU!J:N,5,FALSE),"")</f>
        <v>0.1</v>
      </c>
      <c r="E70" s="283">
        <f>IFERROR(D70*K47,"")</f>
        <v>29.24</v>
      </c>
      <c r="F70" s="278"/>
      <c r="G70" s="284"/>
      <c r="H70" s="284"/>
      <c r="I70" s="284"/>
      <c r="J70" s="284"/>
      <c r="K70" s="284"/>
      <c r="L70" s="312"/>
      <c r="N70" s="280" t="str">
        <f>+_xlfn.CONCAT("M",N65,O70)</f>
        <v>M1.022</v>
      </c>
      <c r="O70" s="280">
        <v>2</v>
      </c>
      <c r="P70" s="281">
        <f>+IFERROR(VLOOKUP(B70,INSUMOS!A:D,3,FALSE),"")</f>
        <v>12315.93</v>
      </c>
      <c r="Q70" s="314">
        <f t="shared" si="1"/>
        <v>360117.79320000001</v>
      </c>
      <c r="S70" s="272"/>
      <c r="T70" s="278"/>
    </row>
    <row r="71" spans="1:20" ht="27.6" x14ac:dyDescent="0.3">
      <c r="A71" s="191">
        <f>IFERROR(VLOOKUP(B71,INSUMOS!A:D,4,FALSE),"")</f>
        <v>403</v>
      </c>
      <c r="B71" s="163" t="str">
        <f>+IFERROR(VLOOKUP(N71,APU!J:M,4,FALSE),"")</f>
        <v>Listón de madera ordinaria 2" x 4"</v>
      </c>
      <c r="C71" s="163" t="str">
        <f>+IFERROR(VLOOKUP(B71,INSUMOS!A:D,2,FALSE),"")</f>
        <v>Metro Lineal</v>
      </c>
      <c r="D71" s="192">
        <f>IFERROR(VLOOKUP(N71,APU!J:N,5,FALSE),"")</f>
        <v>0.1</v>
      </c>
      <c r="E71" s="283">
        <f>IFERROR(D71*K47,"")</f>
        <v>29.24</v>
      </c>
      <c r="F71" s="278"/>
      <c r="G71" s="284"/>
      <c r="H71" s="284"/>
      <c r="I71" s="284"/>
      <c r="J71" s="284"/>
      <c r="K71" s="284"/>
      <c r="L71" s="312"/>
      <c r="N71" s="280" t="str">
        <f>+_xlfn.CONCAT("M",N65,O71)</f>
        <v>M1.023</v>
      </c>
      <c r="O71" s="280">
        <v>3</v>
      </c>
      <c r="P71" s="281">
        <f>+IFERROR(VLOOKUP(B71,INSUMOS!A:D,3,FALSE),"")</f>
        <v>26352.99</v>
      </c>
      <c r="Q71" s="314">
        <f t="shared" si="1"/>
        <v>770561.42760000005</v>
      </c>
      <c r="S71" s="272"/>
      <c r="T71" s="278"/>
    </row>
    <row r="72" spans="1:20" ht="27.6" x14ac:dyDescent="0.3">
      <c r="A72" s="191">
        <f>IFERROR(VLOOKUP(B72,INSUMOS!A:D,4,FALSE),"")</f>
        <v>741</v>
      </c>
      <c r="B72" s="163" t="str">
        <f>+IFERROR(VLOOKUP(N72,APU!J:M,4,FALSE),"")</f>
        <v>Hilo Nylon carrete x 100 metros</v>
      </c>
      <c r="C72" s="163" t="str">
        <f>+IFERROR(VLOOKUP(B72,INSUMOS!A:D,2,FALSE),"")</f>
        <v>Rollo</v>
      </c>
      <c r="D72" s="192">
        <f>IFERROR(VLOOKUP(N72,APU!J:N,5,FALSE),"")</f>
        <v>0.02</v>
      </c>
      <c r="E72" s="283">
        <f>IFERROR(D72*K47,"")</f>
        <v>5.8479999999999999</v>
      </c>
      <c r="F72" s="278"/>
      <c r="G72" s="284"/>
      <c r="H72" s="284"/>
      <c r="I72" s="284"/>
      <c r="J72" s="284"/>
      <c r="K72" s="284"/>
      <c r="L72" s="312"/>
      <c r="N72" s="280" t="str">
        <f>+_xlfn.CONCAT("M",N65,O72)</f>
        <v>M1.024</v>
      </c>
      <c r="O72" s="280">
        <v>4</v>
      </c>
      <c r="P72" s="281">
        <f>+IFERROR(VLOOKUP(B72,INSUMOS!A:D,3,FALSE),"")</f>
        <v>45829.21</v>
      </c>
      <c r="Q72" s="314">
        <f t="shared" si="1"/>
        <v>268009.22008</v>
      </c>
      <c r="S72" s="272"/>
      <c r="T72" s="278"/>
    </row>
    <row r="73" spans="1:20" x14ac:dyDescent="0.3">
      <c r="A73" s="191">
        <f>IFERROR(VLOOKUP(B73,INSUMOS!A:D,4,FALSE),"")</f>
        <v>3</v>
      </c>
      <c r="B73" s="163" t="str">
        <f>+IFERROR(VLOOKUP(N73,APU!J:M,4,FALSE),"")</f>
        <v>Cal apagada</v>
      </c>
      <c r="C73" s="163" t="str">
        <f>+IFERROR(VLOOKUP(B73,INSUMOS!A:D,2,FALSE),"")</f>
        <v>Kilogramo</v>
      </c>
      <c r="D73" s="192">
        <f>IFERROR(VLOOKUP(N73,APU!J:N,5,FALSE),"")</f>
        <v>0.02</v>
      </c>
      <c r="E73" s="283">
        <f>IFERROR(D73*K47,"")</f>
        <v>5.8479999999999999</v>
      </c>
      <c r="F73" s="278"/>
      <c r="G73" s="284"/>
      <c r="H73" s="284"/>
      <c r="I73" s="284"/>
      <c r="J73" s="284"/>
      <c r="K73" s="284"/>
      <c r="L73" s="312"/>
      <c r="N73" s="280" t="str">
        <f>+_xlfn.CONCAT("M",N65,O73)</f>
        <v>M1.025</v>
      </c>
      <c r="O73" s="280">
        <v>5</v>
      </c>
      <c r="P73" s="281">
        <f>+IFERROR(VLOOKUP(B73,INSUMOS!A:D,3,FALSE),"")</f>
        <v>2745.78</v>
      </c>
      <c r="Q73" s="314">
        <f t="shared" si="1"/>
        <v>16057.321440000002</v>
      </c>
      <c r="S73" s="272"/>
      <c r="T73" s="278"/>
    </row>
    <row r="74" spans="1:20" x14ac:dyDescent="0.3">
      <c r="A74" s="191" t="str">
        <f>IFERROR(VLOOKUP(B74,INSUMOS!A:D,4,FALSE),"")</f>
        <v/>
      </c>
      <c r="B74" s="163">
        <f>+IFERROR(VLOOKUP(N74,APU!J:M,4,FALSE),"")</f>
        <v>0</v>
      </c>
      <c r="C74" s="163" t="str">
        <f>+IFERROR(VLOOKUP(B74,INSUMOS!A:D,2,FALSE),"")</f>
        <v/>
      </c>
      <c r="D74" s="192">
        <f>IFERROR(VLOOKUP(N74,APU!J:N,5,FALSE),"")</f>
        <v>0</v>
      </c>
      <c r="E74" s="285">
        <f>IFERROR(D74*K47,"")</f>
        <v>0</v>
      </c>
      <c r="F74" s="278"/>
      <c r="G74" s="284"/>
      <c r="H74" s="284"/>
      <c r="I74" s="284"/>
      <c r="J74" s="284"/>
      <c r="K74" s="284"/>
      <c r="L74" s="312"/>
      <c r="N74" s="280" t="str">
        <f>+_xlfn.CONCAT("M",N65,O74)</f>
        <v>M1.026</v>
      </c>
      <c r="O74" s="280">
        <v>6</v>
      </c>
      <c r="P74" s="281" t="str">
        <f>+IFERROR(VLOOKUP(B74,INSUMOS!A:D,3,FALSE),"")</f>
        <v/>
      </c>
      <c r="Q74" s="314" t="str">
        <f t="shared" si="1"/>
        <v/>
      </c>
      <c r="S74" s="272"/>
      <c r="T74" s="278"/>
    </row>
    <row r="75" spans="1:20" x14ac:dyDescent="0.3">
      <c r="A75" s="191" t="str">
        <f>IFERROR(VLOOKUP(B75,INSUMOS!A:D,4,FALSE),"")</f>
        <v/>
      </c>
      <c r="B75" s="163">
        <f>+IFERROR(VLOOKUP(N75,APU!J:M,4,FALSE),"")</f>
        <v>0</v>
      </c>
      <c r="C75" s="163" t="str">
        <f>+IFERROR(VLOOKUP(B75,INSUMOS!A:D,2,FALSE),"")</f>
        <v/>
      </c>
      <c r="D75" s="192">
        <f>IFERROR(VLOOKUP(N75,APU!J:N,5,FALSE),"")</f>
        <v>0</v>
      </c>
      <c r="E75" s="285">
        <f>IFERROR(D75*K47,"")</f>
        <v>0</v>
      </c>
      <c r="F75" s="278"/>
      <c r="G75" s="284"/>
      <c r="H75" s="284"/>
      <c r="I75" s="284"/>
      <c r="J75" s="284"/>
      <c r="K75" s="284"/>
      <c r="L75" s="312"/>
      <c r="N75" s="280" t="str">
        <f>+_xlfn.CONCAT("M",N65,O75)</f>
        <v>M1.027</v>
      </c>
      <c r="O75" s="280">
        <v>7</v>
      </c>
      <c r="P75" s="281" t="str">
        <f>+IFERROR(VLOOKUP(B75,INSUMOS!A:D,3,FALSE),"")</f>
        <v/>
      </c>
      <c r="Q75" s="314" t="str">
        <f t="shared" si="1"/>
        <v/>
      </c>
      <c r="S75" s="272"/>
      <c r="T75" s="278"/>
    </row>
    <row r="76" spans="1:20" x14ac:dyDescent="0.3">
      <c r="A76" s="191" t="str">
        <f>IFERROR(VLOOKUP(B76,INSUMOS!A:D,4,FALSE),"")</f>
        <v/>
      </c>
      <c r="B76" s="163">
        <f>+IFERROR(VLOOKUP(N76,APU!J:M,4,FALSE),"")</f>
        <v>0</v>
      </c>
      <c r="C76" s="163" t="str">
        <f>+IFERROR(VLOOKUP(B76,INSUMOS!A:D,2,FALSE),"")</f>
        <v/>
      </c>
      <c r="D76" s="192">
        <f>IFERROR(VLOOKUP(N76,APU!J:N,5,FALSE),"")</f>
        <v>0</v>
      </c>
      <c r="E76" s="285">
        <f>IFERROR(D76*K47,"")</f>
        <v>0</v>
      </c>
      <c r="F76" s="278"/>
      <c r="G76" s="284"/>
      <c r="H76" s="284"/>
      <c r="I76" s="284"/>
      <c r="J76" s="284"/>
      <c r="K76" s="284"/>
      <c r="L76" s="312"/>
      <c r="N76" s="280" t="str">
        <f>+_xlfn.CONCAT("M",N65,O76)</f>
        <v>M1.028</v>
      </c>
      <c r="O76" s="280">
        <v>8</v>
      </c>
      <c r="P76" s="281" t="str">
        <f>+IFERROR(VLOOKUP(B76,INSUMOS!A:D,3,FALSE),"")</f>
        <v/>
      </c>
      <c r="Q76" s="314" t="str">
        <f t="shared" si="1"/>
        <v/>
      </c>
      <c r="S76" s="272"/>
      <c r="T76" s="278"/>
    </row>
    <row r="77" spans="1:20" x14ac:dyDescent="0.3">
      <c r="A77" s="191" t="str">
        <f>IFERROR(VLOOKUP(B77,INSUMOS!A:D,4,FALSE),"")</f>
        <v/>
      </c>
      <c r="B77" s="163">
        <f>+IFERROR(VLOOKUP(N77,APU!J:M,4,FALSE),"")</f>
        <v>0</v>
      </c>
      <c r="C77" s="163" t="str">
        <f>+IFERROR(VLOOKUP(B77,INSUMOS!A:D,2,FALSE),"")</f>
        <v/>
      </c>
      <c r="D77" s="192">
        <f>IFERROR(VLOOKUP(N77,APU!J:N,5,FALSE),"")</f>
        <v>0</v>
      </c>
      <c r="E77" s="285">
        <f>IFERROR(D77*K47,"")</f>
        <v>0</v>
      </c>
      <c r="F77" s="278"/>
      <c r="G77" s="284"/>
      <c r="H77" s="284"/>
      <c r="I77" s="284"/>
      <c r="J77" s="284"/>
      <c r="K77" s="284"/>
      <c r="L77" s="312"/>
      <c r="N77" s="280" t="str">
        <f>+_xlfn.CONCAT("M",N65,O77)</f>
        <v>M1.029</v>
      </c>
      <c r="O77" s="280">
        <v>9</v>
      </c>
      <c r="P77" s="281" t="str">
        <f>+IFERROR(VLOOKUP(B77,INSUMOS!A:D,3,FALSE),"")</f>
        <v/>
      </c>
      <c r="Q77" s="314" t="str">
        <f t="shared" si="1"/>
        <v/>
      </c>
      <c r="S77" s="272"/>
      <c r="T77" s="278"/>
    </row>
    <row r="78" spans="1:20" x14ac:dyDescent="0.3">
      <c r="A78" s="191" t="str">
        <f>IFERROR(VLOOKUP(B78,INSUMOS!A:D,4,FALSE),"")</f>
        <v/>
      </c>
      <c r="B78" s="163">
        <f>+IFERROR(VLOOKUP(N78,APU!J:M,4,FALSE),"")</f>
        <v>0</v>
      </c>
      <c r="C78" s="163" t="str">
        <f>+IFERROR(VLOOKUP(B78,INSUMOS!A:D,2,FALSE),"")</f>
        <v/>
      </c>
      <c r="D78" s="192">
        <f>IFERROR(VLOOKUP(N78,APU!J:N,5,FALSE),"")</f>
        <v>0</v>
      </c>
      <c r="E78" s="285">
        <f>IFERROR(D78*K47,"")</f>
        <v>0</v>
      </c>
      <c r="F78" s="278"/>
      <c r="G78" s="284"/>
      <c r="H78" s="284"/>
      <c r="I78" s="284"/>
      <c r="J78" s="284"/>
      <c r="K78" s="284"/>
      <c r="L78" s="312"/>
      <c r="N78" s="280" t="str">
        <f>+_xlfn.CONCAT("M",N65,O78)</f>
        <v>M1.0210</v>
      </c>
      <c r="O78" s="280">
        <v>10</v>
      </c>
      <c r="P78" s="281" t="str">
        <f>+IFERROR(VLOOKUP(B78,INSUMOS!A:D,3,FALSE),"")</f>
        <v/>
      </c>
      <c r="Q78" s="314" t="str">
        <f t="shared" si="1"/>
        <v/>
      </c>
      <c r="S78" s="272"/>
      <c r="T78" s="278"/>
    </row>
    <row r="79" spans="1:20" ht="15" thickBot="1" x14ac:dyDescent="0.35">
      <c r="A79" s="286" t="str">
        <f>IFERROR(VLOOKUP(B79,INSUMOS!A:D,4,FALSE),"")</f>
        <v/>
      </c>
      <c r="B79" s="287">
        <f>+IFERROR(VLOOKUP(N79,APU!J:M,4,FALSE),"")</f>
        <v>0</v>
      </c>
      <c r="C79" s="287" t="str">
        <f>+IFERROR(VLOOKUP(B79,INSUMOS!A:D,2,FALSE),"")</f>
        <v/>
      </c>
      <c r="D79" s="288">
        <f>IFERROR(VLOOKUP(N79,APU!J:N,5,FALSE),"")</f>
        <v>0</v>
      </c>
      <c r="E79" s="289">
        <f>IFERROR(D79*K47,"")</f>
        <v>0</v>
      </c>
      <c r="F79" s="278"/>
      <c r="G79" s="284"/>
      <c r="H79" s="284"/>
      <c r="I79" s="284"/>
      <c r="J79" s="284"/>
      <c r="K79" s="284"/>
      <c r="L79" s="312"/>
      <c r="N79" s="280" t="str">
        <f>+_xlfn.CONCAT("M",N65,O79)</f>
        <v>M1.0211</v>
      </c>
      <c r="O79" s="280">
        <v>11</v>
      </c>
      <c r="P79" s="281" t="str">
        <f>+IFERROR(VLOOKUP(B79,INSUMOS!A:D,3,FALSE),"")</f>
        <v/>
      </c>
      <c r="Q79" s="314" t="str">
        <f t="shared" si="1"/>
        <v/>
      </c>
      <c r="S79" s="272"/>
      <c r="T79" s="278"/>
    </row>
    <row r="80" spans="1:20" x14ac:dyDescent="0.3">
      <c r="A80" s="471"/>
      <c r="C80" s="290"/>
      <c r="D80" s="290"/>
      <c r="E80" s="290"/>
      <c r="F80" s="278"/>
      <c r="G80" s="291"/>
      <c r="H80" s="473"/>
      <c r="I80" s="284"/>
      <c r="J80" s="272"/>
      <c r="K80" s="284"/>
      <c r="L80" s="312"/>
      <c r="N80" s="280"/>
      <c r="O80" s="280"/>
      <c r="P80" s="313"/>
      <c r="Q80" s="314"/>
      <c r="S80" s="272"/>
      <c r="T80" s="278"/>
    </row>
    <row r="81" spans="1:20" x14ac:dyDescent="0.3">
      <c r="A81" s="471"/>
      <c r="C81" s="290"/>
      <c r="D81" s="290"/>
      <c r="E81" s="290"/>
      <c r="F81" s="278"/>
      <c r="G81" s="291"/>
      <c r="H81" s="473"/>
      <c r="I81" s="284"/>
      <c r="J81" s="272"/>
      <c r="K81" s="284"/>
      <c r="L81" s="312"/>
      <c r="N81" s="280"/>
      <c r="O81" s="280"/>
      <c r="P81" s="313"/>
      <c r="Q81" s="314"/>
      <c r="S81" s="272"/>
      <c r="T81" s="278"/>
    </row>
    <row r="82" spans="1:20" x14ac:dyDescent="0.3">
      <c r="A82" s="471"/>
      <c r="C82" s="293"/>
      <c r="D82" s="293"/>
      <c r="E82" s="294"/>
      <c r="F82" s="278"/>
      <c r="G82" s="234"/>
      <c r="H82" s="234"/>
      <c r="I82" s="284"/>
      <c r="J82" s="272"/>
      <c r="K82" s="284"/>
      <c r="L82" s="312"/>
      <c r="N82" s="280"/>
      <c r="O82" s="280"/>
      <c r="P82" s="315" t="str">
        <f>+A47</f>
        <v>1.02</v>
      </c>
      <c r="Q82" s="314">
        <f>SUM(Q69:Q79)</f>
        <v>1475158.9941600002</v>
      </c>
      <c r="S82" s="272"/>
      <c r="T82" s="278"/>
    </row>
    <row r="83" spans="1:20" x14ac:dyDescent="0.3">
      <c r="A83" s="471"/>
      <c r="C83" s="293"/>
      <c r="D83" s="293"/>
      <c r="E83" s="294"/>
      <c r="F83" s="316"/>
      <c r="G83" s="295"/>
      <c r="H83" s="295"/>
      <c r="I83" s="295"/>
      <c r="J83" s="296"/>
      <c r="K83" s="297"/>
      <c r="L83" s="302"/>
      <c r="S83" s="272"/>
      <c r="T83" s="278"/>
    </row>
    <row r="84" spans="1:20" x14ac:dyDescent="0.3">
      <c r="A84" s="299"/>
      <c r="B84" s="293"/>
      <c r="C84" s="293"/>
      <c r="D84" s="293"/>
      <c r="E84" s="294"/>
      <c r="F84" s="293"/>
      <c r="G84" s="300" t="str">
        <f>+'INF. GENERAL'!$B$19</f>
        <v>JAVIER JOSÉ ROSADO MENDINUETA</v>
      </c>
      <c r="H84" s="301"/>
      <c r="I84" s="301"/>
      <c r="J84" s="301"/>
      <c r="K84" s="297"/>
      <c r="L84" s="302"/>
      <c r="S84" s="272"/>
      <c r="T84" s="278"/>
    </row>
    <row r="85" spans="1:20" x14ac:dyDescent="0.3">
      <c r="A85" s="299"/>
      <c r="B85" s="293"/>
      <c r="C85" s="293"/>
      <c r="D85" s="293"/>
      <c r="E85" s="294"/>
      <c r="F85" s="293"/>
      <c r="G85" s="303" t="str">
        <f>+'INF. GENERAL'!$B$20</f>
        <v>PROFESIONAL APOYO</v>
      </c>
      <c r="H85" s="301"/>
      <c r="I85" s="301"/>
      <c r="J85" s="301"/>
      <c r="K85" s="297"/>
      <c r="L85" s="302"/>
      <c r="S85" s="272"/>
      <c r="T85" s="278"/>
    </row>
    <row r="86" spans="1:20" ht="15" thickBot="1" x14ac:dyDescent="0.35">
      <c r="A86" s="235" t="s">
        <v>37</v>
      </c>
      <c r="B86" s="236"/>
      <c r="C86" s="236"/>
      <c r="D86" s="236"/>
      <c r="E86" s="237"/>
      <c r="F86" s="236"/>
      <c r="G86" s="318" t="str">
        <f>+'INF. GENERAL'!$B$21</f>
        <v>MP: 08700-52350</v>
      </c>
      <c r="H86" s="319"/>
      <c r="I86" s="319"/>
      <c r="J86" s="319"/>
      <c r="K86" s="236"/>
      <c r="L86" s="304" t="s">
        <v>37</v>
      </c>
      <c r="S86" s="272"/>
      <c r="T86" s="278"/>
    </row>
    <row r="87" spans="1:20" ht="18.600000000000001" thickBot="1" x14ac:dyDescent="0.35">
      <c r="A87" s="320" t="s">
        <v>37</v>
      </c>
      <c r="B87" s="201" t="s">
        <v>38</v>
      </c>
      <c r="C87" s="321"/>
      <c r="D87" s="321"/>
      <c r="E87" s="321"/>
      <c r="F87" s="321"/>
      <c r="G87" s="321"/>
      <c r="H87" s="321"/>
      <c r="I87" s="321"/>
      <c r="J87" s="321"/>
      <c r="K87" s="321"/>
      <c r="L87" s="322" t="s">
        <v>37</v>
      </c>
      <c r="S87" s="272"/>
      <c r="T87" s="278"/>
    </row>
    <row r="88" spans="1:20" ht="15" thickBot="1" x14ac:dyDescent="0.35">
      <c r="A88" s="235" t="s">
        <v>37</v>
      </c>
      <c r="B88" s="236"/>
      <c r="C88" s="236"/>
      <c r="D88" s="236"/>
      <c r="E88" s="237"/>
      <c r="F88" s="236"/>
      <c r="G88" s="238"/>
      <c r="H88" s="236"/>
      <c r="I88" s="236"/>
      <c r="J88" s="236"/>
      <c r="K88" s="236"/>
      <c r="L88" s="304" t="s">
        <v>37</v>
      </c>
      <c r="S88" s="272"/>
      <c r="T88" s="278"/>
    </row>
    <row r="89" spans="1:20" ht="15" thickBot="1" x14ac:dyDescent="0.35">
      <c r="A89" s="240" t="s">
        <v>39</v>
      </c>
      <c r="B89" s="241" t="s">
        <v>21</v>
      </c>
      <c r="C89" s="242" t="s">
        <v>20</v>
      </c>
      <c r="D89" s="243"/>
      <c r="E89" s="243"/>
      <c r="F89" s="243"/>
      <c r="G89" s="244"/>
      <c r="H89" s="325" t="s">
        <v>40</v>
      </c>
      <c r="I89" s="326"/>
      <c r="J89" s="327"/>
      <c r="K89" s="242" t="s">
        <v>41</v>
      </c>
      <c r="L89" s="244"/>
      <c r="M89" s="328"/>
      <c r="N89" s="323"/>
      <c r="O89" s="323"/>
      <c r="P89" s="323"/>
      <c r="Q89" s="323"/>
      <c r="R89" s="323"/>
      <c r="S89" s="335"/>
      <c r="T89" s="324"/>
    </row>
    <row r="90" spans="1:20" ht="28.8" thickBot="1" x14ac:dyDescent="0.35">
      <c r="A90" s="474" t="s">
        <v>2243</v>
      </c>
      <c r="B90" s="249" t="str">
        <f>VLOOKUP(A90,PRESUPUESTO!$A$3:$F$973,5,FALSE)</f>
        <v>m3</v>
      </c>
      <c r="C90" s="42" t="str">
        <f>VLOOKUP(A90,PRESUPUESTO!$A$3:$F$973,4,FALSE)</f>
        <v>Excavacion zanjas de drenaje y de carcamo</v>
      </c>
      <c r="D90" s="43"/>
      <c r="E90" s="44"/>
      <c r="F90" s="45"/>
      <c r="G90" s="46"/>
      <c r="H90" s="250" t="str">
        <f>VLOOKUP(A90,PRESUPUESTO!$A$3:$F$973,3,FALSE)</f>
        <v>EXCAVACIONES, RELLENOS Y SISTEMA DE DRENAJE</v>
      </c>
      <c r="I90" s="251"/>
      <c r="J90" s="252"/>
      <c r="K90" s="253">
        <f>ROUND(+L108,2)</f>
        <v>138.72</v>
      </c>
      <c r="L90" s="306"/>
      <c r="S90" s="272"/>
      <c r="T90" s="278"/>
    </row>
    <row r="91" spans="1:20" ht="15" thickBot="1" x14ac:dyDescent="0.35">
      <c r="A91" s="242" t="s">
        <v>42</v>
      </c>
      <c r="B91" s="243"/>
      <c r="C91" s="243"/>
      <c r="D91" s="243"/>
      <c r="E91" s="243"/>
      <c r="F91" s="244"/>
      <c r="G91" s="580" t="s">
        <v>43</v>
      </c>
      <c r="H91" s="582" t="s">
        <v>44</v>
      </c>
      <c r="I91" s="583"/>
      <c r="J91" s="583"/>
      <c r="K91" s="584"/>
      <c r="L91" s="580" t="s">
        <v>45</v>
      </c>
      <c r="S91" s="272"/>
      <c r="T91" s="278"/>
    </row>
    <row r="92" spans="1:20" ht="15" thickBot="1" x14ac:dyDescent="0.35">
      <c r="A92" s="585" t="e" vm="2">
        <v>#VALUE!</v>
      </c>
      <c r="B92" s="586"/>
      <c r="C92" s="586"/>
      <c r="D92" s="586"/>
      <c r="E92" s="586"/>
      <c r="F92" s="587"/>
      <c r="G92" s="581"/>
      <c r="H92" s="255" t="s">
        <v>46</v>
      </c>
      <c r="I92" s="255" t="s">
        <v>47</v>
      </c>
      <c r="J92" s="255" t="s">
        <v>48</v>
      </c>
      <c r="K92" s="256" t="s">
        <v>49</v>
      </c>
      <c r="L92" s="581"/>
      <c r="S92" s="272"/>
      <c r="T92" s="278"/>
    </row>
    <row r="93" spans="1:20" x14ac:dyDescent="0.3">
      <c r="A93" s="588"/>
      <c r="B93" s="579"/>
      <c r="C93" s="579"/>
      <c r="D93" s="579"/>
      <c r="E93" s="579"/>
      <c r="F93" s="589"/>
      <c r="G93" s="47" t="s">
        <v>2270</v>
      </c>
      <c r="H93" s="257">
        <v>36</v>
      </c>
      <c r="I93" s="257">
        <v>0.6</v>
      </c>
      <c r="J93" s="257">
        <v>0.68600000000000005</v>
      </c>
      <c r="K93" s="257">
        <v>1</v>
      </c>
      <c r="L93" s="307">
        <f>+IF(B90="m2",H93*I93*K93,IF(B90="m3",H93*I93*J93*K93,IF(B90="ml",H93*K93,IF(B90="UND",K93,IF(B90="GLOBAL",K93,"")))))</f>
        <v>14.817600000000001</v>
      </c>
      <c r="S93" s="272"/>
      <c r="T93" s="278"/>
    </row>
    <row r="94" spans="1:20" x14ac:dyDescent="0.3">
      <c r="A94" s="588"/>
      <c r="B94" s="579"/>
      <c r="C94" s="579"/>
      <c r="D94" s="579"/>
      <c r="E94" s="579"/>
      <c r="F94" s="589"/>
      <c r="G94" s="47" t="s">
        <v>2271</v>
      </c>
      <c r="H94" s="259">
        <v>20</v>
      </c>
      <c r="I94" s="259">
        <v>0.4</v>
      </c>
      <c r="J94" s="259">
        <v>0.52700000000000002</v>
      </c>
      <c r="K94" s="259">
        <v>2</v>
      </c>
      <c r="L94" s="308">
        <f>+IF(B90="m2",H94*I94*K94,IF(B90="m3",H94*I94*J94*K94,IF(B90="ml",H94*K94,IF(B90="UND",K94,IF(B90="GLOBAL",K94,"")))))</f>
        <v>8.4320000000000004</v>
      </c>
      <c r="S94" s="272"/>
      <c r="T94" s="278"/>
    </row>
    <row r="95" spans="1:20" x14ac:dyDescent="0.3">
      <c r="A95" s="588"/>
      <c r="B95" s="579"/>
      <c r="C95" s="579"/>
      <c r="D95" s="579"/>
      <c r="E95" s="579"/>
      <c r="F95" s="589"/>
      <c r="G95" s="47" t="s">
        <v>2272</v>
      </c>
      <c r="H95" s="259">
        <v>35</v>
      </c>
      <c r="I95" s="259">
        <v>0.4</v>
      </c>
      <c r="J95" s="259">
        <v>0.60199999999999998</v>
      </c>
      <c r="K95" s="259">
        <v>2</v>
      </c>
      <c r="L95" s="308">
        <f>+IF(B90="m2",H95*I95*K95,IF(B90="m3",H95*I95*J95*K95,IF(B90="ml",H95*K95,IF(B90="UND",K95,IF(B90="GLOBAL",K95,"")))))</f>
        <v>16.855999999999998</v>
      </c>
      <c r="S95" s="272"/>
      <c r="T95" s="278"/>
    </row>
    <row r="96" spans="1:20" x14ac:dyDescent="0.3">
      <c r="A96" s="588"/>
      <c r="B96" s="579"/>
      <c r="C96" s="579"/>
      <c r="D96" s="579"/>
      <c r="E96" s="579"/>
      <c r="F96" s="589"/>
      <c r="G96" s="47" t="s">
        <v>2273</v>
      </c>
      <c r="H96" s="259">
        <v>50</v>
      </c>
      <c r="I96" s="259">
        <v>0.4</v>
      </c>
      <c r="J96" s="259">
        <v>0.67700000000000005</v>
      </c>
      <c r="K96" s="259">
        <v>2</v>
      </c>
      <c r="L96" s="308">
        <f>+IF(B90="m2",H96*I96*K96,IF(B90="m3",H96*I96*J96*K96,IF(B90="ml",H96*K96,IF(B90="UND",K96,IF(B90="GLOBAL",K96,"")))))</f>
        <v>27.080000000000002</v>
      </c>
      <c r="S96" s="272"/>
      <c r="T96" s="278"/>
    </row>
    <row r="97" spans="1:20" x14ac:dyDescent="0.3">
      <c r="A97" s="588"/>
      <c r="B97" s="579"/>
      <c r="C97" s="579"/>
      <c r="D97" s="579"/>
      <c r="E97" s="579"/>
      <c r="F97" s="589"/>
      <c r="G97" s="47" t="s">
        <v>2274</v>
      </c>
      <c r="H97" s="259">
        <v>40</v>
      </c>
      <c r="I97" s="259">
        <v>0.4</v>
      </c>
      <c r="J97" s="259">
        <v>0.752</v>
      </c>
      <c r="K97" s="259">
        <v>2</v>
      </c>
      <c r="L97" s="308">
        <f>+IF(B90="m2",H97*I97*K97,IF(B90="m3",H97*I97*J97*K97,IF(B90="ml",H97*K97,IF(B90="UND",K97,IF(B90="GLOBAL",K97,"")))))</f>
        <v>24.064</v>
      </c>
      <c r="S97" s="272"/>
      <c r="T97" s="278"/>
    </row>
    <row r="98" spans="1:20" x14ac:dyDescent="0.3">
      <c r="A98" s="588"/>
      <c r="B98" s="579"/>
      <c r="C98" s="579"/>
      <c r="D98" s="579"/>
      <c r="E98" s="579"/>
      <c r="F98" s="589"/>
      <c r="G98" s="47" t="s">
        <v>2275</v>
      </c>
      <c r="H98" s="259">
        <v>20</v>
      </c>
      <c r="I98" s="259">
        <v>0.4</v>
      </c>
      <c r="J98" s="259">
        <v>0.80200000000000005</v>
      </c>
      <c r="K98" s="259">
        <v>2</v>
      </c>
      <c r="L98" s="308">
        <f>+IF(B90="m2",H98*I98*K98,IF(B90="m3",H98*I98*J98*K98,IF(B90="ml",H98*K98,IF(B90="UND",K98,IF(B90="GLOBAL",K98,"")))))</f>
        <v>12.832000000000001</v>
      </c>
      <c r="S98" s="272"/>
      <c r="T98" s="278"/>
    </row>
    <row r="99" spans="1:20" x14ac:dyDescent="0.3">
      <c r="A99" s="588"/>
      <c r="B99" s="579"/>
      <c r="C99" s="579"/>
      <c r="D99" s="579"/>
      <c r="E99" s="579"/>
      <c r="F99" s="589"/>
      <c r="G99" s="47" t="s">
        <v>2276</v>
      </c>
      <c r="H99" s="259">
        <v>78</v>
      </c>
      <c r="I99" s="259">
        <v>0.4</v>
      </c>
      <c r="J99" s="259">
        <v>0.7</v>
      </c>
      <c r="K99" s="259">
        <v>1</v>
      </c>
      <c r="L99" s="308">
        <f>+IF(B90="m2",H99*I99*K99,IF(B90="m3",H99*I99*J99*K99,IF(B90="ml",H99*K99,IF(B90="UND",K99,IF(B90="GLOBAL",K99,"")))))</f>
        <v>21.84</v>
      </c>
      <c r="S99" s="272"/>
      <c r="T99" s="278"/>
    </row>
    <row r="100" spans="1:20" x14ac:dyDescent="0.3">
      <c r="A100" s="588"/>
      <c r="B100" s="579"/>
      <c r="C100" s="579"/>
      <c r="D100" s="579"/>
      <c r="E100" s="579"/>
      <c r="F100" s="589"/>
      <c r="G100" s="47" t="s">
        <v>2277</v>
      </c>
      <c r="H100" s="259">
        <v>40</v>
      </c>
      <c r="I100" s="259">
        <v>0.4</v>
      </c>
      <c r="J100" s="259">
        <v>0.8</v>
      </c>
      <c r="K100" s="259">
        <v>1</v>
      </c>
      <c r="L100" s="308">
        <f>+IF(B90="m2",H100*I100*K100,IF(B90="m3",H100*I100*J100*K100,IF(B90="ml",H100*K100,IF(B90="UND",K100,IF(B90="GLOBAL",K100,"")))))</f>
        <v>12.8</v>
      </c>
      <c r="S100" s="272"/>
      <c r="T100" s="278"/>
    </row>
    <row r="101" spans="1:20" x14ac:dyDescent="0.3">
      <c r="A101" s="588"/>
      <c r="B101" s="579"/>
      <c r="C101" s="579"/>
      <c r="D101" s="579"/>
      <c r="E101" s="579"/>
      <c r="F101" s="589"/>
      <c r="G101" s="47"/>
      <c r="H101" s="259"/>
      <c r="I101" s="259"/>
      <c r="J101" s="259"/>
      <c r="K101" s="259"/>
      <c r="L101" s="308">
        <f>+IF(B90="m2",H101*I101*K101,IF(B90="m3",H101*I101*J101*K101,IF(B90="ml",H101*K101,IF(B90="UND",K101,IF(B90="GLOBAL",K101,"")))))</f>
        <v>0</v>
      </c>
      <c r="S101" s="272"/>
      <c r="T101" s="278"/>
    </row>
    <row r="102" spans="1:20" x14ac:dyDescent="0.3">
      <c r="A102" s="588"/>
      <c r="B102" s="579"/>
      <c r="C102" s="579"/>
      <c r="D102" s="579"/>
      <c r="E102" s="579"/>
      <c r="F102" s="589"/>
      <c r="G102" s="47"/>
      <c r="H102" s="259"/>
      <c r="I102" s="259"/>
      <c r="J102" s="259"/>
      <c r="K102" s="259"/>
      <c r="L102" s="308">
        <f>+IF(B90="m2",H102*I102*K102,IF(B90="m3",H102*I102*J102*K102,IF(B90="ml",H102*K102,IF(B90="UND",K102,IF(B90="GLOBAL",K102,"")))))</f>
        <v>0</v>
      </c>
      <c r="S102" s="272"/>
      <c r="T102" s="278"/>
    </row>
    <row r="103" spans="1:20" x14ac:dyDescent="0.3">
      <c r="A103" s="588"/>
      <c r="B103" s="579"/>
      <c r="C103" s="579"/>
      <c r="D103" s="579"/>
      <c r="E103" s="579"/>
      <c r="F103" s="589"/>
      <c r="G103" s="47"/>
      <c r="H103" s="259"/>
      <c r="I103" s="259"/>
      <c r="J103" s="259"/>
      <c r="K103" s="259"/>
      <c r="L103" s="308">
        <f>+IF(B90="m2",H103*I103*K103,IF(B90="m3",H103*I103*J103*K103,IF(B90="ml",H103*K103,IF(B90="UND",K103,IF(B90="GLOBAL",K103,"")))))</f>
        <v>0</v>
      </c>
      <c r="S103" s="272"/>
      <c r="T103" s="278"/>
    </row>
    <row r="104" spans="1:20" x14ac:dyDescent="0.3">
      <c r="A104" s="588"/>
      <c r="B104" s="579"/>
      <c r="C104" s="579"/>
      <c r="D104" s="579"/>
      <c r="E104" s="579"/>
      <c r="F104" s="589"/>
      <c r="G104" s="47"/>
      <c r="H104" s="259"/>
      <c r="I104" s="259"/>
      <c r="J104" s="259"/>
      <c r="K104" s="259"/>
      <c r="L104" s="308">
        <f>+IF(B90="m2",H104*I104*K104,IF(B90="m3",H104*I104*J104*K104,IF(B90="ml",H104*K104,IF(B90="UND",K104,IF(B90="GLOBAL",K104,"")))))</f>
        <v>0</v>
      </c>
      <c r="S104" s="272"/>
      <c r="T104" s="278"/>
    </row>
    <row r="105" spans="1:20" x14ac:dyDescent="0.3">
      <c r="A105" s="588"/>
      <c r="B105" s="579"/>
      <c r="C105" s="579"/>
      <c r="D105" s="579"/>
      <c r="E105" s="579"/>
      <c r="F105" s="589"/>
      <c r="G105" s="47"/>
      <c r="H105" s="259"/>
      <c r="I105" s="259"/>
      <c r="J105" s="259"/>
      <c r="K105" s="259"/>
      <c r="L105" s="308">
        <f>+IF(B90="m2",H105*I105*K105,IF(B90="m3",H105*I105*J105*K105,IF(B90="ml",H105*K105,IF(B90="UND",K105,IF(B90="GLOBAL",K105,"")))))</f>
        <v>0</v>
      </c>
      <c r="S105" s="272"/>
      <c r="T105" s="278"/>
    </row>
    <row r="106" spans="1:20" x14ac:dyDescent="0.3">
      <c r="A106" s="588"/>
      <c r="B106" s="579"/>
      <c r="C106" s="579"/>
      <c r="D106" s="579"/>
      <c r="E106" s="579"/>
      <c r="F106" s="589"/>
      <c r="G106" s="47"/>
      <c r="H106" s="259"/>
      <c r="I106" s="259"/>
      <c r="J106" s="259"/>
      <c r="K106" s="259"/>
      <c r="L106" s="308">
        <f>+IF(B90="m2",H106*I106*K106,IF(B90="m3",H106*I106*J106*K106,IF(B90="ml",H106*K106,IF(B90="UND",K106,IF(B90="GLOBAL",K106,"")))))</f>
        <v>0</v>
      </c>
      <c r="S106" s="272"/>
      <c r="T106" s="278"/>
    </row>
    <row r="107" spans="1:20" x14ac:dyDescent="0.3">
      <c r="A107" s="588"/>
      <c r="B107" s="579"/>
      <c r="C107" s="579"/>
      <c r="D107" s="579"/>
      <c r="E107" s="579"/>
      <c r="F107" s="589"/>
      <c r="G107" s="47"/>
      <c r="H107" s="259"/>
      <c r="I107" s="259"/>
      <c r="J107" s="259"/>
      <c r="K107" s="259"/>
      <c r="L107" s="308">
        <f>+IF(B90="m2",H107*I107*K107,IF(B90="m3",H107*I107*J107*K107,IF(B90="ml",H107*K107,IF(B90="UND",K107,IF(B90="GLOBAL",K107,"")))))</f>
        <v>0</v>
      </c>
      <c r="S107" s="272"/>
      <c r="T107" s="278"/>
    </row>
    <row r="108" spans="1:20" ht="15" thickBot="1" x14ac:dyDescent="0.35">
      <c r="A108" s="590"/>
      <c r="B108" s="591"/>
      <c r="C108" s="591"/>
      <c r="D108" s="591"/>
      <c r="E108" s="591"/>
      <c r="F108" s="592"/>
      <c r="G108" s="261" t="s">
        <v>31</v>
      </c>
      <c r="H108" s="262"/>
      <c r="I108" s="262"/>
      <c r="J108" s="262"/>
      <c r="K108" s="262"/>
      <c r="L108" s="309">
        <f>SUM(L93:L107)</f>
        <v>138.7216</v>
      </c>
      <c r="N108" s="264" t="str">
        <f>+A90</f>
        <v>2,01</v>
      </c>
      <c r="O108" s="331">
        <f>+L108</f>
        <v>138.7216</v>
      </c>
      <c r="S108" s="272"/>
      <c r="T108" s="278"/>
    </row>
    <row r="109" spans="1:20" ht="15" thickBot="1" x14ac:dyDescent="0.35">
      <c r="A109" s="265"/>
      <c r="B109" s="266"/>
      <c r="C109" s="266"/>
      <c r="D109" s="266"/>
      <c r="E109" s="267"/>
      <c r="L109" s="310"/>
      <c r="S109" s="272"/>
      <c r="T109" s="278"/>
    </row>
    <row r="110" spans="1:20" ht="15" thickBot="1" x14ac:dyDescent="0.35">
      <c r="A110" s="269" t="s">
        <v>50</v>
      </c>
      <c r="B110" s="270"/>
      <c r="C110" s="270"/>
      <c r="D110" s="270"/>
      <c r="E110" s="271"/>
      <c r="F110" s="278"/>
      <c r="G110" s="278"/>
      <c r="H110" s="278"/>
      <c r="I110" s="278"/>
      <c r="J110" s="272"/>
      <c r="K110" s="272"/>
      <c r="L110" s="311"/>
      <c r="S110" s="272"/>
      <c r="T110" s="278"/>
    </row>
    <row r="111" spans="1:20" ht="15" thickBot="1" x14ac:dyDescent="0.35">
      <c r="A111" s="274" t="s">
        <v>18</v>
      </c>
      <c r="B111" s="275" t="s">
        <v>51</v>
      </c>
      <c r="C111" s="275" t="s">
        <v>21</v>
      </c>
      <c r="D111" s="275" t="s">
        <v>52</v>
      </c>
      <c r="E111" s="276" t="s">
        <v>22</v>
      </c>
      <c r="F111" s="277"/>
      <c r="G111" s="284"/>
      <c r="H111" s="284"/>
      <c r="I111" s="284"/>
      <c r="J111" s="284"/>
      <c r="K111" s="284"/>
      <c r="L111" s="312"/>
      <c r="S111" s="272"/>
      <c r="T111" s="278"/>
    </row>
    <row r="112" spans="1:20" x14ac:dyDescent="0.3">
      <c r="A112" s="191" t="str">
        <f>IFERROR(VLOOKUP(B112,INSUMOS!A:D,4,FALSE),"")</f>
        <v/>
      </c>
      <c r="B112" s="163">
        <f>+IFERROR(VLOOKUP(N112,APU!J:M,4,FALSE),"")</f>
        <v>0</v>
      </c>
      <c r="C112" s="163" t="str">
        <f>+IFERROR(VLOOKUP(B112,INSUMOS!A:D,2,FALSE),"")</f>
        <v/>
      </c>
      <c r="D112" s="192">
        <f>IFERROR(VLOOKUP(N112,APU!J:N,5,FALSE),"")</f>
        <v>0</v>
      </c>
      <c r="E112" s="279">
        <f>IFERROR(D112*K90,"")</f>
        <v>0</v>
      </c>
      <c r="F112" s="278"/>
      <c r="G112" s="284"/>
      <c r="H112" s="284"/>
      <c r="I112" s="284"/>
      <c r="J112" s="284"/>
      <c r="K112" s="284"/>
      <c r="L112" s="312"/>
      <c r="N112" s="280" t="str">
        <f>+_xlfn.CONCAT("M",N108,O112)</f>
        <v>M2,011</v>
      </c>
      <c r="O112" s="280">
        <v>1</v>
      </c>
      <c r="P112" s="281" t="str">
        <f>+IFERROR(VLOOKUP(B112,INSUMOS!A:D,3,FALSE),"")</f>
        <v/>
      </c>
      <c r="Q112" s="282" t="str">
        <f t="shared" ref="Q112:Q122" si="2">IFERROR(E112*P112,"")</f>
        <v/>
      </c>
      <c r="S112" s="272"/>
      <c r="T112" s="278"/>
    </row>
    <row r="113" spans="1:20" x14ac:dyDescent="0.3">
      <c r="A113" s="191" t="str">
        <f>IFERROR(VLOOKUP(B113,INSUMOS!A:D,4,FALSE),"")</f>
        <v/>
      </c>
      <c r="B113" s="163">
        <f>+IFERROR(VLOOKUP(N113,APU!J:M,4,FALSE),"")</f>
        <v>0</v>
      </c>
      <c r="C113" s="163" t="str">
        <f>+IFERROR(VLOOKUP(B113,INSUMOS!A:D,2,FALSE),"")</f>
        <v/>
      </c>
      <c r="D113" s="192">
        <f>IFERROR(VLOOKUP(N113,APU!J:N,5,FALSE),"")</f>
        <v>0</v>
      </c>
      <c r="E113" s="283">
        <f>IFERROR(D113*K90,"")</f>
        <v>0</v>
      </c>
      <c r="F113" s="278"/>
      <c r="G113" s="284"/>
      <c r="H113" s="284"/>
      <c r="I113" s="284"/>
      <c r="J113" s="284"/>
      <c r="K113" s="284"/>
      <c r="L113" s="312"/>
      <c r="N113" s="280" t="str">
        <f>+_xlfn.CONCAT("M",N108,O113)</f>
        <v>M2,012</v>
      </c>
      <c r="O113" s="280">
        <v>2</v>
      </c>
      <c r="P113" s="281" t="str">
        <f>+IFERROR(VLOOKUP(B113,INSUMOS!A:D,3,FALSE),"")</f>
        <v/>
      </c>
      <c r="Q113" s="282" t="str">
        <f t="shared" si="2"/>
        <v/>
      </c>
      <c r="S113" s="272"/>
      <c r="T113" s="278"/>
    </row>
    <row r="114" spans="1:20" x14ac:dyDescent="0.3">
      <c r="A114" s="191" t="str">
        <f>IFERROR(VLOOKUP(B114,INSUMOS!A:D,4,FALSE),"")</f>
        <v/>
      </c>
      <c r="B114" s="163">
        <f>+IFERROR(VLOOKUP(N114,APU!J:M,4,FALSE),"")</f>
        <v>0</v>
      </c>
      <c r="C114" s="163" t="str">
        <f>+IFERROR(VLOOKUP(B114,INSUMOS!A:D,2,FALSE),"")</f>
        <v/>
      </c>
      <c r="D114" s="192">
        <f>IFERROR(VLOOKUP(N114,APU!J:N,5,FALSE),"")</f>
        <v>0</v>
      </c>
      <c r="E114" s="283">
        <f>IFERROR(D114*K90,"")</f>
        <v>0</v>
      </c>
      <c r="F114" s="278"/>
      <c r="G114" s="284"/>
      <c r="H114" s="284"/>
      <c r="I114" s="284"/>
      <c r="J114" s="284"/>
      <c r="K114" s="284"/>
      <c r="L114" s="312"/>
      <c r="N114" s="280" t="str">
        <f>+_xlfn.CONCAT("M",N108,O114)</f>
        <v>M2,013</v>
      </c>
      <c r="O114" s="280">
        <v>3</v>
      </c>
      <c r="P114" s="281" t="str">
        <f>+IFERROR(VLOOKUP(B114,INSUMOS!A:D,3,FALSE),"")</f>
        <v/>
      </c>
      <c r="Q114" s="282" t="str">
        <f t="shared" si="2"/>
        <v/>
      </c>
      <c r="S114" s="272"/>
      <c r="T114" s="278"/>
    </row>
    <row r="115" spans="1:20" x14ac:dyDescent="0.3">
      <c r="A115" s="191" t="str">
        <f>IFERROR(VLOOKUP(B115,INSUMOS!A:D,4,FALSE),"")</f>
        <v/>
      </c>
      <c r="B115" s="163">
        <f>+IFERROR(VLOOKUP(N115,APU!J:M,4,FALSE),"")</f>
        <v>0</v>
      </c>
      <c r="C115" s="163" t="str">
        <f>+IFERROR(VLOOKUP(B115,INSUMOS!A:D,2,FALSE),"")</f>
        <v/>
      </c>
      <c r="D115" s="192">
        <f>IFERROR(VLOOKUP(N115,APU!J:N,5,FALSE),"")</f>
        <v>0</v>
      </c>
      <c r="E115" s="283">
        <f>IFERROR(D115*K90,"")</f>
        <v>0</v>
      </c>
      <c r="F115" s="278"/>
      <c r="G115" s="284"/>
      <c r="H115" s="284"/>
      <c r="I115" s="284"/>
      <c r="J115" s="284"/>
      <c r="K115" s="284"/>
      <c r="L115" s="312"/>
      <c r="N115" s="280" t="str">
        <f>+_xlfn.CONCAT("M",N108,O115)</f>
        <v>M2,014</v>
      </c>
      <c r="O115" s="280">
        <v>4</v>
      </c>
      <c r="P115" s="281" t="str">
        <f>+IFERROR(VLOOKUP(B115,INSUMOS!A:D,3,FALSE),"")</f>
        <v/>
      </c>
      <c r="Q115" s="282" t="str">
        <f t="shared" si="2"/>
        <v/>
      </c>
      <c r="S115" s="272"/>
      <c r="T115" s="278"/>
    </row>
    <row r="116" spans="1:20" x14ac:dyDescent="0.3">
      <c r="A116" s="191" t="str">
        <f>IFERROR(VLOOKUP(B116,INSUMOS!A:D,4,FALSE),"")</f>
        <v/>
      </c>
      <c r="B116" s="163">
        <f>+IFERROR(VLOOKUP(N116,APU!J:M,4,FALSE),"")</f>
        <v>0</v>
      </c>
      <c r="C116" s="163" t="str">
        <f>+IFERROR(VLOOKUP(B116,INSUMOS!A:D,2,FALSE),"")</f>
        <v/>
      </c>
      <c r="D116" s="192">
        <f>IFERROR(VLOOKUP(N116,APU!J:N,5,FALSE),"")</f>
        <v>0</v>
      </c>
      <c r="E116" s="283">
        <f>IFERROR(D116*K90,"")</f>
        <v>0</v>
      </c>
      <c r="F116" s="278"/>
      <c r="G116" s="284"/>
      <c r="H116" s="284"/>
      <c r="I116" s="284"/>
      <c r="J116" s="284"/>
      <c r="K116" s="284"/>
      <c r="L116" s="312"/>
      <c r="N116" s="280" t="str">
        <f>+_xlfn.CONCAT("M",N108,O116)</f>
        <v>M2,015</v>
      </c>
      <c r="O116" s="280">
        <v>5</v>
      </c>
      <c r="P116" s="281" t="str">
        <f>+IFERROR(VLOOKUP(B116,INSUMOS!A:D,3,FALSE),"")</f>
        <v/>
      </c>
      <c r="Q116" s="282" t="str">
        <f t="shared" si="2"/>
        <v/>
      </c>
      <c r="S116" s="272"/>
      <c r="T116" s="278"/>
    </row>
    <row r="117" spans="1:20" x14ac:dyDescent="0.3">
      <c r="A117" s="191" t="str">
        <f>IFERROR(VLOOKUP(B117,INSUMOS!A:D,4,FALSE),"")</f>
        <v/>
      </c>
      <c r="B117" s="163">
        <f>+IFERROR(VLOOKUP(N117,APU!J:M,4,FALSE),"")</f>
        <v>0</v>
      </c>
      <c r="C117" s="163" t="str">
        <f>+IFERROR(VLOOKUP(B117,INSUMOS!A:D,2,FALSE),"")</f>
        <v/>
      </c>
      <c r="D117" s="192">
        <f>IFERROR(VLOOKUP(N117,APU!J:N,5,FALSE),"")</f>
        <v>0</v>
      </c>
      <c r="E117" s="285">
        <f>IFERROR(D117*K90,"")</f>
        <v>0</v>
      </c>
      <c r="F117" s="278"/>
      <c r="G117" s="284"/>
      <c r="H117" s="284"/>
      <c r="I117" s="284"/>
      <c r="J117" s="284"/>
      <c r="K117" s="284"/>
      <c r="L117" s="312"/>
      <c r="N117" s="280" t="str">
        <f>+_xlfn.CONCAT("M",N108,O117)</f>
        <v>M2,016</v>
      </c>
      <c r="O117" s="280">
        <v>6</v>
      </c>
      <c r="P117" s="281" t="str">
        <f>+IFERROR(VLOOKUP(B117,INSUMOS!A:D,3,FALSE),"")</f>
        <v/>
      </c>
      <c r="Q117" s="282" t="str">
        <f t="shared" si="2"/>
        <v/>
      </c>
      <c r="S117" s="272"/>
      <c r="T117" s="278"/>
    </row>
    <row r="118" spans="1:20" x14ac:dyDescent="0.3">
      <c r="A118" s="191" t="str">
        <f>IFERROR(VLOOKUP(B118,INSUMOS!A:D,4,FALSE),"")</f>
        <v/>
      </c>
      <c r="B118" s="163">
        <f>+IFERROR(VLOOKUP(N118,APU!J:M,4,FALSE),"")</f>
        <v>0</v>
      </c>
      <c r="C118" s="163" t="str">
        <f>+IFERROR(VLOOKUP(B118,INSUMOS!A:D,2,FALSE),"")</f>
        <v/>
      </c>
      <c r="D118" s="192">
        <f>IFERROR(VLOOKUP(N118,APU!J:N,5,FALSE),"")</f>
        <v>0</v>
      </c>
      <c r="E118" s="285">
        <f>IFERROR(D118*K90,"")</f>
        <v>0</v>
      </c>
      <c r="F118" s="278"/>
      <c r="G118" s="284"/>
      <c r="H118" s="284"/>
      <c r="I118" s="284"/>
      <c r="J118" s="284"/>
      <c r="K118" s="284"/>
      <c r="L118" s="312"/>
      <c r="N118" s="280" t="str">
        <f>+_xlfn.CONCAT("M",N108,O118)</f>
        <v>M2,017</v>
      </c>
      <c r="O118" s="280">
        <v>7</v>
      </c>
      <c r="P118" s="281" t="str">
        <f>+IFERROR(VLOOKUP(B118,INSUMOS!A:D,3,FALSE),"")</f>
        <v/>
      </c>
      <c r="Q118" s="282" t="str">
        <f t="shared" si="2"/>
        <v/>
      </c>
      <c r="S118" s="272"/>
      <c r="T118" s="278"/>
    </row>
    <row r="119" spans="1:20" x14ac:dyDescent="0.3">
      <c r="A119" s="191" t="str">
        <f>IFERROR(VLOOKUP(B119,INSUMOS!A:D,4,FALSE),"")</f>
        <v/>
      </c>
      <c r="B119" s="163">
        <f>+IFERROR(VLOOKUP(N119,APU!J:M,4,FALSE),"")</f>
        <v>0</v>
      </c>
      <c r="C119" s="163" t="str">
        <f>+IFERROR(VLOOKUP(B119,INSUMOS!A:D,2,FALSE),"")</f>
        <v/>
      </c>
      <c r="D119" s="192">
        <f>IFERROR(VLOOKUP(N119,APU!J:N,5,FALSE),"")</f>
        <v>0</v>
      </c>
      <c r="E119" s="285">
        <f>IFERROR(D119*K90,"")</f>
        <v>0</v>
      </c>
      <c r="F119" s="278"/>
      <c r="G119" s="284"/>
      <c r="H119" s="284"/>
      <c r="I119" s="284"/>
      <c r="J119" s="284"/>
      <c r="K119" s="284"/>
      <c r="L119" s="312"/>
      <c r="N119" s="280" t="str">
        <f>+_xlfn.CONCAT("M",N108,O119)</f>
        <v>M2,018</v>
      </c>
      <c r="O119" s="280">
        <v>8</v>
      </c>
      <c r="P119" s="281" t="str">
        <f>+IFERROR(VLOOKUP(B119,INSUMOS!A:D,3,FALSE),"")</f>
        <v/>
      </c>
      <c r="Q119" s="282" t="str">
        <f t="shared" si="2"/>
        <v/>
      </c>
      <c r="S119" s="272"/>
      <c r="T119" s="278"/>
    </row>
    <row r="120" spans="1:20" x14ac:dyDescent="0.3">
      <c r="A120" s="191" t="str">
        <f>IFERROR(VLOOKUP(B120,INSUMOS!A:D,4,FALSE),"")</f>
        <v/>
      </c>
      <c r="B120" s="163">
        <f>+IFERROR(VLOOKUP(N120,APU!J:M,4,FALSE),"")</f>
        <v>0</v>
      </c>
      <c r="C120" s="163" t="str">
        <f>+IFERROR(VLOOKUP(B120,INSUMOS!A:D,2,FALSE),"")</f>
        <v/>
      </c>
      <c r="D120" s="192">
        <f>IFERROR(VLOOKUP(N120,APU!J:N,5,FALSE),"")</f>
        <v>0</v>
      </c>
      <c r="E120" s="285">
        <f>IFERROR(D120*K90,"")</f>
        <v>0</v>
      </c>
      <c r="F120" s="278"/>
      <c r="G120" s="284"/>
      <c r="H120" s="284"/>
      <c r="I120" s="284"/>
      <c r="J120" s="284"/>
      <c r="K120" s="284"/>
      <c r="L120" s="312"/>
      <c r="N120" s="280" t="str">
        <f>+_xlfn.CONCAT("M",N108,O120)</f>
        <v>M2,019</v>
      </c>
      <c r="O120" s="280">
        <v>9</v>
      </c>
      <c r="P120" s="281" t="str">
        <f>+IFERROR(VLOOKUP(B120,INSUMOS!A:D,3,FALSE),"")</f>
        <v/>
      </c>
      <c r="Q120" s="282" t="str">
        <f t="shared" si="2"/>
        <v/>
      </c>
      <c r="S120" s="272"/>
      <c r="T120" s="278"/>
    </row>
    <row r="121" spans="1:20" x14ac:dyDescent="0.3">
      <c r="A121" s="191" t="str">
        <f>IFERROR(VLOOKUP(B121,INSUMOS!A:D,4,FALSE),"")</f>
        <v/>
      </c>
      <c r="B121" s="163">
        <f>+IFERROR(VLOOKUP(N121,APU!J:M,4,FALSE),"")</f>
        <v>0</v>
      </c>
      <c r="C121" s="163" t="str">
        <f>+IFERROR(VLOOKUP(B121,INSUMOS!A:D,2,FALSE),"")</f>
        <v/>
      </c>
      <c r="D121" s="192">
        <f>IFERROR(VLOOKUP(N121,APU!J:N,5,FALSE),"")</f>
        <v>0</v>
      </c>
      <c r="E121" s="285">
        <f>IFERROR(D121*K90,"")</f>
        <v>0</v>
      </c>
      <c r="F121" s="278"/>
      <c r="G121" s="284"/>
      <c r="H121" s="284"/>
      <c r="I121" s="284"/>
      <c r="J121" s="284"/>
      <c r="K121" s="284"/>
      <c r="L121" s="312"/>
      <c r="N121" s="280" t="str">
        <f>+_xlfn.CONCAT("M",N108,O121)</f>
        <v>M2,0110</v>
      </c>
      <c r="O121" s="280">
        <v>10</v>
      </c>
      <c r="P121" s="281" t="str">
        <f>+IFERROR(VLOOKUP(B121,INSUMOS!A:D,3,FALSE),"")</f>
        <v/>
      </c>
      <c r="Q121" s="282" t="str">
        <f t="shared" si="2"/>
        <v/>
      </c>
      <c r="S121" s="272"/>
      <c r="T121" s="278"/>
    </row>
    <row r="122" spans="1:20" ht="15" thickBot="1" x14ac:dyDescent="0.35">
      <c r="A122" s="286" t="str">
        <f>IFERROR(VLOOKUP(B122,INSUMOS!A:D,4,FALSE),"")</f>
        <v/>
      </c>
      <c r="B122" s="287">
        <f>+IFERROR(VLOOKUP(N122,APU!J:M,4,FALSE),"")</f>
        <v>0</v>
      </c>
      <c r="C122" s="287" t="str">
        <f>+IFERROR(VLOOKUP(B122,INSUMOS!A:D,2,FALSE),"")</f>
        <v/>
      </c>
      <c r="D122" s="288">
        <f>IFERROR(VLOOKUP(N122,APU!J:N,5,FALSE),"")</f>
        <v>0</v>
      </c>
      <c r="E122" s="289">
        <f>IFERROR(D122*K90,"")</f>
        <v>0</v>
      </c>
      <c r="F122" s="278"/>
      <c r="G122" s="284"/>
      <c r="H122" s="284"/>
      <c r="I122" s="284"/>
      <c r="J122" s="284"/>
      <c r="K122" s="284"/>
      <c r="L122" s="312"/>
      <c r="N122" s="280" t="str">
        <f>+_xlfn.CONCAT("M",N108,O122)</f>
        <v>M2,0111</v>
      </c>
      <c r="O122" s="280">
        <v>11</v>
      </c>
      <c r="P122" s="281" t="str">
        <f>+IFERROR(VLOOKUP(B122,INSUMOS!A:D,3,FALSE),"")</f>
        <v/>
      </c>
      <c r="Q122" s="282" t="str">
        <f t="shared" si="2"/>
        <v/>
      </c>
      <c r="S122" s="272"/>
      <c r="T122" s="278"/>
    </row>
    <row r="123" spans="1:20" x14ac:dyDescent="0.3">
      <c r="A123" s="471"/>
      <c r="C123" s="290"/>
      <c r="D123" s="290"/>
      <c r="E123" s="290"/>
      <c r="F123" s="278"/>
      <c r="G123" s="291"/>
      <c r="H123" s="473"/>
      <c r="I123" s="284"/>
      <c r="J123" s="272"/>
      <c r="K123" s="284"/>
      <c r="L123" s="312"/>
      <c r="N123" s="280"/>
      <c r="O123" s="280"/>
      <c r="P123" s="313"/>
      <c r="Q123" s="314"/>
      <c r="S123" s="272"/>
      <c r="T123" s="278"/>
    </row>
    <row r="124" spans="1:20" x14ac:dyDescent="0.3">
      <c r="A124" s="471"/>
      <c r="C124" s="290"/>
      <c r="D124" s="290"/>
      <c r="E124" s="290"/>
      <c r="F124" s="278"/>
      <c r="G124" s="291"/>
      <c r="H124" s="473"/>
      <c r="I124" s="284"/>
      <c r="J124" s="272"/>
      <c r="K124" s="284"/>
      <c r="L124" s="312"/>
      <c r="N124" s="280"/>
      <c r="O124" s="280"/>
      <c r="P124" s="313"/>
      <c r="Q124" s="314"/>
      <c r="S124" s="272"/>
      <c r="T124" s="278"/>
    </row>
    <row r="125" spans="1:20" x14ac:dyDescent="0.3">
      <c r="A125" s="471"/>
      <c r="C125" s="293"/>
      <c r="D125" s="293"/>
      <c r="E125" s="294"/>
      <c r="F125" s="278"/>
      <c r="G125" s="234"/>
      <c r="H125" s="234"/>
      <c r="I125" s="284"/>
      <c r="J125" s="272"/>
      <c r="K125" s="284"/>
      <c r="L125" s="312"/>
      <c r="N125" s="280"/>
      <c r="O125" s="280"/>
      <c r="P125" s="315" t="str">
        <f>+A90</f>
        <v>2,01</v>
      </c>
      <c r="Q125" s="314">
        <f>SUM(Q112:Q122)</f>
        <v>0</v>
      </c>
      <c r="S125" s="272"/>
      <c r="T125" s="278"/>
    </row>
    <row r="126" spans="1:20" x14ac:dyDescent="0.3">
      <c r="A126" s="471"/>
      <c r="C126" s="293"/>
      <c r="D126" s="293"/>
      <c r="E126" s="294"/>
      <c r="F126" s="316"/>
      <c r="G126" s="295"/>
      <c r="H126" s="295"/>
      <c r="I126" s="295"/>
      <c r="J126" s="296"/>
      <c r="K126" s="297"/>
      <c r="L126" s="302"/>
      <c r="S126" s="272"/>
      <c r="T126" s="278"/>
    </row>
    <row r="127" spans="1:20" x14ac:dyDescent="0.3">
      <c r="A127" s="299"/>
      <c r="B127" s="293"/>
      <c r="C127" s="293"/>
      <c r="D127" s="293"/>
      <c r="E127" s="294"/>
      <c r="F127" s="293"/>
      <c r="G127" s="300" t="str">
        <f>+'INF. GENERAL'!$B$19</f>
        <v>JAVIER JOSÉ ROSADO MENDINUETA</v>
      </c>
      <c r="H127" s="301"/>
      <c r="I127" s="301"/>
      <c r="J127" s="301"/>
      <c r="K127" s="297"/>
      <c r="L127" s="302"/>
      <c r="S127" s="272"/>
      <c r="T127" s="278"/>
    </row>
    <row r="128" spans="1:20" x14ac:dyDescent="0.3">
      <c r="A128" s="299"/>
      <c r="B128" s="293"/>
      <c r="C128" s="293"/>
      <c r="D128" s="293"/>
      <c r="E128" s="294"/>
      <c r="F128" s="293"/>
      <c r="G128" s="303" t="str">
        <f>+'INF. GENERAL'!$B$20</f>
        <v>PROFESIONAL APOYO</v>
      </c>
      <c r="H128" s="301"/>
      <c r="I128" s="301"/>
      <c r="J128" s="301"/>
      <c r="K128" s="297"/>
      <c r="L128" s="302"/>
      <c r="S128" s="272"/>
      <c r="T128" s="278"/>
    </row>
    <row r="129" spans="1:20" ht="15" thickBot="1" x14ac:dyDescent="0.35">
      <c r="A129" s="235" t="s">
        <v>37</v>
      </c>
      <c r="B129" s="236"/>
      <c r="C129" s="236"/>
      <c r="D129" s="236"/>
      <c r="E129" s="237"/>
      <c r="F129" s="236"/>
      <c r="G129" s="318" t="str">
        <f>+'INF. GENERAL'!$B$21</f>
        <v>MP: 08700-52350</v>
      </c>
      <c r="H129" s="319"/>
      <c r="I129" s="319"/>
      <c r="J129" s="319"/>
      <c r="K129" s="236"/>
      <c r="L129" s="304" t="s">
        <v>37</v>
      </c>
      <c r="S129" s="272"/>
      <c r="T129" s="278"/>
    </row>
    <row r="130" spans="1:20" ht="18.600000000000001" thickBot="1" x14ac:dyDescent="0.35">
      <c r="A130" s="320" t="s">
        <v>37</v>
      </c>
      <c r="B130" s="201" t="s">
        <v>38</v>
      </c>
      <c r="C130" s="321"/>
      <c r="D130" s="321"/>
      <c r="E130" s="321"/>
      <c r="F130" s="321"/>
      <c r="G130" s="321"/>
      <c r="H130" s="321"/>
      <c r="I130" s="321"/>
      <c r="J130" s="321"/>
      <c r="K130" s="321"/>
      <c r="L130" s="322" t="s">
        <v>37</v>
      </c>
      <c r="S130" s="272"/>
      <c r="T130" s="278"/>
    </row>
    <row r="131" spans="1:20" ht="15" thickBot="1" x14ac:dyDescent="0.35">
      <c r="A131" s="235" t="s">
        <v>37</v>
      </c>
      <c r="B131" s="236"/>
      <c r="C131" s="236"/>
      <c r="D131" s="236"/>
      <c r="E131" s="237"/>
      <c r="F131" s="236"/>
      <c r="G131" s="238"/>
      <c r="H131" s="236"/>
      <c r="I131" s="236"/>
      <c r="J131" s="236"/>
      <c r="K131" s="236"/>
      <c r="L131" s="304" t="s">
        <v>37</v>
      </c>
      <c r="S131" s="272"/>
      <c r="T131" s="278"/>
    </row>
    <row r="132" spans="1:20" ht="15" thickBot="1" x14ac:dyDescent="0.35">
      <c r="A132" s="240" t="s">
        <v>39</v>
      </c>
      <c r="B132" s="241" t="s">
        <v>21</v>
      </c>
      <c r="C132" s="242" t="s">
        <v>20</v>
      </c>
      <c r="D132" s="243"/>
      <c r="E132" s="243"/>
      <c r="F132" s="243"/>
      <c r="G132" s="244"/>
      <c r="H132" s="325" t="s">
        <v>40</v>
      </c>
      <c r="I132" s="326"/>
      <c r="J132" s="327"/>
      <c r="K132" s="242" t="s">
        <v>41</v>
      </c>
      <c r="L132" s="244"/>
      <c r="M132" s="328"/>
      <c r="N132" s="323"/>
      <c r="O132" s="323"/>
      <c r="P132" s="323"/>
      <c r="Q132" s="323"/>
      <c r="R132" s="323"/>
      <c r="S132" s="335"/>
      <c r="T132" s="324"/>
    </row>
    <row r="133" spans="1:20" ht="28.8" thickBot="1" x14ac:dyDescent="0.35">
      <c r="A133" s="474" t="s">
        <v>2244</v>
      </c>
      <c r="B133" s="249" t="str">
        <f>VLOOKUP(A133,PRESUPUESTO!$A$3:$F$973,5,FALSE)</f>
        <v>ml</v>
      </c>
      <c r="C133" s="42" t="str">
        <f>VLOOKUP(A133,PRESUPUESTO!$A$3:$F$973,4,FALSE)</f>
        <v>Instalacion de sistema de drenaje frances</v>
      </c>
      <c r="D133" s="43"/>
      <c r="E133" s="44"/>
      <c r="F133" s="45"/>
      <c r="G133" s="46"/>
      <c r="H133" s="250" t="str">
        <f>VLOOKUP(A133,PRESUPUESTO!$A$3:$F$973,3,FALSE)</f>
        <v>EXCAVACIONES, RELLENOS Y SISTEMA DE DRENAJE</v>
      </c>
      <c r="I133" s="251"/>
      <c r="J133" s="252"/>
      <c r="K133" s="253">
        <f>ROUND(+L151,2)</f>
        <v>366</v>
      </c>
      <c r="L133" s="306"/>
      <c r="S133" s="272"/>
      <c r="T133" s="278"/>
    </row>
    <row r="134" spans="1:20" ht="15" thickBot="1" x14ac:dyDescent="0.35">
      <c r="A134" s="242" t="s">
        <v>42</v>
      </c>
      <c r="B134" s="243"/>
      <c r="C134" s="243"/>
      <c r="D134" s="243"/>
      <c r="E134" s="243"/>
      <c r="F134" s="244"/>
      <c r="G134" s="580" t="s">
        <v>43</v>
      </c>
      <c r="H134" s="582" t="s">
        <v>44</v>
      </c>
      <c r="I134" s="583"/>
      <c r="J134" s="583"/>
      <c r="K134" s="584"/>
      <c r="L134" s="580" t="s">
        <v>45</v>
      </c>
      <c r="S134" s="272"/>
      <c r="T134" s="278"/>
    </row>
    <row r="135" spans="1:20" ht="15" thickBot="1" x14ac:dyDescent="0.35">
      <c r="A135" s="585" t="e" vm="2">
        <v>#VALUE!</v>
      </c>
      <c r="B135" s="586"/>
      <c r="C135" s="586"/>
      <c r="D135" s="586"/>
      <c r="E135" s="586"/>
      <c r="F135" s="587"/>
      <c r="G135" s="581"/>
      <c r="H135" s="255" t="s">
        <v>46</v>
      </c>
      <c r="I135" s="255" t="s">
        <v>47</v>
      </c>
      <c r="J135" s="255" t="s">
        <v>48</v>
      </c>
      <c r="K135" s="256" t="s">
        <v>49</v>
      </c>
      <c r="L135" s="581"/>
      <c r="S135" s="272"/>
      <c r="T135" s="278"/>
    </row>
    <row r="136" spans="1:20" x14ac:dyDescent="0.3">
      <c r="A136" s="588"/>
      <c r="B136" s="579"/>
      <c r="C136" s="579"/>
      <c r="D136" s="579"/>
      <c r="E136" s="579"/>
      <c r="F136" s="589"/>
      <c r="G136" s="47" t="s">
        <v>2270</v>
      </c>
      <c r="H136" s="257">
        <v>36</v>
      </c>
      <c r="I136" s="257"/>
      <c r="J136" s="257"/>
      <c r="K136" s="257">
        <v>1</v>
      </c>
      <c r="L136" s="307">
        <f>+IF(B133="m2",H136*I136*K136,IF(B133="m3",H136*I136*J136*K136,IF(B133="ml",H136*K136,IF(B133="UND",K136,IF(B133="GLOBAL",K136,"")))))</f>
        <v>36</v>
      </c>
      <c r="S136" s="272"/>
      <c r="T136" s="278"/>
    </row>
    <row r="137" spans="1:20" x14ac:dyDescent="0.3">
      <c r="A137" s="588"/>
      <c r="B137" s="579"/>
      <c r="C137" s="579"/>
      <c r="D137" s="579"/>
      <c r="E137" s="579"/>
      <c r="F137" s="589"/>
      <c r="G137" s="47" t="s">
        <v>2271</v>
      </c>
      <c r="H137" s="259">
        <v>20</v>
      </c>
      <c r="I137" s="259"/>
      <c r="J137" s="259"/>
      <c r="K137" s="259">
        <v>2</v>
      </c>
      <c r="L137" s="308">
        <f>+IF(B133="m2",H137*I137*K137,IF(B133="m3",H137*I137*J137*K137,IF(B133="ml",H137*K137,IF(B133="UND",K137,IF(B133="GLOBAL",K137,"")))))</f>
        <v>40</v>
      </c>
      <c r="S137" s="272"/>
      <c r="T137" s="278"/>
    </row>
    <row r="138" spans="1:20" x14ac:dyDescent="0.3">
      <c r="A138" s="588"/>
      <c r="B138" s="579"/>
      <c r="C138" s="579"/>
      <c r="D138" s="579"/>
      <c r="E138" s="579"/>
      <c r="F138" s="589"/>
      <c r="G138" s="47" t="s">
        <v>2272</v>
      </c>
      <c r="H138" s="259">
        <v>35</v>
      </c>
      <c r="I138" s="259"/>
      <c r="J138" s="259"/>
      <c r="K138" s="259">
        <v>2</v>
      </c>
      <c r="L138" s="308">
        <f>+IF(B133="m2",H138*I138*K138,IF(B133="m3",H138*I138*J138*K138,IF(B133="ml",H138*K138,IF(B133="UND",K138,IF(B133="GLOBAL",K138,"")))))</f>
        <v>70</v>
      </c>
      <c r="S138" s="272"/>
      <c r="T138" s="278"/>
    </row>
    <row r="139" spans="1:20" x14ac:dyDescent="0.3">
      <c r="A139" s="588"/>
      <c r="B139" s="579"/>
      <c r="C139" s="579"/>
      <c r="D139" s="579"/>
      <c r="E139" s="579"/>
      <c r="F139" s="589"/>
      <c r="G139" s="47" t="s">
        <v>2273</v>
      </c>
      <c r="H139" s="259">
        <v>50</v>
      </c>
      <c r="I139" s="259"/>
      <c r="J139" s="259"/>
      <c r="K139" s="259">
        <v>2</v>
      </c>
      <c r="L139" s="308">
        <f>+IF(B133="m2",H139*I139*K139,IF(B133="m3",H139*I139*J139*K139,IF(B133="ml",H139*K139,IF(B133="UND",K139,IF(B133="GLOBAL",K139,"")))))</f>
        <v>100</v>
      </c>
      <c r="S139" s="272"/>
      <c r="T139" s="278"/>
    </row>
    <row r="140" spans="1:20" x14ac:dyDescent="0.3">
      <c r="A140" s="588"/>
      <c r="B140" s="579"/>
      <c r="C140" s="579"/>
      <c r="D140" s="579"/>
      <c r="E140" s="579"/>
      <c r="F140" s="589"/>
      <c r="G140" s="47" t="s">
        <v>2274</v>
      </c>
      <c r="H140" s="259">
        <v>40</v>
      </c>
      <c r="I140" s="259"/>
      <c r="J140" s="259"/>
      <c r="K140" s="259">
        <v>2</v>
      </c>
      <c r="L140" s="308">
        <f>+IF(B133="m2",H140*I140*K140,IF(B133="m3",H140*I140*J140*K140,IF(B133="ml",H140*K140,IF(B133="UND",K140,IF(B133="GLOBAL",K140,"")))))</f>
        <v>80</v>
      </c>
      <c r="S140" s="272"/>
      <c r="T140" s="278"/>
    </row>
    <row r="141" spans="1:20" x14ac:dyDescent="0.3">
      <c r="A141" s="588"/>
      <c r="B141" s="579"/>
      <c r="C141" s="579"/>
      <c r="D141" s="579"/>
      <c r="E141" s="579"/>
      <c r="F141" s="589"/>
      <c r="G141" s="47" t="s">
        <v>2275</v>
      </c>
      <c r="H141" s="259">
        <v>20</v>
      </c>
      <c r="I141" s="259"/>
      <c r="J141" s="259"/>
      <c r="K141" s="259">
        <v>2</v>
      </c>
      <c r="L141" s="308">
        <f>+IF(B133="m2",H141*I141*K141,IF(B133="m3",H141*I141*J141*K141,IF(B133="ml",H141*K141,IF(B133="UND",K141,IF(B133="GLOBAL",K141,"")))))</f>
        <v>40</v>
      </c>
      <c r="S141" s="272"/>
      <c r="T141" s="278"/>
    </row>
    <row r="142" spans="1:20" x14ac:dyDescent="0.3">
      <c r="A142" s="588"/>
      <c r="B142" s="579"/>
      <c r="C142" s="579"/>
      <c r="D142" s="579"/>
      <c r="E142" s="579"/>
      <c r="F142" s="589"/>
      <c r="G142" s="47"/>
      <c r="H142" s="259"/>
      <c r="I142" s="259"/>
      <c r="J142" s="259"/>
      <c r="K142" s="259"/>
      <c r="L142" s="308">
        <f>+IF(B133="m2",H142*I142*K142,IF(B133="m3",H142*I142*J142*K142,IF(B133="ml",H142*K142,IF(B133="UND",K142,IF(B133="GLOBAL",K142,"")))))</f>
        <v>0</v>
      </c>
      <c r="S142" s="272"/>
      <c r="T142" s="278"/>
    </row>
    <row r="143" spans="1:20" x14ac:dyDescent="0.3">
      <c r="A143" s="588"/>
      <c r="B143" s="579"/>
      <c r="C143" s="579"/>
      <c r="D143" s="579"/>
      <c r="E143" s="579"/>
      <c r="F143" s="589"/>
      <c r="G143" s="47"/>
      <c r="H143" s="259"/>
      <c r="I143" s="259"/>
      <c r="J143" s="259"/>
      <c r="K143" s="259"/>
      <c r="L143" s="308">
        <f>+IF(B133="m2",H143*I143*K143,IF(B133="m3",H143*I143*J143*K143,IF(B133="ml",H143*K143,IF(B133="UND",K143,IF(B133="GLOBAL",K143,"")))))</f>
        <v>0</v>
      </c>
      <c r="S143" s="272"/>
      <c r="T143" s="278"/>
    </row>
    <row r="144" spans="1:20" x14ac:dyDescent="0.3">
      <c r="A144" s="588"/>
      <c r="B144" s="579"/>
      <c r="C144" s="579"/>
      <c r="D144" s="579"/>
      <c r="E144" s="579"/>
      <c r="F144" s="589"/>
      <c r="G144" s="47"/>
      <c r="H144" s="259"/>
      <c r="I144" s="259"/>
      <c r="J144" s="259"/>
      <c r="K144" s="259"/>
      <c r="L144" s="308">
        <f>+IF(B133="m2",H144*I144*K144,IF(B133="m3",H144*I144*J144*K144,IF(B133="ml",H144*K144,IF(B133="UND",K144,IF(B133="GLOBAL",K144,"")))))</f>
        <v>0</v>
      </c>
      <c r="S144" s="272"/>
      <c r="T144" s="278"/>
    </row>
    <row r="145" spans="1:20" x14ac:dyDescent="0.3">
      <c r="A145" s="588"/>
      <c r="B145" s="579"/>
      <c r="C145" s="579"/>
      <c r="D145" s="579"/>
      <c r="E145" s="579"/>
      <c r="F145" s="589"/>
      <c r="G145" s="47"/>
      <c r="H145" s="259"/>
      <c r="I145" s="259"/>
      <c r="J145" s="259"/>
      <c r="K145" s="259"/>
      <c r="L145" s="308">
        <f>+IF(B133="m2",H145*I145*K145,IF(B133="m3",H145*I145*J145*K145,IF(B133="ml",H145*K145,IF(B133="UND",K145,IF(B133="GLOBAL",K145,"")))))</f>
        <v>0</v>
      </c>
      <c r="S145" s="272"/>
      <c r="T145" s="278"/>
    </row>
    <row r="146" spans="1:20" x14ac:dyDescent="0.3">
      <c r="A146" s="588"/>
      <c r="B146" s="579"/>
      <c r="C146" s="579"/>
      <c r="D146" s="579"/>
      <c r="E146" s="579"/>
      <c r="F146" s="589"/>
      <c r="G146" s="47"/>
      <c r="H146" s="259"/>
      <c r="I146" s="259"/>
      <c r="J146" s="259"/>
      <c r="K146" s="259"/>
      <c r="L146" s="308">
        <f>+IF(B133="m2",H146*I146*K146,IF(B133="m3",H146*I146*J146*K146,IF(B133="ml",H146*K146,IF(B133="UND",K146,IF(B133="GLOBAL",K146,"")))))</f>
        <v>0</v>
      </c>
      <c r="S146" s="272"/>
      <c r="T146" s="278"/>
    </row>
    <row r="147" spans="1:20" x14ac:dyDescent="0.3">
      <c r="A147" s="588"/>
      <c r="B147" s="579"/>
      <c r="C147" s="579"/>
      <c r="D147" s="579"/>
      <c r="E147" s="579"/>
      <c r="F147" s="589"/>
      <c r="G147" s="47"/>
      <c r="H147" s="259"/>
      <c r="I147" s="259"/>
      <c r="J147" s="259"/>
      <c r="K147" s="259"/>
      <c r="L147" s="308">
        <f>+IF(B133="m2",H147*I147*K147,IF(B133="m3",H147*I147*J147*K147,IF(B133="ml",H147*K147,IF(B133="UND",K147,IF(B133="GLOBAL",K147,"")))))</f>
        <v>0</v>
      </c>
      <c r="S147" s="272"/>
      <c r="T147" s="278"/>
    </row>
    <row r="148" spans="1:20" x14ac:dyDescent="0.3">
      <c r="A148" s="588"/>
      <c r="B148" s="579"/>
      <c r="C148" s="579"/>
      <c r="D148" s="579"/>
      <c r="E148" s="579"/>
      <c r="F148" s="589"/>
      <c r="G148" s="47"/>
      <c r="H148" s="259"/>
      <c r="I148" s="259"/>
      <c r="J148" s="259"/>
      <c r="K148" s="259"/>
      <c r="L148" s="308">
        <f>+IF(B133="m2",H148*I148*K148,IF(B133="m3",H148*I148*J148*K148,IF(B133="ml",H148*K148,IF(B133="UND",K148,IF(B133="GLOBAL",K148,"")))))</f>
        <v>0</v>
      </c>
      <c r="S148" s="272"/>
      <c r="T148" s="278"/>
    </row>
    <row r="149" spans="1:20" x14ac:dyDescent="0.3">
      <c r="A149" s="588"/>
      <c r="B149" s="579"/>
      <c r="C149" s="579"/>
      <c r="D149" s="579"/>
      <c r="E149" s="579"/>
      <c r="F149" s="589"/>
      <c r="G149" s="47"/>
      <c r="H149" s="259"/>
      <c r="I149" s="259"/>
      <c r="J149" s="259"/>
      <c r="K149" s="259"/>
      <c r="L149" s="308">
        <f>+IF(B133="m2",H149*I149*K149,IF(B133="m3",H149*I149*J149*K149,IF(B133="ml",H149*K149,IF(B133="UND",K149,IF(B133="GLOBAL",K149,"")))))</f>
        <v>0</v>
      </c>
      <c r="S149" s="272"/>
      <c r="T149" s="278"/>
    </row>
    <row r="150" spans="1:20" x14ac:dyDescent="0.3">
      <c r="A150" s="588"/>
      <c r="B150" s="579"/>
      <c r="C150" s="579"/>
      <c r="D150" s="579"/>
      <c r="E150" s="579"/>
      <c r="F150" s="589"/>
      <c r="G150" s="47"/>
      <c r="H150" s="259"/>
      <c r="I150" s="259"/>
      <c r="J150" s="259"/>
      <c r="K150" s="259"/>
      <c r="L150" s="308">
        <f>+IF(B133="m2",H150*I150*K150,IF(B133="m3",H150*I150*J150*K150,IF(B133="ml",H150*K150,IF(B133="UND",K150,IF(B133="GLOBAL",K150,"")))))</f>
        <v>0</v>
      </c>
      <c r="S150" s="272"/>
      <c r="T150" s="278"/>
    </row>
    <row r="151" spans="1:20" ht="15" thickBot="1" x14ac:dyDescent="0.35">
      <c r="A151" s="590"/>
      <c r="B151" s="591"/>
      <c r="C151" s="591"/>
      <c r="D151" s="591"/>
      <c r="E151" s="591"/>
      <c r="F151" s="592"/>
      <c r="G151" s="261" t="s">
        <v>31</v>
      </c>
      <c r="H151" s="262"/>
      <c r="I151" s="262"/>
      <c r="J151" s="262"/>
      <c r="K151" s="262"/>
      <c r="L151" s="309">
        <f>SUM(L136:L150)</f>
        <v>366</v>
      </c>
      <c r="N151" s="264" t="str">
        <f>+A133</f>
        <v>2,02</v>
      </c>
      <c r="O151" s="331">
        <f>+L151</f>
        <v>366</v>
      </c>
      <c r="S151" s="272"/>
      <c r="T151" s="278"/>
    </row>
    <row r="152" spans="1:20" ht="15" thickBot="1" x14ac:dyDescent="0.35">
      <c r="A152" s="265"/>
      <c r="B152" s="266"/>
      <c r="C152" s="266"/>
      <c r="D152" s="266"/>
      <c r="E152" s="267"/>
      <c r="L152" s="310"/>
      <c r="S152" s="272"/>
      <c r="T152" s="278"/>
    </row>
    <row r="153" spans="1:20" ht="15" thickBot="1" x14ac:dyDescent="0.35">
      <c r="A153" s="269" t="s">
        <v>50</v>
      </c>
      <c r="B153" s="270"/>
      <c r="C153" s="270"/>
      <c r="D153" s="270"/>
      <c r="E153" s="271"/>
      <c r="F153" s="278"/>
      <c r="G153" s="278"/>
      <c r="H153" s="278"/>
      <c r="I153" s="278"/>
      <c r="J153" s="272"/>
      <c r="K153" s="272"/>
      <c r="L153" s="311"/>
      <c r="S153" s="272"/>
      <c r="T153" s="278"/>
    </row>
    <row r="154" spans="1:20" ht="15" thickBot="1" x14ac:dyDescent="0.35">
      <c r="A154" s="274" t="s">
        <v>18</v>
      </c>
      <c r="B154" s="275" t="s">
        <v>51</v>
      </c>
      <c r="C154" s="275" t="s">
        <v>21</v>
      </c>
      <c r="D154" s="275" t="s">
        <v>52</v>
      </c>
      <c r="E154" s="276" t="s">
        <v>22</v>
      </c>
      <c r="F154" s="277"/>
      <c r="G154" s="284"/>
      <c r="H154" s="284"/>
      <c r="I154" s="284"/>
      <c r="J154" s="284"/>
      <c r="K154" s="284"/>
      <c r="L154" s="312"/>
      <c r="S154" s="272"/>
      <c r="T154" s="278"/>
    </row>
    <row r="155" spans="1:20" ht="27.6" x14ac:dyDescent="0.3">
      <c r="A155" s="191">
        <f>IFERROR(VLOOKUP(B155,INSUMOS!A:D,4,FALSE),"")</f>
        <v>20</v>
      </c>
      <c r="B155" s="163" t="str">
        <f>+IFERROR(VLOOKUP(N155,APU!J:M,4,FALSE),"")</f>
        <v>Geotextil 1600S No Tejido Ancho 3.50 m</v>
      </c>
      <c r="C155" s="163" t="str">
        <f>+IFERROR(VLOOKUP(B155,INSUMOS!A:D,2,FALSE),"")</f>
        <v>Metro Lineal</v>
      </c>
      <c r="D155" s="192">
        <f>IFERROR(VLOOKUP(N155,APU!J:N,5,FALSE),"")</f>
        <v>0.56650000000000011</v>
      </c>
      <c r="E155" s="279">
        <f>IFERROR(D155*K133,"")</f>
        <v>207.33900000000006</v>
      </c>
      <c r="F155" s="278"/>
      <c r="G155" s="284"/>
      <c r="H155" s="284"/>
      <c r="I155" s="284"/>
      <c r="J155" s="284"/>
      <c r="K155" s="284"/>
      <c r="L155" s="312"/>
      <c r="N155" s="280" t="str">
        <f>+_xlfn.CONCAT("M",N151,O155)</f>
        <v>M2,021</v>
      </c>
      <c r="O155" s="280">
        <v>1</v>
      </c>
      <c r="P155" s="281">
        <f>+IFERROR(VLOOKUP(B155,INSUMOS!A:D,3,FALSE),"")</f>
        <v>14658.95</v>
      </c>
      <c r="Q155" s="282">
        <f t="shared" ref="Q155:Q165" si="3">IFERROR(E155*P155,"")</f>
        <v>3039372.0340500008</v>
      </c>
      <c r="S155" s="272"/>
      <c r="T155" s="278"/>
    </row>
    <row r="156" spans="1:20" ht="27.6" x14ac:dyDescent="0.3">
      <c r="A156" s="191">
        <f>IFERROR(VLOOKUP(B156,INSUMOS!A:D,4,FALSE),"")</f>
        <v>71</v>
      </c>
      <c r="B156" s="163" t="str">
        <f>+IFERROR(VLOOKUP(N156,APU!J:M,4,FALSE),"")</f>
        <v>Grava triturada 3/4"</v>
      </c>
      <c r="C156" s="163" t="str">
        <f>+IFERROR(VLOOKUP(B156,INSUMOS!A:D,2,FALSE),"")</f>
        <v>Metro cubico</v>
      </c>
      <c r="D156" s="192">
        <f>IFERROR(VLOOKUP(N156,APU!J:N,5,FALSE),"")</f>
        <v>0.13390000000000002</v>
      </c>
      <c r="E156" s="283">
        <f>IFERROR(D156*K133,"")</f>
        <v>49.007400000000004</v>
      </c>
      <c r="F156" s="278"/>
      <c r="G156" s="284"/>
      <c r="H156" s="284"/>
      <c r="I156" s="284"/>
      <c r="J156" s="284"/>
      <c r="K156" s="284"/>
      <c r="L156" s="312"/>
      <c r="N156" s="280" t="str">
        <f>+_xlfn.CONCAT("M",N151,O156)</f>
        <v>M2,022</v>
      </c>
      <c r="O156" s="280">
        <v>2</v>
      </c>
      <c r="P156" s="281">
        <f>+IFERROR(VLOOKUP(B156,INSUMOS!A:D,3,FALSE),"")</f>
        <v>288567.81</v>
      </c>
      <c r="Q156" s="282">
        <f t="shared" si="3"/>
        <v>14141958.091794001</v>
      </c>
      <c r="S156" s="272"/>
      <c r="T156" s="278"/>
    </row>
    <row r="157" spans="1:20" ht="27.6" x14ac:dyDescent="0.3">
      <c r="A157" s="191">
        <f>IFERROR(VLOOKUP(B157,INSUMOS!A:D,4,FALSE),"")</f>
        <v>1252</v>
      </c>
      <c r="B157" s="163" t="str">
        <f>+IFERROR(VLOOKUP(N157,APU!J:M,4,FALSE),"")</f>
        <v>Tuberia PVC Alcantarillado - Novafort 6" x 6m</v>
      </c>
      <c r="C157" s="163" t="str">
        <f>+IFERROR(VLOOKUP(B157,INSUMOS!A:D,2,FALSE),"")</f>
        <v>Unidad</v>
      </c>
      <c r="D157" s="192">
        <f>IFERROR(VLOOKUP(N157,APU!J:N,5,FALSE),"")</f>
        <v>1.7166666666666667E-2</v>
      </c>
      <c r="E157" s="283">
        <f>IFERROR(D157*K133,"")</f>
        <v>6.2830000000000004</v>
      </c>
      <c r="F157" s="278"/>
      <c r="G157" s="284"/>
      <c r="H157" s="284"/>
      <c r="I157" s="284"/>
      <c r="J157" s="284"/>
      <c r="K157" s="284"/>
      <c r="L157" s="312"/>
      <c r="N157" s="280" t="str">
        <f>+_xlfn.CONCAT("M",N151,O157)</f>
        <v>M2,023</v>
      </c>
      <c r="O157" s="280">
        <v>3</v>
      </c>
      <c r="P157" s="281">
        <f>+IFERROR(VLOOKUP(B157,INSUMOS!A:D,3,FALSE),"")</f>
        <v>266150.03000000003</v>
      </c>
      <c r="Q157" s="282">
        <f t="shared" si="3"/>
        <v>1672220.6384900003</v>
      </c>
      <c r="S157" s="272"/>
      <c r="T157" s="278"/>
    </row>
    <row r="158" spans="1:20" ht="27.6" x14ac:dyDescent="0.3">
      <c r="A158" s="191">
        <f>IFERROR(VLOOKUP(B158,INSUMOS!A:D,4,FALSE),"")</f>
        <v>1251</v>
      </c>
      <c r="B158" s="163" t="str">
        <f>+IFERROR(VLOOKUP(N158,APU!J:M,4,FALSE),"")</f>
        <v>Tuberia PVC Alcantarillado - Novafort 4" x 6m</v>
      </c>
      <c r="C158" s="163" t="str">
        <f>+IFERROR(VLOOKUP(B158,INSUMOS!A:D,2,FALSE),"")</f>
        <v>Unidad</v>
      </c>
      <c r="D158" s="192">
        <f>IFERROR(VLOOKUP(N158,APU!J:N,5,FALSE),"")</f>
        <v>0.1545</v>
      </c>
      <c r="E158" s="283">
        <f>IFERROR(D158*K133,"")</f>
        <v>56.546999999999997</v>
      </c>
      <c r="F158" s="278"/>
      <c r="G158" s="284"/>
      <c r="H158" s="284"/>
      <c r="I158" s="284"/>
      <c r="J158" s="284"/>
      <c r="K158" s="284"/>
      <c r="L158" s="312"/>
      <c r="N158" s="280" t="str">
        <f>+_xlfn.CONCAT("M",N151,O158)</f>
        <v>M2,024</v>
      </c>
      <c r="O158" s="280">
        <v>4</v>
      </c>
      <c r="P158" s="281">
        <f>+IFERROR(VLOOKUP(B158,INSUMOS!A:D,3,FALSE),"")</f>
        <v>139820.54999999999</v>
      </c>
      <c r="Q158" s="282">
        <f t="shared" si="3"/>
        <v>7906432.6408499992</v>
      </c>
      <c r="S158" s="272"/>
      <c r="T158" s="278"/>
    </row>
    <row r="159" spans="1:20" x14ac:dyDescent="0.3">
      <c r="A159" s="191" t="str">
        <f>IFERROR(VLOOKUP(B159,INSUMOS!A:D,4,FALSE),"")</f>
        <v/>
      </c>
      <c r="B159" s="163" t="str">
        <f>+IFERROR(VLOOKUP(N159,APU!J:M,4,FALSE),"")</f>
        <v>Silla Yee Novafort 4"</v>
      </c>
      <c r="C159" s="163" t="str">
        <f>+IFERROR(VLOOKUP(B159,INSUMOS!A:D,2,FALSE),"")</f>
        <v/>
      </c>
      <c r="D159" s="192">
        <f>IFERROR(VLOOKUP(N159,APU!J:N,5,FALSE),"")</f>
        <v>2.5000000000000001E-2</v>
      </c>
      <c r="E159" s="283">
        <f>IFERROR(D159*K133,"")</f>
        <v>9.15</v>
      </c>
      <c r="F159" s="278"/>
      <c r="G159" s="284"/>
      <c r="H159" s="284"/>
      <c r="I159" s="284"/>
      <c r="J159" s="284"/>
      <c r="K159" s="284"/>
      <c r="L159" s="312"/>
      <c r="N159" s="280" t="str">
        <f>+_xlfn.CONCAT("M",N151,O159)</f>
        <v>M2,025</v>
      </c>
      <c r="O159" s="280">
        <v>5</v>
      </c>
      <c r="P159" s="281" t="str">
        <f>+IFERROR(VLOOKUP(B159,INSUMOS!A:D,3,FALSE),"")</f>
        <v/>
      </c>
      <c r="Q159" s="282" t="str">
        <f t="shared" si="3"/>
        <v/>
      </c>
      <c r="S159" s="272"/>
      <c r="T159" s="278"/>
    </row>
    <row r="160" spans="1:20" x14ac:dyDescent="0.3">
      <c r="A160" s="191" t="str">
        <f>IFERROR(VLOOKUP(B160,INSUMOS!A:D,4,FALSE),"")</f>
        <v/>
      </c>
      <c r="B160" s="163">
        <f>+IFERROR(VLOOKUP(N160,APU!J:M,4,FALSE),"")</f>
        <v>0</v>
      </c>
      <c r="C160" s="163" t="str">
        <f>+IFERROR(VLOOKUP(B160,INSUMOS!A:D,2,FALSE),"")</f>
        <v/>
      </c>
      <c r="D160" s="192">
        <f>IFERROR(VLOOKUP(N160,APU!J:N,5,FALSE),"")</f>
        <v>0</v>
      </c>
      <c r="E160" s="285">
        <f>IFERROR(D160*K133,"")</f>
        <v>0</v>
      </c>
      <c r="F160" s="278"/>
      <c r="G160" s="284"/>
      <c r="H160" s="284"/>
      <c r="I160" s="284"/>
      <c r="J160" s="284"/>
      <c r="K160" s="284"/>
      <c r="L160" s="312"/>
      <c r="N160" s="280" t="str">
        <f>+_xlfn.CONCAT("M",N151,O160)</f>
        <v>M2,026</v>
      </c>
      <c r="O160" s="280">
        <v>6</v>
      </c>
      <c r="P160" s="281" t="str">
        <f>+IFERROR(VLOOKUP(B160,INSUMOS!A:D,3,FALSE),"")</f>
        <v/>
      </c>
      <c r="Q160" s="282" t="str">
        <f t="shared" si="3"/>
        <v/>
      </c>
      <c r="S160" s="272"/>
      <c r="T160" s="278"/>
    </row>
    <row r="161" spans="1:20" x14ac:dyDescent="0.3">
      <c r="A161" s="191" t="str">
        <f>IFERROR(VLOOKUP(B161,INSUMOS!A:D,4,FALSE),"")</f>
        <v/>
      </c>
      <c r="B161" s="163">
        <f>+IFERROR(VLOOKUP(N161,APU!J:M,4,FALSE),"")</f>
        <v>0</v>
      </c>
      <c r="C161" s="163" t="str">
        <f>+IFERROR(VLOOKUP(B161,INSUMOS!A:D,2,FALSE),"")</f>
        <v/>
      </c>
      <c r="D161" s="192">
        <f>IFERROR(VLOOKUP(N161,APU!J:N,5,FALSE),"")</f>
        <v>0</v>
      </c>
      <c r="E161" s="285">
        <f>IFERROR(D161*K133,"")</f>
        <v>0</v>
      </c>
      <c r="F161" s="278"/>
      <c r="G161" s="284"/>
      <c r="H161" s="284"/>
      <c r="I161" s="284"/>
      <c r="J161" s="284"/>
      <c r="K161" s="284"/>
      <c r="L161" s="312"/>
      <c r="N161" s="280" t="str">
        <f>+_xlfn.CONCAT("M",N151,O161)</f>
        <v>M2,027</v>
      </c>
      <c r="O161" s="280">
        <v>7</v>
      </c>
      <c r="P161" s="281" t="str">
        <f>+IFERROR(VLOOKUP(B161,INSUMOS!A:D,3,FALSE),"")</f>
        <v/>
      </c>
      <c r="Q161" s="282" t="str">
        <f t="shared" si="3"/>
        <v/>
      </c>
      <c r="S161" s="272"/>
      <c r="T161" s="278"/>
    </row>
    <row r="162" spans="1:20" x14ac:dyDescent="0.3">
      <c r="A162" s="191" t="str">
        <f>IFERROR(VLOOKUP(B162,INSUMOS!A:D,4,FALSE),"")</f>
        <v/>
      </c>
      <c r="B162" s="163">
        <f>+IFERROR(VLOOKUP(N162,APU!J:M,4,FALSE),"")</f>
        <v>0</v>
      </c>
      <c r="C162" s="163" t="str">
        <f>+IFERROR(VLOOKUP(B162,INSUMOS!A:D,2,FALSE),"")</f>
        <v/>
      </c>
      <c r="D162" s="192">
        <f>IFERROR(VLOOKUP(N162,APU!J:N,5,FALSE),"")</f>
        <v>0</v>
      </c>
      <c r="E162" s="285">
        <f>IFERROR(D162*K133,"")</f>
        <v>0</v>
      </c>
      <c r="F162" s="278"/>
      <c r="G162" s="284"/>
      <c r="H162" s="284"/>
      <c r="I162" s="284"/>
      <c r="J162" s="284"/>
      <c r="K162" s="284"/>
      <c r="L162" s="312"/>
      <c r="N162" s="280" t="str">
        <f>+_xlfn.CONCAT("M",N151,O162)</f>
        <v>M2,028</v>
      </c>
      <c r="O162" s="280">
        <v>8</v>
      </c>
      <c r="P162" s="281" t="str">
        <f>+IFERROR(VLOOKUP(B162,INSUMOS!A:D,3,FALSE),"")</f>
        <v/>
      </c>
      <c r="Q162" s="282" t="str">
        <f t="shared" si="3"/>
        <v/>
      </c>
      <c r="S162" s="272"/>
      <c r="T162" s="278"/>
    </row>
    <row r="163" spans="1:20" x14ac:dyDescent="0.3">
      <c r="A163" s="191" t="str">
        <f>IFERROR(VLOOKUP(B163,INSUMOS!A:D,4,FALSE),"")</f>
        <v/>
      </c>
      <c r="B163" s="163">
        <f>+IFERROR(VLOOKUP(N163,APU!J:M,4,FALSE),"")</f>
        <v>0</v>
      </c>
      <c r="C163" s="163" t="str">
        <f>+IFERROR(VLOOKUP(B163,INSUMOS!A:D,2,FALSE),"")</f>
        <v/>
      </c>
      <c r="D163" s="192">
        <f>IFERROR(VLOOKUP(N163,APU!J:N,5,FALSE),"")</f>
        <v>0</v>
      </c>
      <c r="E163" s="285">
        <f>IFERROR(D163*K133,"")</f>
        <v>0</v>
      </c>
      <c r="F163" s="278"/>
      <c r="G163" s="284"/>
      <c r="H163" s="284"/>
      <c r="I163" s="284"/>
      <c r="J163" s="284"/>
      <c r="K163" s="284"/>
      <c r="L163" s="312"/>
      <c r="N163" s="280" t="str">
        <f>+_xlfn.CONCAT("M",N151,O163)</f>
        <v>M2,029</v>
      </c>
      <c r="O163" s="280">
        <v>9</v>
      </c>
      <c r="P163" s="281" t="str">
        <f>+IFERROR(VLOOKUP(B163,INSUMOS!A:D,3,FALSE),"")</f>
        <v/>
      </c>
      <c r="Q163" s="282" t="str">
        <f t="shared" si="3"/>
        <v/>
      </c>
      <c r="S163" s="272"/>
      <c r="T163" s="278"/>
    </row>
    <row r="164" spans="1:20" x14ac:dyDescent="0.3">
      <c r="A164" s="191" t="str">
        <f>IFERROR(VLOOKUP(B164,INSUMOS!A:D,4,FALSE),"")</f>
        <v/>
      </c>
      <c r="B164" s="163">
        <f>+IFERROR(VLOOKUP(N164,APU!J:M,4,FALSE),"")</f>
        <v>0</v>
      </c>
      <c r="C164" s="163" t="str">
        <f>+IFERROR(VLOOKUP(B164,INSUMOS!A:D,2,FALSE),"")</f>
        <v/>
      </c>
      <c r="D164" s="192">
        <f>IFERROR(VLOOKUP(N164,APU!J:N,5,FALSE),"")</f>
        <v>0</v>
      </c>
      <c r="E164" s="285">
        <f>IFERROR(D164*K133,"")</f>
        <v>0</v>
      </c>
      <c r="F164" s="278"/>
      <c r="G164" s="284"/>
      <c r="H164" s="284"/>
      <c r="I164" s="284"/>
      <c r="J164" s="284"/>
      <c r="K164" s="284"/>
      <c r="L164" s="312"/>
      <c r="N164" s="280" t="str">
        <f>+_xlfn.CONCAT("M",N151,O164)</f>
        <v>M2,0210</v>
      </c>
      <c r="O164" s="280">
        <v>10</v>
      </c>
      <c r="P164" s="281" t="str">
        <f>+IFERROR(VLOOKUP(B164,INSUMOS!A:D,3,FALSE),"")</f>
        <v/>
      </c>
      <c r="Q164" s="282" t="str">
        <f t="shared" si="3"/>
        <v/>
      </c>
      <c r="S164" s="272"/>
      <c r="T164" s="278"/>
    </row>
    <row r="165" spans="1:20" ht="15" thickBot="1" x14ac:dyDescent="0.35">
      <c r="A165" s="286" t="str">
        <f>IFERROR(VLOOKUP(B165,INSUMOS!A:D,4,FALSE),"")</f>
        <v/>
      </c>
      <c r="B165" s="287">
        <f>+IFERROR(VLOOKUP(N165,APU!J:M,4,FALSE),"")</f>
        <v>0</v>
      </c>
      <c r="C165" s="287" t="str">
        <f>+IFERROR(VLOOKUP(B165,INSUMOS!A:D,2,FALSE),"")</f>
        <v/>
      </c>
      <c r="D165" s="288">
        <f>IFERROR(VLOOKUP(N165,APU!J:N,5,FALSE),"")</f>
        <v>0</v>
      </c>
      <c r="E165" s="289">
        <f>IFERROR(D165*K133,"")</f>
        <v>0</v>
      </c>
      <c r="F165" s="278"/>
      <c r="G165" s="284"/>
      <c r="H165" s="284"/>
      <c r="I165" s="284"/>
      <c r="J165" s="284"/>
      <c r="K165" s="284"/>
      <c r="L165" s="312"/>
      <c r="N165" s="280" t="str">
        <f>+_xlfn.CONCAT("M",N151,O165)</f>
        <v>M2,0211</v>
      </c>
      <c r="O165" s="280">
        <v>11</v>
      </c>
      <c r="P165" s="281" t="str">
        <f>+IFERROR(VLOOKUP(B165,INSUMOS!A:D,3,FALSE),"")</f>
        <v/>
      </c>
      <c r="Q165" s="282" t="str">
        <f t="shared" si="3"/>
        <v/>
      </c>
      <c r="S165" s="272"/>
      <c r="T165" s="278"/>
    </row>
    <row r="166" spans="1:20" x14ac:dyDescent="0.3">
      <c r="A166" s="471"/>
      <c r="C166" s="290"/>
      <c r="D166" s="290"/>
      <c r="E166" s="290"/>
      <c r="F166" s="278"/>
      <c r="G166" s="291"/>
      <c r="H166" s="473"/>
      <c r="I166" s="284"/>
      <c r="J166" s="272"/>
      <c r="K166" s="284"/>
      <c r="L166" s="312"/>
      <c r="N166" s="280"/>
      <c r="O166" s="280"/>
      <c r="P166" s="313"/>
      <c r="Q166" s="314"/>
      <c r="S166" s="272"/>
      <c r="T166" s="278"/>
    </row>
    <row r="167" spans="1:20" x14ac:dyDescent="0.3">
      <c r="A167" s="471"/>
      <c r="C167" s="290"/>
      <c r="D167" s="290"/>
      <c r="E167" s="290"/>
      <c r="F167" s="278"/>
      <c r="G167" s="291"/>
      <c r="H167" s="473"/>
      <c r="I167" s="284"/>
      <c r="J167" s="272"/>
      <c r="K167" s="284"/>
      <c r="L167" s="312"/>
      <c r="N167" s="280"/>
      <c r="O167" s="280"/>
      <c r="P167" s="313"/>
      <c r="Q167" s="314"/>
      <c r="S167" s="272"/>
      <c r="T167" s="278"/>
    </row>
    <row r="168" spans="1:20" x14ac:dyDescent="0.3">
      <c r="A168" s="471"/>
      <c r="C168" s="293"/>
      <c r="D168" s="293"/>
      <c r="E168" s="294"/>
      <c r="F168" s="278"/>
      <c r="G168" s="234"/>
      <c r="H168" s="234"/>
      <c r="I168" s="284"/>
      <c r="J168" s="272"/>
      <c r="K168" s="284"/>
      <c r="L168" s="312"/>
      <c r="N168" s="280"/>
      <c r="O168" s="280"/>
      <c r="P168" s="315" t="str">
        <f>+A133</f>
        <v>2,02</v>
      </c>
      <c r="Q168" s="314">
        <f>SUM(Q155:Q165)</f>
        <v>26759983.405184001</v>
      </c>
      <c r="S168" s="272"/>
      <c r="T168" s="278"/>
    </row>
    <row r="169" spans="1:20" x14ac:dyDescent="0.3">
      <c r="A169" s="471"/>
      <c r="C169" s="293"/>
      <c r="D169" s="293"/>
      <c r="E169" s="294"/>
      <c r="F169" s="316"/>
      <c r="G169" s="295"/>
      <c r="H169" s="295"/>
      <c r="I169" s="295"/>
      <c r="J169" s="296"/>
      <c r="K169" s="297"/>
      <c r="L169" s="302"/>
      <c r="S169" s="272"/>
      <c r="T169" s="278"/>
    </row>
    <row r="170" spans="1:20" x14ac:dyDescent="0.3">
      <c r="A170" s="299"/>
      <c r="B170" s="293"/>
      <c r="C170" s="293"/>
      <c r="D170" s="293"/>
      <c r="E170" s="294"/>
      <c r="F170" s="293"/>
      <c r="G170" s="300" t="str">
        <f>+'INF. GENERAL'!$B$19</f>
        <v>JAVIER JOSÉ ROSADO MENDINUETA</v>
      </c>
      <c r="H170" s="301"/>
      <c r="I170" s="301"/>
      <c r="J170" s="301"/>
      <c r="K170" s="297"/>
      <c r="L170" s="302"/>
      <c r="S170" s="272"/>
      <c r="T170" s="278"/>
    </row>
    <row r="171" spans="1:20" x14ac:dyDescent="0.3">
      <c r="A171" s="299"/>
      <c r="B171" s="293"/>
      <c r="C171" s="293"/>
      <c r="D171" s="293"/>
      <c r="E171" s="294"/>
      <c r="F171" s="293"/>
      <c r="G171" s="303" t="str">
        <f>+'INF. GENERAL'!$B$20</f>
        <v>PROFESIONAL APOYO</v>
      </c>
      <c r="H171" s="301"/>
      <c r="I171" s="301"/>
      <c r="J171" s="301"/>
      <c r="K171" s="297"/>
      <c r="L171" s="302"/>
      <c r="S171" s="272"/>
      <c r="T171" s="278"/>
    </row>
    <row r="172" spans="1:20" ht="15" thickBot="1" x14ac:dyDescent="0.35">
      <c r="A172" s="235" t="s">
        <v>37</v>
      </c>
      <c r="B172" s="236"/>
      <c r="C172" s="236"/>
      <c r="D172" s="236"/>
      <c r="E172" s="237"/>
      <c r="F172" s="236"/>
      <c r="G172" s="318" t="str">
        <f>+'INF. GENERAL'!$B$21</f>
        <v>MP: 08700-52350</v>
      </c>
      <c r="H172" s="319"/>
      <c r="I172" s="319"/>
      <c r="J172" s="319"/>
      <c r="K172" s="236"/>
      <c r="L172" s="304" t="s">
        <v>37</v>
      </c>
      <c r="S172" s="272"/>
      <c r="T172" s="278"/>
    </row>
    <row r="173" spans="1:20" ht="18.600000000000001" thickBot="1" x14ac:dyDescent="0.35">
      <c r="A173" s="320" t="s">
        <v>37</v>
      </c>
      <c r="B173" s="201" t="s">
        <v>38</v>
      </c>
      <c r="C173" s="321"/>
      <c r="D173" s="321"/>
      <c r="E173" s="321"/>
      <c r="F173" s="321"/>
      <c r="G173" s="321"/>
      <c r="H173" s="321"/>
      <c r="I173" s="321"/>
      <c r="J173" s="321"/>
      <c r="K173" s="321"/>
      <c r="L173" s="322" t="s">
        <v>37</v>
      </c>
      <c r="S173" s="272"/>
      <c r="T173" s="278"/>
    </row>
    <row r="174" spans="1:20" ht="15" thickBot="1" x14ac:dyDescent="0.35">
      <c r="A174" s="235" t="s">
        <v>37</v>
      </c>
      <c r="B174" s="236"/>
      <c r="C174" s="236"/>
      <c r="D174" s="236"/>
      <c r="E174" s="237"/>
      <c r="F174" s="236"/>
      <c r="G174" s="238"/>
      <c r="H174" s="236"/>
      <c r="I174" s="236"/>
      <c r="J174" s="236"/>
      <c r="K174" s="236"/>
      <c r="L174" s="304" t="s">
        <v>37</v>
      </c>
      <c r="S174" s="272"/>
      <c r="T174" s="278"/>
    </row>
    <row r="175" spans="1:20" ht="15" thickBot="1" x14ac:dyDescent="0.35">
      <c r="A175" s="240" t="s">
        <v>39</v>
      </c>
      <c r="B175" s="241" t="s">
        <v>21</v>
      </c>
      <c r="C175" s="242" t="s">
        <v>20</v>
      </c>
      <c r="D175" s="243"/>
      <c r="E175" s="243"/>
      <c r="F175" s="243"/>
      <c r="G175" s="244"/>
      <c r="H175" s="325" t="s">
        <v>40</v>
      </c>
      <c r="I175" s="326"/>
      <c r="J175" s="327"/>
      <c r="K175" s="242" t="s">
        <v>41</v>
      </c>
      <c r="L175" s="244"/>
      <c r="M175" s="328"/>
      <c r="N175" s="323"/>
      <c r="O175" s="323"/>
      <c r="P175" s="323"/>
      <c r="Q175" s="323"/>
      <c r="R175" s="323"/>
      <c r="S175" s="335"/>
      <c r="T175" s="324"/>
    </row>
    <row r="176" spans="1:20" ht="28.8" thickBot="1" x14ac:dyDescent="0.35">
      <c r="A176" s="474" t="s">
        <v>2245</v>
      </c>
      <c r="B176" s="249" t="str">
        <f>VLOOKUP(A176,PRESUPUESTO!$A$3:$F$973,5,FALSE)</f>
        <v>ml</v>
      </c>
      <c r="C176" s="42" t="str">
        <f>VLOOKUP(A176,PRESUPUESTO!$A$3:$F$973,4,FALSE)</f>
        <v xml:space="preserve">Cunetas prefabricadas en concreto </v>
      </c>
      <c r="D176" s="43"/>
      <c r="E176" s="44"/>
      <c r="F176" s="45"/>
      <c r="G176" s="46"/>
      <c r="H176" s="250" t="str">
        <f>VLOOKUP(A176,PRESUPUESTO!$A$3:$F$973,3,FALSE)</f>
        <v>EXCAVACIONES, RELLENOS Y SISTEMA DE DRENAJE</v>
      </c>
      <c r="I176" s="251"/>
      <c r="J176" s="252"/>
      <c r="K176" s="253">
        <f>ROUND(+L194,2)</f>
        <v>118</v>
      </c>
      <c r="L176" s="306"/>
      <c r="S176" s="272"/>
      <c r="T176" s="278"/>
    </row>
    <row r="177" spans="1:20" ht="15" thickBot="1" x14ac:dyDescent="0.35">
      <c r="A177" s="242" t="s">
        <v>42</v>
      </c>
      <c r="B177" s="243"/>
      <c r="C177" s="243"/>
      <c r="D177" s="243"/>
      <c r="E177" s="243"/>
      <c r="F177" s="244"/>
      <c r="G177" s="580" t="s">
        <v>43</v>
      </c>
      <c r="H177" s="582" t="s">
        <v>44</v>
      </c>
      <c r="I177" s="583"/>
      <c r="J177" s="583"/>
      <c r="K177" s="584"/>
      <c r="L177" s="580" t="s">
        <v>45</v>
      </c>
      <c r="S177" s="272"/>
      <c r="T177" s="278"/>
    </row>
    <row r="178" spans="1:20" ht="15" thickBot="1" x14ac:dyDescent="0.35">
      <c r="A178" s="585" t="e" vm="2">
        <v>#VALUE!</v>
      </c>
      <c r="B178" s="586"/>
      <c r="C178" s="586"/>
      <c r="D178" s="586"/>
      <c r="E178" s="586"/>
      <c r="F178" s="587"/>
      <c r="G178" s="581"/>
      <c r="H178" s="255" t="s">
        <v>46</v>
      </c>
      <c r="I178" s="255" t="s">
        <v>47</v>
      </c>
      <c r="J178" s="255" t="s">
        <v>48</v>
      </c>
      <c r="K178" s="256" t="s">
        <v>49</v>
      </c>
      <c r="L178" s="581"/>
      <c r="S178" s="272"/>
      <c r="T178" s="278"/>
    </row>
    <row r="179" spans="1:20" x14ac:dyDescent="0.3">
      <c r="A179" s="588"/>
      <c r="B179" s="579"/>
      <c r="C179" s="579"/>
      <c r="D179" s="579"/>
      <c r="E179" s="579"/>
      <c r="F179" s="589"/>
      <c r="G179" s="47" t="s">
        <v>2278</v>
      </c>
      <c r="H179" s="257">
        <v>78</v>
      </c>
      <c r="I179" s="257"/>
      <c r="J179" s="257"/>
      <c r="K179" s="257">
        <v>1</v>
      </c>
      <c r="L179" s="307">
        <f>+IF(B176="m2",H179*I179*K179,IF(B176="m3",H179*I179*J179*K179,IF(B176="ml",H179*K179,IF(B176="UND",K179,IF(B176="GLOBAL",K179,"")))))</f>
        <v>78</v>
      </c>
      <c r="S179" s="272"/>
      <c r="T179" s="278"/>
    </row>
    <row r="180" spans="1:20" x14ac:dyDescent="0.3">
      <c r="A180" s="588"/>
      <c r="B180" s="579"/>
      <c r="C180" s="579"/>
      <c r="D180" s="579"/>
      <c r="E180" s="579"/>
      <c r="F180" s="589"/>
      <c r="G180" s="47" t="s">
        <v>2279</v>
      </c>
      <c r="H180" s="259">
        <v>40</v>
      </c>
      <c r="I180" s="259"/>
      <c r="J180" s="259"/>
      <c r="K180" s="259">
        <v>1</v>
      </c>
      <c r="L180" s="308">
        <f>+IF(B176="m2",H180*I180*K180,IF(B176="m3",H180*I180*J180*K180,IF(B176="ml",H180*K180,IF(B176="UND",K180,IF(B176="GLOBAL",K180,"")))))</f>
        <v>40</v>
      </c>
      <c r="S180" s="272"/>
      <c r="T180" s="278"/>
    </row>
    <row r="181" spans="1:20" x14ac:dyDescent="0.3">
      <c r="A181" s="588"/>
      <c r="B181" s="579"/>
      <c r="C181" s="579"/>
      <c r="D181" s="579"/>
      <c r="E181" s="579"/>
      <c r="F181" s="589"/>
      <c r="G181" s="47"/>
      <c r="H181" s="259"/>
      <c r="I181" s="259"/>
      <c r="J181" s="259"/>
      <c r="K181" s="259"/>
      <c r="L181" s="308">
        <f>+IF(B176="m2",H181*I181*K181,IF(B176="m3",H181*I181*J181*K181,IF(B176="ml",H181*K181,IF(B176="UND",K181,IF(B176="GLOBAL",K181,"")))))</f>
        <v>0</v>
      </c>
      <c r="S181" s="272"/>
      <c r="T181" s="278"/>
    </row>
    <row r="182" spans="1:20" x14ac:dyDescent="0.3">
      <c r="A182" s="588"/>
      <c r="B182" s="579"/>
      <c r="C182" s="579"/>
      <c r="D182" s="579"/>
      <c r="E182" s="579"/>
      <c r="F182" s="589"/>
      <c r="G182" s="47"/>
      <c r="H182" s="259"/>
      <c r="I182" s="259"/>
      <c r="J182" s="259"/>
      <c r="K182" s="259"/>
      <c r="L182" s="308">
        <f>+IF(B176="m2",H182*I182*K182,IF(B176="m3",H182*I182*J182*K182,IF(B176="ml",H182*K182,IF(B176="UND",K182,IF(B176="GLOBAL",K182,"")))))</f>
        <v>0</v>
      </c>
      <c r="S182" s="272"/>
      <c r="T182" s="278"/>
    </row>
    <row r="183" spans="1:20" x14ac:dyDescent="0.3">
      <c r="A183" s="588"/>
      <c r="B183" s="579"/>
      <c r="C183" s="579"/>
      <c r="D183" s="579"/>
      <c r="E183" s="579"/>
      <c r="F183" s="589"/>
      <c r="G183" s="47"/>
      <c r="H183" s="259"/>
      <c r="I183" s="259"/>
      <c r="J183" s="259"/>
      <c r="K183" s="259"/>
      <c r="L183" s="308">
        <f>+IF(B176="m2",H183*I183*K183,IF(B176="m3",H183*I183*J183*K183,IF(B176="ml",H183*K183,IF(B176="UND",K183,IF(B176="GLOBAL",K183,"")))))</f>
        <v>0</v>
      </c>
      <c r="S183" s="272"/>
      <c r="T183" s="278"/>
    </row>
    <row r="184" spans="1:20" x14ac:dyDescent="0.3">
      <c r="A184" s="588"/>
      <c r="B184" s="579"/>
      <c r="C184" s="579"/>
      <c r="D184" s="579"/>
      <c r="E184" s="579"/>
      <c r="F184" s="589"/>
      <c r="G184" s="47"/>
      <c r="H184" s="259"/>
      <c r="I184" s="259"/>
      <c r="J184" s="259"/>
      <c r="K184" s="259"/>
      <c r="L184" s="308">
        <f>+IF(B176="m2",H184*I184*K184,IF(B176="m3",H184*I184*J184*K184,IF(B176="ml",H184*K184,IF(B176="UND",K184,IF(B176="GLOBAL",K184,"")))))</f>
        <v>0</v>
      </c>
      <c r="S184" s="272"/>
      <c r="T184" s="278"/>
    </row>
    <row r="185" spans="1:20" x14ac:dyDescent="0.3">
      <c r="A185" s="588"/>
      <c r="B185" s="579"/>
      <c r="C185" s="579"/>
      <c r="D185" s="579"/>
      <c r="E185" s="579"/>
      <c r="F185" s="589"/>
      <c r="G185" s="47"/>
      <c r="H185" s="259"/>
      <c r="I185" s="259"/>
      <c r="J185" s="259"/>
      <c r="K185" s="259"/>
      <c r="L185" s="308">
        <f>+IF(B176="m2",H185*I185*K185,IF(B176="m3",H185*I185*J185*K185,IF(B176="ml",H185*K185,IF(B176="UND",K185,IF(B176="GLOBAL",K185,"")))))</f>
        <v>0</v>
      </c>
      <c r="S185" s="272"/>
      <c r="T185" s="278"/>
    </row>
    <row r="186" spans="1:20" x14ac:dyDescent="0.3">
      <c r="A186" s="588"/>
      <c r="B186" s="579"/>
      <c r="C186" s="579"/>
      <c r="D186" s="579"/>
      <c r="E186" s="579"/>
      <c r="F186" s="589"/>
      <c r="G186" s="47"/>
      <c r="H186" s="259"/>
      <c r="I186" s="259"/>
      <c r="J186" s="259"/>
      <c r="K186" s="259"/>
      <c r="L186" s="308">
        <f>+IF(B176="m2",H186*I186*K186,IF(B176="m3",H186*I186*J186*K186,IF(B176="ml",H186*K186,IF(B176="UND",K186,IF(B176="GLOBAL",K186,"")))))</f>
        <v>0</v>
      </c>
      <c r="S186" s="272"/>
      <c r="T186" s="278"/>
    </row>
    <row r="187" spans="1:20" x14ac:dyDescent="0.3">
      <c r="A187" s="588"/>
      <c r="B187" s="579"/>
      <c r="C187" s="579"/>
      <c r="D187" s="579"/>
      <c r="E187" s="579"/>
      <c r="F187" s="589"/>
      <c r="G187" s="47"/>
      <c r="H187" s="259"/>
      <c r="I187" s="259"/>
      <c r="J187" s="259"/>
      <c r="K187" s="259"/>
      <c r="L187" s="308">
        <f>+IF(B176="m2",H187*I187*K187,IF(B176="m3",H187*I187*J187*K187,IF(B176="ml",H187*K187,IF(B176="UND",K187,IF(B176="GLOBAL",K187,"")))))</f>
        <v>0</v>
      </c>
      <c r="S187" s="272"/>
      <c r="T187" s="278"/>
    </row>
    <row r="188" spans="1:20" x14ac:dyDescent="0.3">
      <c r="A188" s="588"/>
      <c r="B188" s="579"/>
      <c r="C188" s="579"/>
      <c r="D188" s="579"/>
      <c r="E188" s="579"/>
      <c r="F188" s="589"/>
      <c r="G188" s="47"/>
      <c r="H188" s="259"/>
      <c r="I188" s="259"/>
      <c r="J188" s="259"/>
      <c r="K188" s="259"/>
      <c r="L188" s="308">
        <f>+IF(B176="m2",H188*I188*K188,IF(B176="m3",H188*I188*J188*K188,IF(B176="ml",H188*K188,IF(B176="UND",K188,IF(B176="GLOBAL",K188,"")))))</f>
        <v>0</v>
      </c>
      <c r="S188" s="272"/>
      <c r="T188" s="278"/>
    </row>
    <row r="189" spans="1:20" x14ac:dyDescent="0.3">
      <c r="A189" s="588"/>
      <c r="B189" s="579"/>
      <c r="C189" s="579"/>
      <c r="D189" s="579"/>
      <c r="E189" s="579"/>
      <c r="F189" s="589"/>
      <c r="G189" s="47"/>
      <c r="H189" s="259"/>
      <c r="I189" s="259"/>
      <c r="J189" s="259"/>
      <c r="K189" s="259"/>
      <c r="L189" s="308">
        <f>+IF(B176="m2",H189*I189*K189,IF(B176="m3",H189*I189*J189*K189,IF(B176="ml",H189*K189,IF(B176="UND",K189,IF(B176="GLOBAL",K189,"")))))</f>
        <v>0</v>
      </c>
      <c r="S189" s="272"/>
      <c r="T189" s="278"/>
    </row>
    <row r="190" spans="1:20" x14ac:dyDescent="0.3">
      <c r="A190" s="588"/>
      <c r="B190" s="579"/>
      <c r="C190" s="579"/>
      <c r="D190" s="579"/>
      <c r="E190" s="579"/>
      <c r="F190" s="589"/>
      <c r="G190" s="47"/>
      <c r="H190" s="259"/>
      <c r="I190" s="259"/>
      <c r="J190" s="259"/>
      <c r="K190" s="259"/>
      <c r="L190" s="308">
        <f>+IF(B176="m2",H190*I190*K190,IF(B176="m3",H190*I190*J190*K190,IF(B176="ml",H190*K190,IF(B176="UND",K190,IF(B176="GLOBAL",K190,"")))))</f>
        <v>0</v>
      </c>
      <c r="S190" s="272"/>
      <c r="T190" s="278"/>
    </row>
    <row r="191" spans="1:20" x14ac:dyDescent="0.3">
      <c r="A191" s="588"/>
      <c r="B191" s="579"/>
      <c r="C191" s="579"/>
      <c r="D191" s="579"/>
      <c r="E191" s="579"/>
      <c r="F191" s="589"/>
      <c r="G191" s="47"/>
      <c r="H191" s="259"/>
      <c r="I191" s="259"/>
      <c r="J191" s="259"/>
      <c r="K191" s="259"/>
      <c r="L191" s="308">
        <f>+IF(B176="m2",H191*I191*K191,IF(B176="m3",H191*I191*J191*K191,IF(B176="ml",H191*K191,IF(B176="UND",K191,IF(B176="GLOBAL",K191,"")))))</f>
        <v>0</v>
      </c>
      <c r="S191" s="272"/>
      <c r="T191" s="278"/>
    </row>
    <row r="192" spans="1:20" x14ac:dyDescent="0.3">
      <c r="A192" s="588"/>
      <c r="B192" s="579"/>
      <c r="C192" s="579"/>
      <c r="D192" s="579"/>
      <c r="E192" s="579"/>
      <c r="F192" s="589"/>
      <c r="G192" s="47"/>
      <c r="H192" s="259"/>
      <c r="I192" s="259"/>
      <c r="J192" s="259"/>
      <c r="K192" s="259"/>
      <c r="L192" s="308">
        <f>+IF(B176="m2",H192*I192*K192,IF(B176="m3",H192*I192*J192*K192,IF(B176="ml",H192*K192,IF(B176="UND",K192,IF(B176="GLOBAL",K192,"")))))</f>
        <v>0</v>
      </c>
      <c r="S192" s="272"/>
      <c r="T192" s="278"/>
    </row>
    <row r="193" spans="1:20" x14ac:dyDescent="0.3">
      <c r="A193" s="588"/>
      <c r="B193" s="579"/>
      <c r="C193" s="579"/>
      <c r="D193" s="579"/>
      <c r="E193" s="579"/>
      <c r="F193" s="589"/>
      <c r="G193" s="47"/>
      <c r="H193" s="259"/>
      <c r="I193" s="259"/>
      <c r="J193" s="259"/>
      <c r="K193" s="259"/>
      <c r="L193" s="308">
        <f>+IF(B176="m2",H193*I193*K193,IF(B176="m3",H193*I193*J193*K193,IF(B176="ml",H193*K193,IF(B176="UND",K193,IF(B176="GLOBAL",K193,"")))))</f>
        <v>0</v>
      </c>
      <c r="S193" s="272"/>
      <c r="T193" s="278"/>
    </row>
    <row r="194" spans="1:20" ht="15" thickBot="1" x14ac:dyDescent="0.35">
      <c r="A194" s="590"/>
      <c r="B194" s="591"/>
      <c r="C194" s="591"/>
      <c r="D194" s="591"/>
      <c r="E194" s="591"/>
      <c r="F194" s="592"/>
      <c r="G194" s="261" t="s">
        <v>31</v>
      </c>
      <c r="H194" s="262"/>
      <c r="I194" s="262"/>
      <c r="J194" s="262"/>
      <c r="K194" s="262"/>
      <c r="L194" s="309">
        <f>SUM(L179:L193)</f>
        <v>118</v>
      </c>
      <c r="N194" s="264" t="str">
        <f>+A176</f>
        <v>2,03</v>
      </c>
      <c r="O194" s="331">
        <f>+L194</f>
        <v>118</v>
      </c>
      <c r="S194" s="272"/>
      <c r="T194" s="278"/>
    </row>
    <row r="195" spans="1:20" ht="15" thickBot="1" x14ac:dyDescent="0.35">
      <c r="A195" s="265"/>
      <c r="B195" s="266"/>
      <c r="C195" s="266"/>
      <c r="D195" s="266"/>
      <c r="E195" s="267"/>
      <c r="L195" s="310"/>
      <c r="S195" s="272"/>
      <c r="T195" s="278"/>
    </row>
    <row r="196" spans="1:20" ht="15" thickBot="1" x14ac:dyDescent="0.35">
      <c r="A196" s="269" t="s">
        <v>50</v>
      </c>
      <c r="B196" s="270"/>
      <c r="C196" s="270"/>
      <c r="D196" s="270"/>
      <c r="E196" s="271"/>
      <c r="F196" s="278"/>
      <c r="G196" s="278"/>
      <c r="H196" s="278"/>
      <c r="I196" s="278"/>
      <c r="J196" s="272"/>
      <c r="K196" s="272"/>
      <c r="L196" s="311"/>
      <c r="S196" s="272"/>
      <c r="T196" s="278"/>
    </row>
    <row r="197" spans="1:20" ht="15" thickBot="1" x14ac:dyDescent="0.35">
      <c r="A197" s="274" t="s">
        <v>18</v>
      </c>
      <c r="B197" s="275" t="s">
        <v>51</v>
      </c>
      <c r="C197" s="275" t="s">
        <v>21</v>
      </c>
      <c r="D197" s="275" t="s">
        <v>52</v>
      </c>
      <c r="E197" s="276" t="s">
        <v>22</v>
      </c>
      <c r="F197" s="277"/>
      <c r="G197" s="284"/>
      <c r="H197" s="284"/>
      <c r="I197" s="284"/>
      <c r="J197" s="284"/>
      <c r="K197" s="284"/>
      <c r="L197" s="312"/>
      <c r="S197" s="272"/>
      <c r="T197" s="278"/>
    </row>
    <row r="198" spans="1:20" ht="41.4" x14ac:dyDescent="0.3">
      <c r="A198" s="191">
        <f>IFERROR(VLOOKUP(B198,INSUMOS!A:D,4,FALSE),"")</f>
        <v>117</v>
      </c>
      <c r="B198" s="163" t="str">
        <f>+IFERROR(VLOOKUP(N198,APU!J:M,4,FALSE),"")</f>
        <v>Cuneta en concreto prefabricada de 20 cm x 30 cm x 1 m</v>
      </c>
      <c r="C198" s="163" t="str">
        <f>+IFERROR(VLOOKUP(B198,INSUMOS!A:D,2,FALSE),"")</f>
        <v>Unidad</v>
      </c>
      <c r="D198" s="192">
        <f>IFERROR(VLOOKUP(N198,APU!J:N,5,FALSE),"")</f>
        <v>1</v>
      </c>
      <c r="E198" s="279">
        <f>IFERROR(D198*K176,"")</f>
        <v>118</v>
      </c>
      <c r="F198" s="278"/>
      <c r="G198" s="284"/>
      <c r="H198" s="284"/>
      <c r="I198" s="284"/>
      <c r="J198" s="284"/>
      <c r="K198" s="284"/>
      <c r="L198" s="312"/>
      <c r="N198" s="280" t="str">
        <f>+_xlfn.CONCAT("M",N194,O198)</f>
        <v>M2,031</v>
      </c>
      <c r="O198" s="280">
        <v>1</v>
      </c>
      <c r="P198" s="281">
        <f>+IFERROR(VLOOKUP(B198,INSUMOS!A:D,3,FALSE),"")</f>
        <v>80515.59</v>
      </c>
      <c r="Q198" s="282">
        <f t="shared" ref="Q198:Q208" si="4">IFERROR(E198*P198,"")</f>
        <v>9500839.6199999992</v>
      </c>
      <c r="S198" s="272"/>
      <c r="T198" s="278"/>
    </row>
    <row r="199" spans="1:20" ht="27.6" x14ac:dyDescent="0.3">
      <c r="A199" s="191">
        <f>IFERROR(VLOOKUP(B199,INSUMOS!A:D,4,FALSE),"")</f>
        <v>471</v>
      </c>
      <c r="B199" s="163" t="str">
        <f>+IFERROR(VLOOKUP(N199,APU!J:M,4,FALSE),"")</f>
        <v>Cemento gris bulto x 50 kilogramos</v>
      </c>
      <c r="C199" s="163" t="str">
        <f>+IFERROR(VLOOKUP(B199,INSUMOS!A:D,2,FALSE),"")</f>
        <v>Bulto</v>
      </c>
      <c r="D199" s="192">
        <f>IFERROR(VLOOKUP(N199,APU!J:N,5,FALSE),"")</f>
        <v>0.13499999999999998</v>
      </c>
      <c r="E199" s="283">
        <f>IFERROR(D199*K176,"")</f>
        <v>15.929999999999998</v>
      </c>
      <c r="F199" s="278"/>
      <c r="G199" s="284"/>
      <c r="H199" s="284"/>
      <c r="I199" s="284"/>
      <c r="J199" s="284"/>
      <c r="K199" s="284"/>
      <c r="L199" s="312"/>
      <c r="N199" s="280" t="str">
        <f>+_xlfn.CONCAT("M",N194,O199)</f>
        <v>M2,032</v>
      </c>
      <c r="O199" s="280">
        <v>2</v>
      </c>
      <c r="P199" s="281">
        <f>+IFERROR(VLOOKUP(B199,INSUMOS!A:D,3,FALSE),"")</f>
        <v>50453.95</v>
      </c>
      <c r="Q199" s="282">
        <f t="shared" si="4"/>
        <v>803731.4234999998</v>
      </c>
      <c r="S199" s="272"/>
      <c r="T199" s="278"/>
    </row>
    <row r="200" spans="1:20" ht="27.6" x14ac:dyDescent="0.3">
      <c r="A200" s="191">
        <f>IFERROR(VLOOKUP(B200,INSUMOS!A:D,4,FALSE),"")</f>
        <v>67</v>
      </c>
      <c r="B200" s="163" t="str">
        <f>+IFERROR(VLOOKUP(N200,APU!J:M,4,FALSE),"")</f>
        <v>Arena fina</v>
      </c>
      <c r="C200" s="163" t="str">
        <f>+IFERROR(VLOOKUP(B200,INSUMOS!A:D,2,FALSE),"")</f>
        <v>Metro cubico</v>
      </c>
      <c r="D200" s="192">
        <f>IFERROR(VLOOKUP(N200,APU!J:N,5,FALSE),"")</f>
        <v>2.0879999999999996E-2</v>
      </c>
      <c r="E200" s="283">
        <f>IFERROR(D200*K176,"")</f>
        <v>2.4638399999999994</v>
      </c>
      <c r="F200" s="278"/>
      <c r="G200" s="284"/>
      <c r="H200" s="284"/>
      <c r="I200" s="284"/>
      <c r="J200" s="284"/>
      <c r="K200" s="284"/>
      <c r="L200" s="312"/>
      <c r="N200" s="280" t="str">
        <f>+_xlfn.CONCAT("M",N194,O200)</f>
        <v>M2,033</v>
      </c>
      <c r="O200" s="280">
        <v>3</v>
      </c>
      <c r="P200" s="281">
        <f>+IFERROR(VLOOKUP(B200,INSUMOS!A:D,3,FALSE),"")</f>
        <v>312239.94</v>
      </c>
      <c r="Q200" s="282">
        <f t="shared" si="4"/>
        <v>769309.25376959983</v>
      </c>
      <c r="S200" s="272"/>
      <c r="T200" s="278"/>
    </row>
    <row r="201" spans="1:20" x14ac:dyDescent="0.3">
      <c r="A201" s="191" t="str">
        <f>IFERROR(VLOOKUP(B201,INSUMOS!A:D,4,FALSE),"")</f>
        <v/>
      </c>
      <c r="B201" s="163">
        <f>+IFERROR(VLOOKUP(N201,APU!J:M,4,FALSE),"")</f>
        <v>0</v>
      </c>
      <c r="C201" s="163" t="str">
        <f>+IFERROR(VLOOKUP(B201,INSUMOS!A:D,2,FALSE),"")</f>
        <v/>
      </c>
      <c r="D201" s="192">
        <f>IFERROR(VLOOKUP(N201,APU!J:N,5,FALSE),"")</f>
        <v>0</v>
      </c>
      <c r="E201" s="283">
        <f>IFERROR(D201*K176,"")</f>
        <v>0</v>
      </c>
      <c r="F201" s="278"/>
      <c r="G201" s="284"/>
      <c r="H201" s="284"/>
      <c r="I201" s="284"/>
      <c r="J201" s="284"/>
      <c r="K201" s="284"/>
      <c r="L201" s="312"/>
      <c r="N201" s="280" t="str">
        <f>+_xlfn.CONCAT("M",N194,O201)</f>
        <v>M2,034</v>
      </c>
      <c r="O201" s="280">
        <v>4</v>
      </c>
      <c r="P201" s="281" t="str">
        <f>+IFERROR(VLOOKUP(B201,INSUMOS!A:D,3,FALSE),"")</f>
        <v/>
      </c>
      <c r="Q201" s="282" t="str">
        <f t="shared" si="4"/>
        <v/>
      </c>
      <c r="S201" s="272"/>
      <c r="T201" s="278"/>
    </row>
    <row r="202" spans="1:20" x14ac:dyDescent="0.3">
      <c r="A202" s="191" t="str">
        <f>IFERROR(VLOOKUP(B202,INSUMOS!A:D,4,FALSE),"")</f>
        <v/>
      </c>
      <c r="B202" s="163">
        <f>+IFERROR(VLOOKUP(N202,APU!J:M,4,FALSE),"")</f>
        <v>0</v>
      </c>
      <c r="C202" s="163" t="str">
        <f>+IFERROR(VLOOKUP(B202,INSUMOS!A:D,2,FALSE),"")</f>
        <v/>
      </c>
      <c r="D202" s="192">
        <f>IFERROR(VLOOKUP(N202,APU!J:N,5,FALSE),"")</f>
        <v>0</v>
      </c>
      <c r="E202" s="283">
        <f>IFERROR(D202*K176,"")</f>
        <v>0</v>
      </c>
      <c r="F202" s="278"/>
      <c r="G202" s="284"/>
      <c r="H202" s="284"/>
      <c r="I202" s="284"/>
      <c r="J202" s="284"/>
      <c r="K202" s="284"/>
      <c r="L202" s="312"/>
      <c r="N202" s="280" t="str">
        <f>+_xlfn.CONCAT("M",N194,O202)</f>
        <v>M2,035</v>
      </c>
      <c r="O202" s="280">
        <v>5</v>
      </c>
      <c r="P202" s="281" t="str">
        <f>+IFERROR(VLOOKUP(B202,INSUMOS!A:D,3,FALSE),"")</f>
        <v/>
      </c>
      <c r="Q202" s="282" t="str">
        <f t="shared" si="4"/>
        <v/>
      </c>
      <c r="S202" s="272"/>
      <c r="T202" s="278"/>
    </row>
    <row r="203" spans="1:20" x14ac:dyDescent="0.3">
      <c r="A203" s="191" t="str">
        <f>IFERROR(VLOOKUP(B203,INSUMOS!A:D,4,FALSE),"")</f>
        <v/>
      </c>
      <c r="B203" s="163">
        <f>+IFERROR(VLOOKUP(N203,APU!J:M,4,FALSE),"")</f>
        <v>0</v>
      </c>
      <c r="C203" s="163" t="str">
        <f>+IFERROR(VLOOKUP(B203,INSUMOS!A:D,2,FALSE),"")</f>
        <v/>
      </c>
      <c r="D203" s="192">
        <f>IFERROR(VLOOKUP(N203,APU!J:N,5,FALSE),"")</f>
        <v>0</v>
      </c>
      <c r="E203" s="285">
        <f>IFERROR(D203*K176,"")</f>
        <v>0</v>
      </c>
      <c r="F203" s="278"/>
      <c r="G203" s="284"/>
      <c r="H203" s="284"/>
      <c r="I203" s="284"/>
      <c r="J203" s="284"/>
      <c r="K203" s="284"/>
      <c r="L203" s="312"/>
      <c r="N203" s="280" t="str">
        <f>+_xlfn.CONCAT("M",N194,O203)</f>
        <v>M2,036</v>
      </c>
      <c r="O203" s="280">
        <v>6</v>
      </c>
      <c r="P203" s="281" t="str">
        <f>+IFERROR(VLOOKUP(B203,INSUMOS!A:D,3,FALSE),"")</f>
        <v/>
      </c>
      <c r="Q203" s="282" t="str">
        <f t="shared" si="4"/>
        <v/>
      </c>
      <c r="S203" s="272"/>
      <c r="T203" s="278"/>
    </row>
    <row r="204" spans="1:20" x14ac:dyDescent="0.3">
      <c r="A204" s="191" t="str">
        <f>IFERROR(VLOOKUP(B204,INSUMOS!A:D,4,FALSE),"")</f>
        <v/>
      </c>
      <c r="B204" s="163">
        <f>+IFERROR(VLOOKUP(N204,APU!J:M,4,FALSE),"")</f>
        <v>0</v>
      </c>
      <c r="C204" s="163" t="str">
        <f>+IFERROR(VLOOKUP(B204,INSUMOS!A:D,2,FALSE),"")</f>
        <v/>
      </c>
      <c r="D204" s="192">
        <f>IFERROR(VLOOKUP(N204,APU!J:N,5,FALSE),"")</f>
        <v>0</v>
      </c>
      <c r="E204" s="285">
        <f>IFERROR(D204*K176,"")</f>
        <v>0</v>
      </c>
      <c r="F204" s="278"/>
      <c r="G204" s="284"/>
      <c r="H204" s="284"/>
      <c r="I204" s="284"/>
      <c r="J204" s="284"/>
      <c r="K204" s="284"/>
      <c r="L204" s="312"/>
      <c r="N204" s="280" t="str">
        <f>+_xlfn.CONCAT("M",N194,O204)</f>
        <v>M2,037</v>
      </c>
      <c r="O204" s="280">
        <v>7</v>
      </c>
      <c r="P204" s="281" t="str">
        <f>+IFERROR(VLOOKUP(B204,INSUMOS!A:D,3,FALSE),"")</f>
        <v/>
      </c>
      <c r="Q204" s="282" t="str">
        <f t="shared" si="4"/>
        <v/>
      </c>
      <c r="S204" s="272"/>
      <c r="T204" s="278"/>
    </row>
    <row r="205" spans="1:20" x14ac:dyDescent="0.3">
      <c r="A205" s="191" t="str">
        <f>IFERROR(VLOOKUP(B205,INSUMOS!A:D,4,FALSE),"")</f>
        <v/>
      </c>
      <c r="B205" s="163">
        <f>+IFERROR(VLOOKUP(N205,APU!J:M,4,FALSE),"")</f>
        <v>0</v>
      </c>
      <c r="C205" s="163" t="str">
        <f>+IFERROR(VLOOKUP(B205,INSUMOS!A:D,2,FALSE),"")</f>
        <v/>
      </c>
      <c r="D205" s="192">
        <f>IFERROR(VLOOKUP(N205,APU!J:N,5,FALSE),"")</f>
        <v>0</v>
      </c>
      <c r="E205" s="285">
        <f>IFERROR(D205*K176,"")</f>
        <v>0</v>
      </c>
      <c r="F205" s="278"/>
      <c r="G205" s="284"/>
      <c r="H205" s="284"/>
      <c r="I205" s="284"/>
      <c r="J205" s="284"/>
      <c r="K205" s="284"/>
      <c r="L205" s="312"/>
      <c r="N205" s="280" t="str">
        <f>+_xlfn.CONCAT("M",N194,O205)</f>
        <v>M2,038</v>
      </c>
      <c r="O205" s="280">
        <v>8</v>
      </c>
      <c r="P205" s="281" t="str">
        <f>+IFERROR(VLOOKUP(B205,INSUMOS!A:D,3,FALSE),"")</f>
        <v/>
      </c>
      <c r="Q205" s="282" t="str">
        <f t="shared" si="4"/>
        <v/>
      </c>
      <c r="S205" s="272"/>
      <c r="T205" s="278"/>
    </row>
    <row r="206" spans="1:20" x14ac:dyDescent="0.3">
      <c r="A206" s="191" t="str">
        <f>IFERROR(VLOOKUP(B206,INSUMOS!A:D,4,FALSE),"")</f>
        <v/>
      </c>
      <c r="B206" s="163">
        <f>+IFERROR(VLOOKUP(N206,APU!J:M,4,FALSE),"")</f>
        <v>0</v>
      </c>
      <c r="C206" s="163" t="str">
        <f>+IFERROR(VLOOKUP(B206,INSUMOS!A:D,2,FALSE),"")</f>
        <v/>
      </c>
      <c r="D206" s="192">
        <f>IFERROR(VLOOKUP(N206,APU!J:N,5,FALSE),"")</f>
        <v>0</v>
      </c>
      <c r="E206" s="285">
        <f>IFERROR(D206*K176,"")</f>
        <v>0</v>
      </c>
      <c r="F206" s="278"/>
      <c r="G206" s="284"/>
      <c r="H206" s="284"/>
      <c r="I206" s="284"/>
      <c r="J206" s="284"/>
      <c r="K206" s="284"/>
      <c r="L206" s="312"/>
      <c r="N206" s="280" t="str">
        <f>+_xlfn.CONCAT("M",N194,O206)</f>
        <v>M2,039</v>
      </c>
      <c r="O206" s="280">
        <v>9</v>
      </c>
      <c r="P206" s="281" t="str">
        <f>+IFERROR(VLOOKUP(B206,INSUMOS!A:D,3,FALSE),"")</f>
        <v/>
      </c>
      <c r="Q206" s="282" t="str">
        <f t="shared" si="4"/>
        <v/>
      </c>
      <c r="S206" s="272"/>
      <c r="T206" s="278"/>
    </row>
    <row r="207" spans="1:20" x14ac:dyDescent="0.3">
      <c r="A207" s="191" t="str">
        <f>IFERROR(VLOOKUP(B207,INSUMOS!A:D,4,FALSE),"")</f>
        <v/>
      </c>
      <c r="B207" s="163">
        <f>+IFERROR(VLOOKUP(N207,APU!J:M,4,FALSE),"")</f>
        <v>0</v>
      </c>
      <c r="C207" s="163" t="str">
        <f>+IFERROR(VLOOKUP(B207,INSUMOS!A:D,2,FALSE),"")</f>
        <v/>
      </c>
      <c r="D207" s="192">
        <f>IFERROR(VLOOKUP(N207,APU!J:N,5,FALSE),"")</f>
        <v>0</v>
      </c>
      <c r="E207" s="285">
        <f>IFERROR(D207*K176,"")</f>
        <v>0</v>
      </c>
      <c r="F207" s="278"/>
      <c r="G207" s="284"/>
      <c r="H207" s="284"/>
      <c r="I207" s="284"/>
      <c r="J207" s="284"/>
      <c r="K207" s="284"/>
      <c r="L207" s="312"/>
      <c r="N207" s="280" t="str">
        <f>+_xlfn.CONCAT("M",N194,O207)</f>
        <v>M2,0310</v>
      </c>
      <c r="O207" s="280">
        <v>10</v>
      </c>
      <c r="P207" s="281" t="str">
        <f>+IFERROR(VLOOKUP(B207,INSUMOS!A:D,3,FALSE),"")</f>
        <v/>
      </c>
      <c r="Q207" s="282" t="str">
        <f t="shared" si="4"/>
        <v/>
      </c>
      <c r="S207" s="272"/>
      <c r="T207" s="278"/>
    </row>
    <row r="208" spans="1:20" ht="15" thickBot="1" x14ac:dyDescent="0.35">
      <c r="A208" s="286" t="str">
        <f>IFERROR(VLOOKUP(B208,INSUMOS!A:D,4,FALSE),"")</f>
        <v/>
      </c>
      <c r="B208" s="287">
        <f>+IFERROR(VLOOKUP(N208,APU!J:M,4,FALSE),"")</f>
        <v>0</v>
      </c>
      <c r="C208" s="287" t="str">
        <f>+IFERROR(VLOOKUP(B208,INSUMOS!A:D,2,FALSE),"")</f>
        <v/>
      </c>
      <c r="D208" s="288">
        <f>IFERROR(VLOOKUP(N208,APU!J:N,5,FALSE),"")</f>
        <v>0</v>
      </c>
      <c r="E208" s="289">
        <f>IFERROR(D208*K176,"")</f>
        <v>0</v>
      </c>
      <c r="F208" s="278"/>
      <c r="G208" s="284"/>
      <c r="H208" s="284"/>
      <c r="I208" s="284"/>
      <c r="J208" s="284"/>
      <c r="K208" s="284"/>
      <c r="L208" s="312"/>
      <c r="N208" s="280" t="str">
        <f>+_xlfn.CONCAT("M",N194,O208)</f>
        <v>M2,0311</v>
      </c>
      <c r="O208" s="280">
        <v>11</v>
      </c>
      <c r="P208" s="281" t="str">
        <f>+IFERROR(VLOOKUP(B208,INSUMOS!A:D,3,FALSE),"")</f>
        <v/>
      </c>
      <c r="Q208" s="282" t="str">
        <f t="shared" si="4"/>
        <v/>
      </c>
      <c r="S208" s="272"/>
      <c r="T208" s="278"/>
    </row>
    <row r="209" spans="1:20" x14ac:dyDescent="0.3">
      <c r="A209" s="471"/>
      <c r="C209" s="290"/>
      <c r="D209" s="290"/>
      <c r="E209" s="290"/>
      <c r="F209" s="278"/>
      <c r="G209" s="291"/>
      <c r="H209" s="473"/>
      <c r="I209" s="284"/>
      <c r="J209" s="272"/>
      <c r="K209" s="284"/>
      <c r="L209" s="312"/>
      <c r="N209" s="280"/>
      <c r="O209" s="280"/>
      <c r="P209" s="313"/>
      <c r="Q209" s="314"/>
      <c r="S209" s="272"/>
      <c r="T209" s="278"/>
    </row>
    <row r="210" spans="1:20" x14ac:dyDescent="0.3">
      <c r="A210" s="471"/>
      <c r="C210" s="290"/>
      <c r="D210" s="290"/>
      <c r="E210" s="290"/>
      <c r="F210" s="278"/>
      <c r="G210" s="291"/>
      <c r="H210" s="473"/>
      <c r="I210" s="284"/>
      <c r="J210" s="272"/>
      <c r="K210" s="284"/>
      <c r="L210" s="312"/>
      <c r="N210" s="280"/>
      <c r="O210" s="280"/>
      <c r="P210" s="313"/>
      <c r="Q210" s="314"/>
      <c r="S210" s="272"/>
      <c r="T210" s="278"/>
    </row>
    <row r="211" spans="1:20" x14ac:dyDescent="0.3">
      <c r="A211" s="471"/>
      <c r="C211" s="293"/>
      <c r="D211" s="293"/>
      <c r="E211" s="294"/>
      <c r="F211" s="278"/>
      <c r="G211" s="234"/>
      <c r="H211" s="234"/>
      <c r="I211" s="284"/>
      <c r="J211" s="272"/>
      <c r="K211" s="284"/>
      <c r="L211" s="312"/>
      <c r="N211" s="280"/>
      <c r="O211" s="280"/>
      <c r="P211" s="315" t="str">
        <f>+A176</f>
        <v>2,03</v>
      </c>
      <c r="Q211" s="314">
        <f>SUM(Q198:Q208)</f>
        <v>11073880.297269598</v>
      </c>
      <c r="S211" s="272"/>
      <c r="T211" s="278"/>
    </row>
    <row r="212" spans="1:20" x14ac:dyDescent="0.3">
      <c r="A212" s="471"/>
      <c r="C212" s="293"/>
      <c r="D212" s="293"/>
      <c r="E212" s="294"/>
      <c r="F212" s="316"/>
      <c r="G212" s="295"/>
      <c r="H212" s="295"/>
      <c r="I212" s="295"/>
      <c r="J212" s="296"/>
      <c r="K212" s="297"/>
      <c r="L212" s="302"/>
      <c r="S212" s="272"/>
      <c r="T212" s="278"/>
    </row>
    <row r="213" spans="1:20" x14ac:dyDescent="0.3">
      <c r="A213" s="299"/>
      <c r="B213" s="293"/>
      <c r="C213" s="293"/>
      <c r="D213" s="293"/>
      <c r="E213" s="294"/>
      <c r="F213" s="293"/>
      <c r="G213" s="300" t="str">
        <f>+'INF. GENERAL'!$B$19</f>
        <v>JAVIER JOSÉ ROSADO MENDINUETA</v>
      </c>
      <c r="H213" s="301"/>
      <c r="I213" s="301"/>
      <c r="J213" s="301"/>
      <c r="K213" s="297"/>
      <c r="L213" s="302"/>
      <c r="S213" s="272"/>
      <c r="T213" s="278"/>
    </row>
    <row r="214" spans="1:20" x14ac:dyDescent="0.3">
      <c r="A214" s="299"/>
      <c r="B214" s="293"/>
      <c r="C214" s="293"/>
      <c r="D214" s="293"/>
      <c r="E214" s="294"/>
      <c r="F214" s="293"/>
      <c r="G214" s="303" t="str">
        <f>+'INF. GENERAL'!$B$20</f>
        <v>PROFESIONAL APOYO</v>
      </c>
      <c r="H214" s="301"/>
      <c r="I214" s="301"/>
      <c r="J214" s="301"/>
      <c r="K214" s="297"/>
      <c r="L214" s="302"/>
      <c r="S214" s="272"/>
      <c r="T214" s="278"/>
    </row>
    <row r="215" spans="1:20" ht="15" thickBot="1" x14ac:dyDescent="0.35">
      <c r="A215" s="475"/>
      <c r="B215" s="476"/>
      <c r="C215" s="476"/>
      <c r="D215" s="476"/>
      <c r="E215" s="477"/>
      <c r="F215" s="476"/>
      <c r="G215" s="318" t="str">
        <f>+'INF. GENERAL'!$B$21</f>
        <v>MP: 08700-52350</v>
      </c>
      <c r="H215" s="319"/>
      <c r="I215" s="319"/>
      <c r="J215" s="319"/>
      <c r="K215" s="478"/>
      <c r="L215" s="479"/>
      <c r="S215" s="272"/>
      <c r="T215" s="278"/>
    </row>
    <row r="216" spans="1:20" ht="18.600000000000001" thickBot="1" x14ac:dyDescent="0.35">
      <c r="A216" s="320" t="s">
        <v>37</v>
      </c>
      <c r="B216" s="201" t="s">
        <v>38</v>
      </c>
      <c r="C216" s="321"/>
      <c r="D216" s="321"/>
      <c r="E216" s="321"/>
      <c r="F216" s="321"/>
      <c r="G216" s="321"/>
      <c r="H216" s="321"/>
      <c r="I216" s="321"/>
      <c r="J216" s="321"/>
      <c r="K216" s="321"/>
      <c r="L216" s="322" t="s">
        <v>37</v>
      </c>
      <c r="S216" s="272"/>
      <c r="T216" s="278"/>
    </row>
    <row r="217" spans="1:20" ht="15" thickBot="1" x14ac:dyDescent="0.35">
      <c r="A217" s="235" t="s">
        <v>37</v>
      </c>
      <c r="B217" s="236"/>
      <c r="C217" s="236"/>
      <c r="D217" s="236"/>
      <c r="E217" s="237"/>
      <c r="F217" s="236"/>
      <c r="G217" s="238"/>
      <c r="H217" s="236"/>
      <c r="I217" s="236"/>
      <c r="J217" s="236"/>
      <c r="K217" s="236"/>
      <c r="L217" s="304" t="s">
        <v>37</v>
      </c>
      <c r="S217" s="272"/>
      <c r="T217" s="278"/>
    </row>
    <row r="218" spans="1:20" ht="15" thickBot="1" x14ac:dyDescent="0.35">
      <c r="A218" s="240" t="s">
        <v>39</v>
      </c>
      <c r="B218" s="241" t="s">
        <v>21</v>
      </c>
      <c r="C218" s="242" t="s">
        <v>20</v>
      </c>
      <c r="D218" s="243"/>
      <c r="E218" s="243"/>
      <c r="F218" s="243"/>
      <c r="G218" s="244"/>
      <c r="H218" s="325" t="s">
        <v>40</v>
      </c>
      <c r="I218" s="326"/>
      <c r="J218" s="327"/>
      <c r="K218" s="242" t="s">
        <v>41</v>
      </c>
      <c r="L218" s="244"/>
      <c r="M218" s="328"/>
      <c r="N218" s="323"/>
      <c r="O218" s="323"/>
      <c r="P218" s="323"/>
      <c r="Q218" s="323"/>
      <c r="R218" s="323"/>
      <c r="S218" s="335"/>
      <c r="T218" s="324"/>
    </row>
    <row r="219" spans="1:20" ht="28.8" thickBot="1" x14ac:dyDescent="0.35">
      <c r="A219" s="474" t="s">
        <v>2246</v>
      </c>
      <c r="B219" s="249" t="str">
        <f>VLOOKUP(A219,PRESUPUESTO!$A$3:$F$973,5,FALSE)</f>
        <v>ml</v>
      </c>
      <c r="C219" s="42" t="str">
        <f>VLOOKUP(A219,PRESUPUESTO!$A$3:$F$973,4,FALSE)</f>
        <v>Suministro e instalacion tuberia de alcantarillado corrugada 8"</v>
      </c>
      <c r="D219" s="43"/>
      <c r="E219" s="44"/>
      <c r="F219" s="45"/>
      <c r="G219" s="46"/>
      <c r="H219" s="250" t="str">
        <f>VLOOKUP(A219,PRESUPUESTO!$A$3:$F$973,3,FALSE)</f>
        <v>EXCAVACIONES, RELLENOS Y SISTEMA DE DRENAJE</v>
      </c>
      <c r="I219" s="251"/>
      <c r="J219" s="252"/>
      <c r="K219" s="253">
        <f>ROUND(+L237,2)</f>
        <v>99</v>
      </c>
      <c r="L219" s="306"/>
      <c r="S219" s="272"/>
      <c r="T219" s="278"/>
    </row>
    <row r="220" spans="1:20" ht="15" thickBot="1" x14ac:dyDescent="0.35">
      <c r="A220" s="242" t="s">
        <v>42</v>
      </c>
      <c r="B220" s="243"/>
      <c r="C220" s="243"/>
      <c r="D220" s="243"/>
      <c r="E220" s="243"/>
      <c r="F220" s="244"/>
      <c r="G220" s="580" t="s">
        <v>43</v>
      </c>
      <c r="H220" s="582" t="s">
        <v>44</v>
      </c>
      <c r="I220" s="583"/>
      <c r="J220" s="583"/>
      <c r="K220" s="584"/>
      <c r="L220" s="580" t="s">
        <v>45</v>
      </c>
      <c r="S220" s="272"/>
      <c r="T220" s="278"/>
    </row>
    <row r="221" spans="1:20" ht="15" thickBot="1" x14ac:dyDescent="0.35">
      <c r="A221" s="585" t="e" vm="2">
        <v>#VALUE!</v>
      </c>
      <c r="B221" s="586"/>
      <c r="C221" s="586"/>
      <c r="D221" s="586"/>
      <c r="E221" s="586"/>
      <c r="F221" s="587"/>
      <c r="G221" s="581"/>
      <c r="H221" s="255" t="s">
        <v>46</v>
      </c>
      <c r="I221" s="255" t="s">
        <v>47</v>
      </c>
      <c r="J221" s="255" t="s">
        <v>48</v>
      </c>
      <c r="K221" s="256" t="s">
        <v>49</v>
      </c>
      <c r="L221" s="581"/>
      <c r="S221" s="272"/>
      <c r="T221" s="278"/>
    </row>
    <row r="222" spans="1:20" ht="27.6" x14ac:dyDescent="0.3">
      <c r="A222" s="588"/>
      <c r="B222" s="579"/>
      <c r="C222" s="579"/>
      <c r="D222" s="579"/>
      <c r="E222" s="579"/>
      <c r="F222" s="589"/>
      <c r="G222" s="47" t="str">
        <f>+C219</f>
        <v>Suministro e instalacion tuberia de alcantarillado corrugada 8"</v>
      </c>
      <c r="H222" s="257">
        <v>99</v>
      </c>
      <c r="I222" s="257"/>
      <c r="J222" s="257"/>
      <c r="K222" s="257">
        <v>1</v>
      </c>
      <c r="L222" s="307">
        <f>+IF(B219="m2",H222*I222*K222,IF(B219="m3",H222*I222*J222*K222,IF(B219="ml",H222*K222,IF(B219="UND",K222,IF(B219="GLOBAL",K222,"")))))</f>
        <v>99</v>
      </c>
      <c r="S222" s="272"/>
      <c r="T222" s="278"/>
    </row>
    <row r="223" spans="1:20" x14ac:dyDescent="0.3">
      <c r="A223" s="588"/>
      <c r="B223" s="579"/>
      <c r="C223" s="579"/>
      <c r="D223" s="579"/>
      <c r="E223" s="579"/>
      <c r="F223" s="589"/>
      <c r="G223" s="47"/>
      <c r="H223" s="259"/>
      <c r="I223" s="259"/>
      <c r="J223" s="259"/>
      <c r="K223" s="259"/>
      <c r="L223" s="308">
        <f>+IF(B219="m2",H223*I223*K223,IF(B219="m3",H223*I223*J223*K223,IF(B219="ml",H223*K223,IF(B219="UND",K223,IF(B219="GLOBAL",K223,"")))))</f>
        <v>0</v>
      </c>
      <c r="S223" s="272"/>
      <c r="T223" s="278"/>
    </row>
    <row r="224" spans="1:20" x14ac:dyDescent="0.3">
      <c r="A224" s="588"/>
      <c r="B224" s="579"/>
      <c r="C224" s="579"/>
      <c r="D224" s="579"/>
      <c r="E224" s="579"/>
      <c r="F224" s="589"/>
      <c r="G224" s="47"/>
      <c r="H224" s="259"/>
      <c r="I224" s="259"/>
      <c r="J224" s="259"/>
      <c r="K224" s="259"/>
      <c r="L224" s="308">
        <f>+IF(B219="m2",H224*I224*K224,IF(B219="m3",H224*I224*J224*K224,IF(B219="ml",H224*K224,IF(B219="UND",K224,IF(B219="GLOBAL",K224,"")))))</f>
        <v>0</v>
      </c>
      <c r="S224" s="272"/>
      <c r="T224" s="278"/>
    </row>
    <row r="225" spans="1:20" x14ac:dyDescent="0.3">
      <c r="A225" s="588"/>
      <c r="B225" s="579"/>
      <c r="C225" s="579"/>
      <c r="D225" s="579"/>
      <c r="E225" s="579"/>
      <c r="F225" s="589"/>
      <c r="G225" s="47"/>
      <c r="H225" s="259"/>
      <c r="I225" s="259"/>
      <c r="J225" s="259"/>
      <c r="K225" s="259"/>
      <c r="L225" s="308">
        <f>+IF(B219="m2",H225*I225*K225,IF(B219="m3",H225*I225*J225*K225,IF(B219="ml",H225*K225,IF(B219="UND",K225,IF(B219="GLOBAL",K225,"")))))</f>
        <v>0</v>
      </c>
      <c r="S225" s="272"/>
      <c r="T225" s="278"/>
    </row>
    <row r="226" spans="1:20" x14ac:dyDescent="0.3">
      <c r="A226" s="588"/>
      <c r="B226" s="579"/>
      <c r="C226" s="579"/>
      <c r="D226" s="579"/>
      <c r="E226" s="579"/>
      <c r="F226" s="589"/>
      <c r="G226" s="47"/>
      <c r="H226" s="259"/>
      <c r="I226" s="259"/>
      <c r="J226" s="259"/>
      <c r="K226" s="259"/>
      <c r="L226" s="308">
        <f>+IF(B219="m2",H226*I226*K226,IF(B219="m3",H226*I226*J226*K226,IF(B219="ml",H226*K226,IF(B219="UND",K226,IF(B219="GLOBAL",K226,"")))))</f>
        <v>0</v>
      </c>
      <c r="S226" s="272"/>
      <c r="T226" s="278"/>
    </row>
    <row r="227" spans="1:20" x14ac:dyDescent="0.3">
      <c r="A227" s="588"/>
      <c r="B227" s="579"/>
      <c r="C227" s="579"/>
      <c r="D227" s="579"/>
      <c r="E227" s="579"/>
      <c r="F227" s="589"/>
      <c r="G227" s="47"/>
      <c r="H227" s="259"/>
      <c r="I227" s="259"/>
      <c r="J227" s="259"/>
      <c r="K227" s="259"/>
      <c r="L227" s="308">
        <f>+IF(B219="m2",H227*I227*K227,IF(B219="m3",H227*I227*J227*K227,IF(B219="ml",H227*K227,IF(B219="UND",K227,IF(B219="GLOBAL",K227,"")))))</f>
        <v>0</v>
      </c>
      <c r="S227" s="272"/>
      <c r="T227" s="278"/>
    </row>
    <row r="228" spans="1:20" x14ac:dyDescent="0.3">
      <c r="A228" s="588"/>
      <c r="B228" s="579"/>
      <c r="C228" s="579"/>
      <c r="D228" s="579"/>
      <c r="E228" s="579"/>
      <c r="F228" s="589"/>
      <c r="G228" s="47"/>
      <c r="H228" s="259"/>
      <c r="I228" s="259"/>
      <c r="J228" s="259"/>
      <c r="K228" s="259"/>
      <c r="L228" s="308">
        <f>+IF(B219="m2",H228*I228*K228,IF(B219="m3",H228*I228*J228*K228,IF(B219="ml",H228*K228,IF(B219="UND",K228,IF(B219="GLOBAL",K228,"")))))</f>
        <v>0</v>
      </c>
      <c r="S228" s="272"/>
      <c r="T228" s="278"/>
    </row>
    <row r="229" spans="1:20" x14ac:dyDescent="0.3">
      <c r="A229" s="588"/>
      <c r="B229" s="579"/>
      <c r="C229" s="579"/>
      <c r="D229" s="579"/>
      <c r="E229" s="579"/>
      <c r="F229" s="589"/>
      <c r="G229" s="47"/>
      <c r="H229" s="259"/>
      <c r="I229" s="259"/>
      <c r="J229" s="259"/>
      <c r="K229" s="259"/>
      <c r="L229" s="308">
        <f>+IF(B219="m2",H229*I229*K229,IF(B219="m3",H229*I229*J229*K229,IF(B219="ml",H229*K229,IF(B219="UND",K229,IF(B219="GLOBAL",K229,"")))))</f>
        <v>0</v>
      </c>
      <c r="S229" s="272"/>
      <c r="T229" s="278"/>
    </row>
    <row r="230" spans="1:20" x14ac:dyDescent="0.3">
      <c r="A230" s="588"/>
      <c r="B230" s="579"/>
      <c r="C230" s="579"/>
      <c r="D230" s="579"/>
      <c r="E230" s="579"/>
      <c r="F230" s="589"/>
      <c r="G230" s="47"/>
      <c r="H230" s="259"/>
      <c r="I230" s="259"/>
      <c r="J230" s="259"/>
      <c r="K230" s="259"/>
      <c r="L230" s="308">
        <f>+IF(B219="m2",H230*I230*K230,IF(B219="m3",H230*I230*J230*K230,IF(B219="ml",H230*K230,IF(B219="UND",K230,IF(B219="GLOBAL",K230,"")))))</f>
        <v>0</v>
      </c>
      <c r="S230" s="272"/>
      <c r="T230" s="278"/>
    </row>
    <row r="231" spans="1:20" x14ac:dyDescent="0.3">
      <c r="A231" s="588"/>
      <c r="B231" s="579"/>
      <c r="C231" s="579"/>
      <c r="D231" s="579"/>
      <c r="E231" s="579"/>
      <c r="F231" s="589"/>
      <c r="G231" s="47"/>
      <c r="H231" s="259"/>
      <c r="I231" s="259"/>
      <c r="J231" s="259"/>
      <c r="K231" s="259"/>
      <c r="L231" s="308">
        <f>+IF(B219="m2",H231*I231*K231,IF(B219="m3",H231*I231*J231*K231,IF(B219="ml",H231*K231,IF(B219="UND",K231,IF(B219="GLOBAL",K231,"")))))</f>
        <v>0</v>
      </c>
      <c r="S231" s="272"/>
      <c r="T231" s="278"/>
    </row>
    <row r="232" spans="1:20" x14ac:dyDescent="0.3">
      <c r="A232" s="588"/>
      <c r="B232" s="579"/>
      <c r="C232" s="579"/>
      <c r="D232" s="579"/>
      <c r="E232" s="579"/>
      <c r="F232" s="589"/>
      <c r="G232" s="47"/>
      <c r="H232" s="259"/>
      <c r="I232" s="259"/>
      <c r="J232" s="259"/>
      <c r="K232" s="259"/>
      <c r="L232" s="308">
        <f>+IF(B219="m2",H232*I232*K232,IF(B219="m3",H232*I232*J232*K232,IF(B219="ml",H232*K232,IF(B219="UND",K232,IF(B219="GLOBAL",K232,"")))))</f>
        <v>0</v>
      </c>
      <c r="S232" s="272"/>
      <c r="T232" s="278"/>
    </row>
    <row r="233" spans="1:20" x14ac:dyDescent="0.3">
      <c r="A233" s="588"/>
      <c r="B233" s="579"/>
      <c r="C233" s="579"/>
      <c r="D233" s="579"/>
      <c r="E233" s="579"/>
      <c r="F233" s="589"/>
      <c r="G233" s="47"/>
      <c r="H233" s="259"/>
      <c r="I233" s="259"/>
      <c r="J233" s="259"/>
      <c r="K233" s="259"/>
      <c r="L233" s="308">
        <f>+IF(B219="m2",H233*I233*K233,IF(B219="m3",H233*I233*J233*K233,IF(B219="ml",H233*K233,IF(B219="UND",K233,IF(B219="GLOBAL",K233,"")))))</f>
        <v>0</v>
      </c>
      <c r="S233" s="272"/>
      <c r="T233" s="278"/>
    </row>
    <row r="234" spans="1:20" x14ac:dyDescent="0.3">
      <c r="A234" s="588"/>
      <c r="B234" s="579"/>
      <c r="C234" s="579"/>
      <c r="D234" s="579"/>
      <c r="E234" s="579"/>
      <c r="F234" s="589"/>
      <c r="G234" s="47"/>
      <c r="H234" s="259"/>
      <c r="I234" s="259"/>
      <c r="J234" s="259"/>
      <c r="K234" s="259"/>
      <c r="L234" s="308">
        <f>+IF(B219="m2",H234*I234*K234,IF(B219="m3",H234*I234*J234*K234,IF(B219="ml",H234*K234,IF(B219="UND",K234,IF(B219="GLOBAL",K234,"")))))</f>
        <v>0</v>
      </c>
      <c r="S234" s="272"/>
      <c r="T234" s="278"/>
    </row>
    <row r="235" spans="1:20" x14ac:dyDescent="0.3">
      <c r="A235" s="588"/>
      <c r="B235" s="579"/>
      <c r="C235" s="579"/>
      <c r="D235" s="579"/>
      <c r="E235" s="579"/>
      <c r="F235" s="589"/>
      <c r="G235" s="47"/>
      <c r="H235" s="259"/>
      <c r="I235" s="259"/>
      <c r="J235" s="259"/>
      <c r="K235" s="259"/>
      <c r="L235" s="308">
        <f>+IF(B219="m2",H235*I235*K235,IF(B219="m3",H235*I235*J235*K235,IF(B219="ml",H235*K235,IF(B219="UND",K235,IF(B219="GLOBAL",K235,"")))))</f>
        <v>0</v>
      </c>
      <c r="S235" s="272"/>
      <c r="T235" s="278"/>
    </row>
    <row r="236" spans="1:20" x14ac:dyDescent="0.3">
      <c r="A236" s="588"/>
      <c r="B236" s="579"/>
      <c r="C236" s="579"/>
      <c r="D236" s="579"/>
      <c r="E236" s="579"/>
      <c r="F236" s="589"/>
      <c r="G236" s="47"/>
      <c r="H236" s="259"/>
      <c r="I236" s="259"/>
      <c r="J236" s="259"/>
      <c r="K236" s="259"/>
      <c r="L236" s="308">
        <f>+IF(B219="m2",H236*I236*K236,IF(B219="m3",H236*I236*J236*K236,IF(B219="ml",H236*K236,IF(B219="UND",K236,IF(B219="GLOBAL",K236,"")))))</f>
        <v>0</v>
      </c>
      <c r="S236" s="272"/>
      <c r="T236" s="278"/>
    </row>
    <row r="237" spans="1:20" ht="15" thickBot="1" x14ac:dyDescent="0.35">
      <c r="A237" s="590"/>
      <c r="B237" s="591"/>
      <c r="C237" s="591"/>
      <c r="D237" s="591"/>
      <c r="E237" s="591"/>
      <c r="F237" s="592"/>
      <c r="G237" s="261" t="s">
        <v>31</v>
      </c>
      <c r="H237" s="262"/>
      <c r="I237" s="262"/>
      <c r="J237" s="262"/>
      <c r="K237" s="262"/>
      <c r="L237" s="309">
        <f>SUM(L222:L236)</f>
        <v>99</v>
      </c>
      <c r="N237" s="264" t="str">
        <f>+A219</f>
        <v>2,04</v>
      </c>
      <c r="O237" s="331">
        <f>+L237</f>
        <v>99</v>
      </c>
      <c r="S237" s="272"/>
      <c r="T237" s="278"/>
    </row>
    <row r="238" spans="1:20" ht="15" thickBot="1" x14ac:dyDescent="0.35">
      <c r="A238" s="265"/>
      <c r="B238" s="266"/>
      <c r="C238" s="266"/>
      <c r="D238" s="266"/>
      <c r="E238" s="267"/>
      <c r="L238" s="310"/>
      <c r="S238" s="272"/>
      <c r="T238" s="278"/>
    </row>
    <row r="239" spans="1:20" ht="15" thickBot="1" x14ac:dyDescent="0.35">
      <c r="A239" s="269" t="s">
        <v>50</v>
      </c>
      <c r="B239" s="270"/>
      <c r="C239" s="270"/>
      <c r="D239" s="270"/>
      <c r="E239" s="271"/>
      <c r="F239" s="278"/>
      <c r="G239" s="278"/>
      <c r="H239" s="278"/>
      <c r="I239" s="278"/>
      <c r="J239" s="272"/>
      <c r="K239" s="272"/>
      <c r="L239" s="311"/>
      <c r="S239" s="272"/>
      <c r="T239" s="278"/>
    </row>
    <row r="240" spans="1:20" ht="15" thickBot="1" x14ac:dyDescent="0.35">
      <c r="A240" s="274" t="s">
        <v>18</v>
      </c>
      <c r="B240" s="275" t="s">
        <v>51</v>
      </c>
      <c r="C240" s="275" t="s">
        <v>21</v>
      </c>
      <c r="D240" s="275" t="s">
        <v>52</v>
      </c>
      <c r="E240" s="276" t="s">
        <v>22</v>
      </c>
      <c r="F240" s="277"/>
      <c r="G240" s="284"/>
      <c r="H240" s="284"/>
      <c r="I240" s="284"/>
      <c r="J240" s="284"/>
      <c r="K240" s="284"/>
      <c r="L240" s="312"/>
      <c r="S240" s="272"/>
      <c r="T240" s="278"/>
    </row>
    <row r="241" spans="1:20" ht="27.6" x14ac:dyDescent="0.3">
      <c r="A241" s="191">
        <f>IFERROR(VLOOKUP(B241,INSUMOS!A:D,4,FALSE),"")</f>
        <v>1253</v>
      </c>
      <c r="B241" s="163" t="str">
        <f>+IFERROR(VLOOKUP(N241,APU!J:M,4,FALSE),"")</f>
        <v>Tuberia PVC Alcantarillado - Novafort 8" x 6m</v>
      </c>
      <c r="C241" s="163" t="str">
        <f>+IFERROR(VLOOKUP(B241,INSUMOS!A:D,2,FALSE),"")</f>
        <v>Unidad</v>
      </c>
      <c r="D241" s="192">
        <f>IFERROR(VLOOKUP(N241,APU!J:N,5,FALSE),"")</f>
        <v>0.17166666666666666</v>
      </c>
      <c r="E241" s="279">
        <f>IFERROR(D241*K219,"")</f>
        <v>16.995000000000001</v>
      </c>
      <c r="F241" s="278"/>
      <c r="G241" s="284"/>
      <c r="H241" s="284"/>
      <c r="I241" s="284"/>
      <c r="J241" s="284"/>
      <c r="K241" s="284"/>
      <c r="L241" s="312"/>
      <c r="N241" s="280" t="str">
        <f>+_xlfn.CONCAT("M",N237,O241)</f>
        <v>M2,041</v>
      </c>
      <c r="O241" s="280">
        <v>1</v>
      </c>
      <c r="P241" s="281">
        <f>+IFERROR(VLOOKUP(B241,INSUMOS!A:D,3,FALSE),"")</f>
        <v>380642.01</v>
      </c>
      <c r="Q241" s="282">
        <f t="shared" ref="Q241:Q251" si="5">IFERROR(E241*P241,"")</f>
        <v>6469010.959950001</v>
      </c>
      <c r="S241" s="272"/>
      <c r="T241" s="278"/>
    </row>
    <row r="242" spans="1:20" x14ac:dyDescent="0.3">
      <c r="A242" s="191" t="str">
        <f>IFERROR(VLOOKUP(B242,INSUMOS!A:D,4,FALSE),"")</f>
        <v/>
      </c>
      <c r="B242" s="163">
        <f>+IFERROR(VLOOKUP(N242,APU!J:M,4,FALSE),"")</f>
        <v>0</v>
      </c>
      <c r="C242" s="163" t="str">
        <f>+IFERROR(VLOOKUP(B242,INSUMOS!A:D,2,FALSE),"")</f>
        <v/>
      </c>
      <c r="D242" s="192">
        <f>IFERROR(VLOOKUP(N242,APU!J:N,5,FALSE),"")</f>
        <v>0</v>
      </c>
      <c r="E242" s="283">
        <f>IFERROR(D242*K219,"")</f>
        <v>0</v>
      </c>
      <c r="F242" s="278"/>
      <c r="G242" s="284"/>
      <c r="H242" s="284"/>
      <c r="I242" s="284"/>
      <c r="J242" s="284"/>
      <c r="K242" s="284"/>
      <c r="L242" s="312"/>
      <c r="N242" s="280" t="str">
        <f>+_xlfn.CONCAT("M",N237,O242)</f>
        <v>M2,042</v>
      </c>
      <c r="O242" s="280">
        <v>2</v>
      </c>
      <c r="P242" s="281" t="str">
        <f>+IFERROR(VLOOKUP(B242,INSUMOS!A:D,3,FALSE),"")</f>
        <v/>
      </c>
      <c r="Q242" s="282" t="str">
        <f t="shared" si="5"/>
        <v/>
      </c>
      <c r="S242" s="272"/>
      <c r="T242" s="278"/>
    </row>
    <row r="243" spans="1:20" x14ac:dyDescent="0.3">
      <c r="A243" s="191" t="str">
        <f>IFERROR(VLOOKUP(B243,INSUMOS!A:D,4,FALSE),"")</f>
        <v/>
      </c>
      <c r="B243" s="163">
        <f>+IFERROR(VLOOKUP(N243,APU!J:M,4,FALSE),"")</f>
        <v>0</v>
      </c>
      <c r="C243" s="163" t="str">
        <f>+IFERROR(VLOOKUP(B243,INSUMOS!A:D,2,FALSE),"")</f>
        <v/>
      </c>
      <c r="D243" s="192">
        <f>IFERROR(VLOOKUP(N243,APU!J:N,5,FALSE),"")</f>
        <v>0</v>
      </c>
      <c r="E243" s="283">
        <f>IFERROR(D243*K219,"")</f>
        <v>0</v>
      </c>
      <c r="F243" s="278"/>
      <c r="G243" s="284"/>
      <c r="H243" s="284"/>
      <c r="I243" s="284"/>
      <c r="J243" s="284"/>
      <c r="K243" s="284"/>
      <c r="L243" s="312"/>
      <c r="N243" s="280" t="str">
        <f>+_xlfn.CONCAT("M",N237,O243)</f>
        <v>M2,043</v>
      </c>
      <c r="O243" s="280">
        <v>3</v>
      </c>
      <c r="P243" s="281" t="str">
        <f>+IFERROR(VLOOKUP(B243,INSUMOS!A:D,3,FALSE),"")</f>
        <v/>
      </c>
      <c r="Q243" s="282" t="str">
        <f t="shared" si="5"/>
        <v/>
      </c>
      <c r="S243" s="272"/>
      <c r="T243" s="278"/>
    </row>
    <row r="244" spans="1:20" x14ac:dyDescent="0.3">
      <c r="A244" s="191" t="str">
        <f>IFERROR(VLOOKUP(B244,INSUMOS!A:D,4,FALSE),"")</f>
        <v/>
      </c>
      <c r="B244" s="163">
        <f>+IFERROR(VLOOKUP(N244,APU!J:M,4,FALSE),"")</f>
        <v>0</v>
      </c>
      <c r="C244" s="163" t="str">
        <f>+IFERROR(VLOOKUP(B244,INSUMOS!A:D,2,FALSE),"")</f>
        <v/>
      </c>
      <c r="D244" s="192">
        <f>IFERROR(VLOOKUP(N244,APU!J:N,5,FALSE),"")</f>
        <v>0</v>
      </c>
      <c r="E244" s="283">
        <f>IFERROR(D244*K219,"")</f>
        <v>0</v>
      </c>
      <c r="F244" s="278"/>
      <c r="G244" s="284"/>
      <c r="H244" s="284"/>
      <c r="I244" s="284"/>
      <c r="J244" s="284"/>
      <c r="K244" s="284"/>
      <c r="L244" s="312"/>
      <c r="N244" s="280" t="str">
        <f>+_xlfn.CONCAT("M",N237,O244)</f>
        <v>M2,044</v>
      </c>
      <c r="O244" s="280">
        <v>4</v>
      </c>
      <c r="P244" s="281" t="str">
        <f>+IFERROR(VLOOKUP(B244,INSUMOS!A:D,3,FALSE),"")</f>
        <v/>
      </c>
      <c r="Q244" s="282" t="str">
        <f t="shared" si="5"/>
        <v/>
      </c>
      <c r="S244" s="272"/>
      <c r="T244" s="278"/>
    </row>
    <row r="245" spans="1:20" x14ac:dyDescent="0.3">
      <c r="A245" s="191" t="str">
        <f>IFERROR(VLOOKUP(B245,INSUMOS!A:D,4,FALSE),"")</f>
        <v/>
      </c>
      <c r="B245" s="163">
        <f>+IFERROR(VLOOKUP(N245,APU!J:M,4,FALSE),"")</f>
        <v>0</v>
      </c>
      <c r="C245" s="163" t="str">
        <f>+IFERROR(VLOOKUP(B245,INSUMOS!A:D,2,FALSE),"")</f>
        <v/>
      </c>
      <c r="D245" s="192">
        <f>IFERROR(VLOOKUP(N245,APU!J:N,5,FALSE),"")</f>
        <v>0</v>
      </c>
      <c r="E245" s="283">
        <f>IFERROR(D245*K219,"")</f>
        <v>0</v>
      </c>
      <c r="F245" s="278"/>
      <c r="G245" s="284"/>
      <c r="H245" s="284"/>
      <c r="I245" s="284"/>
      <c r="J245" s="284"/>
      <c r="K245" s="284"/>
      <c r="L245" s="312"/>
      <c r="N245" s="280" t="str">
        <f>+_xlfn.CONCAT("M",N237,O245)</f>
        <v>M2,045</v>
      </c>
      <c r="O245" s="280">
        <v>5</v>
      </c>
      <c r="P245" s="281" t="str">
        <f>+IFERROR(VLOOKUP(B245,INSUMOS!A:D,3,FALSE),"")</f>
        <v/>
      </c>
      <c r="Q245" s="282" t="str">
        <f t="shared" si="5"/>
        <v/>
      </c>
      <c r="S245" s="272"/>
      <c r="T245" s="278"/>
    </row>
    <row r="246" spans="1:20" x14ac:dyDescent="0.3">
      <c r="A246" s="191" t="str">
        <f>IFERROR(VLOOKUP(B246,INSUMOS!A:D,4,FALSE),"")</f>
        <v/>
      </c>
      <c r="B246" s="163">
        <f>+IFERROR(VLOOKUP(N246,APU!J:M,4,FALSE),"")</f>
        <v>0</v>
      </c>
      <c r="C246" s="163" t="str">
        <f>+IFERROR(VLOOKUP(B246,INSUMOS!A:D,2,FALSE),"")</f>
        <v/>
      </c>
      <c r="D246" s="192">
        <f>IFERROR(VLOOKUP(N246,APU!J:N,5,FALSE),"")</f>
        <v>0</v>
      </c>
      <c r="E246" s="285">
        <f>IFERROR(D246*K219,"")</f>
        <v>0</v>
      </c>
      <c r="F246" s="278"/>
      <c r="G246" s="284"/>
      <c r="H246" s="284"/>
      <c r="I246" s="284"/>
      <c r="J246" s="284"/>
      <c r="K246" s="284"/>
      <c r="L246" s="312"/>
      <c r="N246" s="280" t="str">
        <f>+_xlfn.CONCAT("M",N237,O246)</f>
        <v>M2,046</v>
      </c>
      <c r="O246" s="280">
        <v>6</v>
      </c>
      <c r="P246" s="281" t="str">
        <f>+IFERROR(VLOOKUP(B246,INSUMOS!A:D,3,FALSE),"")</f>
        <v/>
      </c>
      <c r="Q246" s="282" t="str">
        <f t="shared" si="5"/>
        <v/>
      </c>
      <c r="S246" s="272"/>
      <c r="T246" s="278"/>
    </row>
    <row r="247" spans="1:20" x14ac:dyDescent="0.3">
      <c r="A247" s="191" t="str">
        <f>IFERROR(VLOOKUP(B247,INSUMOS!A:D,4,FALSE),"")</f>
        <v/>
      </c>
      <c r="B247" s="163">
        <f>+IFERROR(VLOOKUP(N247,APU!J:M,4,FALSE),"")</f>
        <v>0</v>
      </c>
      <c r="C247" s="163" t="str">
        <f>+IFERROR(VLOOKUP(B247,INSUMOS!A:D,2,FALSE),"")</f>
        <v/>
      </c>
      <c r="D247" s="192">
        <f>IFERROR(VLOOKUP(N247,APU!J:N,5,FALSE),"")</f>
        <v>0</v>
      </c>
      <c r="E247" s="285">
        <f>IFERROR(D247*K219,"")</f>
        <v>0</v>
      </c>
      <c r="F247" s="278"/>
      <c r="G247" s="284"/>
      <c r="H247" s="284"/>
      <c r="I247" s="284"/>
      <c r="J247" s="284"/>
      <c r="K247" s="284"/>
      <c r="L247" s="312"/>
      <c r="N247" s="280" t="str">
        <f>+_xlfn.CONCAT("M",N237,O247)</f>
        <v>M2,047</v>
      </c>
      <c r="O247" s="280">
        <v>7</v>
      </c>
      <c r="P247" s="281" t="str">
        <f>+IFERROR(VLOOKUP(B247,INSUMOS!A:D,3,FALSE),"")</f>
        <v/>
      </c>
      <c r="Q247" s="282" t="str">
        <f t="shared" si="5"/>
        <v/>
      </c>
      <c r="S247" s="272"/>
      <c r="T247" s="278"/>
    </row>
    <row r="248" spans="1:20" x14ac:dyDescent="0.3">
      <c r="A248" s="191" t="str">
        <f>IFERROR(VLOOKUP(B248,INSUMOS!A:D,4,FALSE),"")</f>
        <v/>
      </c>
      <c r="B248" s="163">
        <f>+IFERROR(VLOOKUP(N248,APU!J:M,4,FALSE),"")</f>
        <v>0</v>
      </c>
      <c r="C248" s="163" t="str">
        <f>+IFERROR(VLOOKUP(B248,INSUMOS!A:D,2,FALSE),"")</f>
        <v/>
      </c>
      <c r="D248" s="192">
        <f>IFERROR(VLOOKUP(N248,APU!J:N,5,FALSE),"")</f>
        <v>0</v>
      </c>
      <c r="E248" s="285">
        <f>IFERROR(D248*K219,"")</f>
        <v>0</v>
      </c>
      <c r="F248" s="278"/>
      <c r="G248" s="284"/>
      <c r="H248" s="284"/>
      <c r="I248" s="284"/>
      <c r="J248" s="284"/>
      <c r="K248" s="284"/>
      <c r="L248" s="312"/>
      <c r="N248" s="280" t="str">
        <f>+_xlfn.CONCAT("M",N237,O248)</f>
        <v>M2,048</v>
      </c>
      <c r="O248" s="280">
        <v>8</v>
      </c>
      <c r="P248" s="281" t="str">
        <f>+IFERROR(VLOOKUP(B248,INSUMOS!A:D,3,FALSE),"")</f>
        <v/>
      </c>
      <c r="Q248" s="282" t="str">
        <f t="shared" si="5"/>
        <v/>
      </c>
      <c r="S248" s="272"/>
      <c r="T248" s="278"/>
    </row>
    <row r="249" spans="1:20" x14ac:dyDescent="0.3">
      <c r="A249" s="191" t="str">
        <f>IFERROR(VLOOKUP(B249,INSUMOS!A:D,4,FALSE),"")</f>
        <v/>
      </c>
      <c r="B249" s="163">
        <f>+IFERROR(VLOOKUP(N249,APU!J:M,4,FALSE),"")</f>
        <v>0</v>
      </c>
      <c r="C249" s="163" t="str">
        <f>+IFERROR(VLOOKUP(B249,INSUMOS!A:D,2,FALSE),"")</f>
        <v/>
      </c>
      <c r="D249" s="192">
        <f>IFERROR(VLOOKUP(N249,APU!J:N,5,FALSE),"")</f>
        <v>0</v>
      </c>
      <c r="E249" s="285">
        <f>IFERROR(D249*K219,"")</f>
        <v>0</v>
      </c>
      <c r="F249" s="278"/>
      <c r="G249" s="284"/>
      <c r="H249" s="284"/>
      <c r="I249" s="284"/>
      <c r="J249" s="284"/>
      <c r="K249" s="284"/>
      <c r="L249" s="312"/>
      <c r="N249" s="280" t="str">
        <f>+_xlfn.CONCAT("M",N237,O249)</f>
        <v>M2,049</v>
      </c>
      <c r="O249" s="280">
        <v>9</v>
      </c>
      <c r="P249" s="281" t="str">
        <f>+IFERROR(VLOOKUP(B249,INSUMOS!A:D,3,FALSE),"")</f>
        <v/>
      </c>
      <c r="Q249" s="282" t="str">
        <f t="shared" si="5"/>
        <v/>
      </c>
      <c r="S249" s="272"/>
      <c r="T249" s="278"/>
    </row>
    <row r="250" spans="1:20" x14ac:dyDescent="0.3">
      <c r="A250" s="191" t="str">
        <f>IFERROR(VLOOKUP(B250,INSUMOS!A:D,4,FALSE),"")</f>
        <v/>
      </c>
      <c r="B250" s="163">
        <f>+IFERROR(VLOOKUP(N250,APU!J:M,4,FALSE),"")</f>
        <v>0</v>
      </c>
      <c r="C250" s="163" t="str">
        <f>+IFERROR(VLOOKUP(B250,INSUMOS!A:D,2,FALSE),"")</f>
        <v/>
      </c>
      <c r="D250" s="192">
        <f>IFERROR(VLOOKUP(N250,APU!J:N,5,FALSE),"")</f>
        <v>0</v>
      </c>
      <c r="E250" s="285">
        <f>IFERROR(D250*K219,"")</f>
        <v>0</v>
      </c>
      <c r="F250" s="278"/>
      <c r="G250" s="284"/>
      <c r="H250" s="284"/>
      <c r="I250" s="284"/>
      <c r="J250" s="284"/>
      <c r="K250" s="284"/>
      <c r="L250" s="312"/>
      <c r="N250" s="280" t="str">
        <f>+_xlfn.CONCAT("M",N237,O250)</f>
        <v>M2,0410</v>
      </c>
      <c r="O250" s="280">
        <v>10</v>
      </c>
      <c r="P250" s="281" t="str">
        <f>+IFERROR(VLOOKUP(B250,INSUMOS!A:D,3,FALSE),"")</f>
        <v/>
      </c>
      <c r="Q250" s="282" t="str">
        <f t="shared" si="5"/>
        <v/>
      </c>
      <c r="S250" s="272"/>
      <c r="T250" s="278"/>
    </row>
    <row r="251" spans="1:20" ht="15" thickBot="1" x14ac:dyDescent="0.35">
      <c r="A251" s="286" t="str">
        <f>IFERROR(VLOOKUP(B251,INSUMOS!A:D,4,FALSE),"")</f>
        <v/>
      </c>
      <c r="B251" s="287">
        <f>+IFERROR(VLOOKUP(N251,APU!J:M,4,FALSE),"")</f>
        <v>0</v>
      </c>
      <c r="C251" s="287" t="str">
        <f>+IFERROR(VLOOKUP(B251,INSUMOS!A:D,2,FALSE),"")</f>
        <v/>
      </c>
      <c r="D251" s="288">
        <f>IFERROR(VLOOKUP(N251,APU!J:N,5,FALSE),"")</f>
        <v>0</v>
      </c>
      <c r="E251" s="289">
        <f>IFERROR(D251*K219,"")</f>
        <v>0</v>
      </c>
      <c r="F251" s="278"/>
      <c r="G251" s="284"/>
      <c r="H251" s="284"/>
      <c r="I251" s="284"/>
      <c r="J251" s="284"/>
      <c r="K251" s="284"/>
      <c r="L251" s="312"/>
      <c r="N251" s="280" t="str">
        <f>+_xlfn.CONCAT("M",N237,O251)</f>
        <v>M2,0411</v>
      </c>
      <c r="O251" s="280">
        <v>11</v>
      </c>
      <c r="P251" s="281" t="str">
        <f>+IFERROR(VLOOKUP(B251,INSUMOS!A:D,3,FALSE),"")</f>
        <v/>
      </c>
      <c r="Q251" s="282" t="str">
        <f t="shared" si="5"/>
        <v/>
      </c>
      <c r="S251" s="272"/>
      <c r="T251" s="278"/>
    </row>
    <row r="252" spans="1:20" x14ac:dyDescent="0.3">
      <c r="A252" s="471"/>
      <c r="C252" s="290"/>
      <c r="D252" s="290"/>
      <c r="E252" s="290"/>
      <c r="F252" s="278"/>
      <c r="G252" s="284"/>
      <c r="H252" s="284"/>
      <c r="I252" s="284"/>
      <c r="J252" s="284"/>
      <c r="K252" s="284"/>
      <c r="L252" s="312"/>
      <c r="N252" s="280"/>
      <c r="O252" s="280"/>
      <c r="P252" s="313"/>
      <c r="Q252" s="314"/>
      <c r="S252" s="272"/>
      <c r="T252" s="278"/>
    </row>
    <row r="253" spans="1:20" x14ac:dyDescent="0.3">
      <c r="A253" s="471"/>
      <c r="C253" s="290"/>
      <c r="D253" s="290"/>
      <c r="E253" s="290"/>
      <c r="F253" s="278"/>
      <c r="G253" s="284"/>
      <c r="H253" s="284"/>
      <c r="I253" s="284"/>
      <c r="J253" s="284"/>
      <c r="K253" s="284"/>
      <c r="L253" s="312"/>
      <c r="N253" s="280"/>
      <c r="O253" s="280"/>
      <c r="P253" s="313"/>
      <c r="Q253" s="314"/>
      <c r="S253" s="272"/>
      <c r="T253" s="278"/>
    </row>
    <row r="254" spans="1:20" x14ac:dyDescent="0.3">
      <c r="A254" s="471"/>
      <c r="C254" s="293"/>
      <c r="D254" s="293"/>
      <c r="E254" s="294"/>
      <c r="F254" s="278"/>
      <c r="G254" s="284"/>
      <c r="H254" s="284"/>
      <c r="I254" s="284"/>
      <c r="J254" s="284"/>
      <c r="K254" s="284"/>
      <c r="L254" s="312"/>
      <c r="N254" s="280"/>
      <c r="O254" s="280"/>
      <c r="P254" s="315" t="str">
        <f>+A219</f>
        <v>2,04</v>
      </c>
      <c r="Q254" s="314">
        <f>SUM(Q241:Q251)</f>
        <v>6469010.959950001</v>
      </c>
      <c r="S254" s="272"/>
      <c r="T254" s="278"/>
    </row>
    <row r="255" spans="1:20" x14ac:dyDescent="0.3">
      <c r="A255" s="471"/>
      <c r="C255" s="293"/>
      <c r="D255" s="293"/>
      <c r="E255" s="294"/>
      <c r="F255" s="316"/>
      <c r="G255" s="317"/>
      <c r="H255" s="317"/>
      <c r="I255" s="317"/>
      <c r="J255" s="296"/>
      <c r="K255" s="297"/>
      <c r="L255" s="302"/>
      <c r="S255" s="272"/>
      <c r="T255" s="278"/>
    </row>
    <row r="256" spans="1:20" x14ac:dyDescent="0.3">
      <c r="A256" s="299"/>
      <c r="B256" s="293"/>
      <c r="C256" s="293"/>
      <c r="D256" s="293"/>
      <c r="E256" s="294"/>
      <c r="F256" s="293"/>
      <c r="G256" s="300" t="str">
        <f>+'INF. GENERAL'!$B$19</f>
        <v>JAVIER JOSÉ ROSADO MENDINUETA</v>
      </c>
      <c r="H256" s="301"/>
      <c r="I256" s="301"/>
      <c r="J256" s="301"/>
      <c r="K256" s="297"/>
      <c r="L256" s="302"/>
      <c r="S256" s="272"/>
      <c r="T256" s="278"/>
    </row>
    <row r="257" spans="1:20" x14ac:dyDescent="0.3">
      <c r="A257" s="299"/>
      <c r="B257" s="293"/>
      <c r="C257" s="293"/>
      <c r="D257" s="293"/>
      <c r="E257" s="294"/>
      <c r="F257" s="293"/>
      <c r="G257" s="303" t="str">
        <f>+'INF. GENERAL'!$B$20</f>
        <v>PROFESIONAL APOYO</v>
      </c>
      <c r="H257" s="301"/>
      <c r="I257" s="301"/>
      <c r="J257" s="301"/>
      <c r="K257" s="297"/>
      <c r="L257" s="302"/>
      <c r="S257" s="272"/>
      <c r="T257" s="278"/>
    </row>
    <row r="258" spans="1:20" ht="15" thickBot="1" x14ac:dyDescent="0.35">
      <c r="A258" s="235" t="s">
        <v>37</v>
      </c>
      <c r="B258" s="236"/>
      <c r="C258" s="236"/>
      <c r="D258" s="236"/>
      <c r="E258" s="237"/>
      <c r="F258" s="236"/>
      <c r="G258" s="318" t="str">
        <f>+'INF. GENERAL'!$B$21</f>
        <v>MP: 08700-52350</v>
      </c>
      <c r="H258" s="319"/>
      <c r="I258" s="319"/>
      <c r="J258" s="319"/>
      <c r="K258" s="236"/>
      <c r="L258" s="304" t="s">
        <v>37</v>
      </c>
      <c r="S258" s="272"/>
      <c r="T258" s="278"/>
    </row>
    <row r="259" spans="1:20" ht="18.600000000000001" thickBot="1" x14ac:dyDescent="0.35">
      <c r="A259" s="320" t="s">
        <v>37</v>
      </c>
      <c r="B259" s="201" t="s">
        <v>38</v>
      </c>
      <c r="C259" s="321"/>
      <c r="D259" s="321"/>
      <c r="E259" s="321"/>
      <c r="F259" s="321"/>
      <c r="G259" s="321"/>
      <c r="H259" s="321"/>
      <c r="I259" s="321"/>
      <c r="J259" s="321"/>
      <c r="K259" s="321"/>
      <c r="L259" s="322" t="s">
        <v>37</v>
      </c>
      <c r="S259" s="272"/>
      <c r="T259" s="278"/>
    </row>
    <row r="260" spans="1:20" ht="15" thickBot="1" x14ac:dyDescent="0.35">
      <c r="A260" s="235" t="s">
        <v>37</v>
      </c>
      <c r="B260" s="236"/>
      <c r="C260" s="236"/>
      <c r="D260" s="236"/>
      <c r="E260" s="237"/>
      <c r="F260" s="236"/>
      <c r="G260" s="238"/>
      <c r="H260" s="236"/>
      <c r="I260" s="236"/>
      <c r="J260" s="236"/>
      <c r="K260" s="236"/>
      <c r="L260" s="304" t="s">
        <v>37</v>
      </c>
      <c r="S260" s="272"/>
      <c r="T260" s="278"/>
    </row>
    <row r="261" spans="1:20" ht="15" thickBot="1" x14ac:dyDescent="0.35">
      <c r="A261" s="240" t="s">
        <v>39</v>
      </c>
      <c r="B261" s="241" t="s">
        <v>21</v>
      </c>
      <c r="C261" s="242" t="s">
        <v>20</v>
      </c>
      <c r="D261" s="243"/>
      <c r="E261" s="243"/>
      <c r="F261" s="243"/>
      <c r="G261" s="244"/>
      <c r="H261" s="325" t="s">
        <v>40</v>
      </c>
      <c r="I261" s="326"/>
      <c r="J261" s="327"/>
      <c r="K261" s="242" t="s">
        <v>41</v>
      </c>
      <c r="L261" s="244"/>
      <c r="M261" s="328"/>
      <c r="N261" s="323"/>
      <c r="O261" s="323"/>
      <c r="P261" s="323"/>
      <c r="Q261" s="323"/>
      <c r="R261" s="323"/>
      <c r="S261" s="335"/>
      <c r="T261" s="324"/>
    </row>
    <row r="262" spans="1:20" ht="28.8" thickBot="1" x14ac:dyDescent="0.35">
      <c r="A262" s="474" t="s">
        <v>2247</v>
      </c>
      <c r="B262" s="249" t="str">
        <f>VLOOKUP(A262,PRESUPUESTO!$A$3:$F$973,5,FALSE)</f>
        <v>und</v>
      </c>
      <c r="C262" s="42" t="str">
        <f>VLOOKUP(A262,PRESUPUESTO!$A$3:$F$973,4,FALSE)</f>
        <v>Manhole</v>
      </c>
      <c r="D262" s="43"/>
      <c r="E262" s="44"/>
      <c r="F262" s="45"/>
      <c r="G262" s="46"/>
      <c r="H262" s="250" t="str">
        <f>VLOOKUP(A262,PRESUPUESTO!$A$3:$F$973,3,FALSE)</f>
        <v>EXCAVACIONES, RELLENOS Y SISTEMA DE DRENAJE</v>
      </c>
      <c r="I262" s="251"/>
      <c r="J262" s="252"/>
      <c r="K262" s="253">
        <f>ROUND(+L280,2)</f>
        <v>2</v>
      </c>
      <c r="L262" s="306"/>
      <c r="S262" s="272"/>
      <c r="T262" s="278"/>
    </row>
    <row r="263" spans="1:20" ht="15" thickBot="1" x14ac:dyDescent="0.35">
      <c r="A263" s="242" t="s">
        <v>42</v>
      </c>
      <c r="B263" s="243"/>
      <c r="C263" s="243"/>
      <c r="D263" s="243"/>
      <c r="E263" s="243"/>
      <c r="F263" s="244"/>
      <c r="G263" s="580" t="s">
        <v>43</v>
      </c>
      <c r="H263" s="582" t="s">
        <v>44</v>
      </c>
      <c r="I263" s="583"/>
      <c r="J263" s="583"/>
      <c r="K263" s="584"/>
      <c r="L263" s="580" t="s">
        <v>45</v>
      </c>
      <c r="S263" s="272"/>
      <c r="T263" s="278"/>
    </row>
    <row r="264" spans="1:20" ht="15" thickBot="1" x14ac:dyDescent="0.35">
      <c r="A264" s="585" t="e" vm="2">
        <v>#VALUE!</v>
      </c>
      <c r="B264" s="586"/>
      <c r="C264" s="586"/>
      <c r="D264" s="586"/>
      <c r="E264" s="586"/>
      <c r="F264" s="587"/>
      <c r="G264" s="581"/>
      <c r="H264" s="255" t="s">
        <v>46</v>
      </c>
      <c r="I264" s="255" t="s">
        <v>47</v>
      </c>
      <c r="J264" s="255" t="s">
        <v>48</v>
      </c>
      <c r="K264" s="256" t="s">
        <v>49</v>
      </c>
      <c r="L264" s="581"/>
      <c r="S264" s="272"/>
      <c r="T264" s="278"/>
    </row>
    <row r="265" spans="1:20" x14ac:dyDescent="0.3">
      <c r="A265" s="588"/>
      <c r="B265" s="579"/>
      <c r="C265" s="579"/>
      <c r="D265" s="579"/>
      <c r="E265" s="579"/>
      <c r="F265" s="589"/>
      <c r="G265" s="47" t="str">
        <f>+C262</f>
        <v>Manhole</v>
      </c>
      <c r="H265" s="257"/>
      <c r="I265" s="257"/>
      <c r="J265" s="257"/>
      <c r="K265" s="257">
        <v>2</v>
      </c>
      <c r="L265" s="307">
        <f>+IF(B262="m2",H265*I265*K265,IF(B262="m3",H265*I265*J265*K265,IF(B262="ml",H265*K265,IF(B262="UND",K265,IF(B262="GLOBAL",K265,"")))))</f>
        <v>2</v>
      </c>
      <c r="S265" s="272"/>
      <c r="T265" s="278"/>
    </row>
    <row r="266" spans="1:20" x14ac:dyDescent="0.3">
      <c r="A266" s="588"/>
      <c r="B266" s="579"/>
      <c r="C266" s="579"/>
      <c r="D266" s="579"/>
      <c r="E266" s="579"/>
      <c r="F266" s="589"/>
      <c r="G266" s="47"/>
      <c r="H266" s="259"/>
      <c r="I266" s="259"/>
      <c r="J266" s="259"/>
      <c r="K266" s="259"/>
      <c r="L266" s="308">
        <f>+IF(B262="m2",H266*I266*K266,IF(B262="m3",H266*I266*J266*K266,IF(B262="ml",H266*K266,IF(B262="UND",K266,IF(B262="GLOBAL",K266,"")))))</f>
        <v>0</v>
      </c>
      <c r="S266" s="272"/>
      <c r="T266" s="278"/>
    </row>
    <row r="267" spans="1:20" x14ac:dyDescent="0.3">
      <c r="A267" s="588"/>
      <c r="B267" s="579"/>
      <c r="C267" s="579"/>
      <c r="D267" s="579"/>
      <c r="E267" s="579"/>
      <c r="F267" s="589"/>
      <c r="G267" s="47"/>
      <c r="H267" s="259"/>
      <c r="I267" s="259"/>
      <c r="J267" s="259"/>
      <c r="K267" s="259"/>
      <c r="L267" s="308">
        <f>+IF(B262="m2",H267*I267*K267,IF(B262="m3",H267*I267*J267*K267,IF(B262="ml",H267*K267,IF(B262="UND",K267,IF(B262="GLOBAL",K267,"")))))</f>
        <v>0</v>
      </c>
      <c r="S267" s="272"/>
      <c r="T267" s="278"/>
    </row>
    <row r="268" spans="1:20" x14ac:dyDescent="0.3">
      <c r="A268" s="588"/>
      <c r="B268" s="579"/>
      <c r="C268" s="579"/>
      <c r="D268" s="579"/>
      <c r="E268" s="579"/>
      <c r="F268" s="589"/>
      <c r="G268" s="47"/>
      <c r="H268" s="259"/>
      <c r="I268" s="259"/>
      <c r="J268" s="259"/>
      <c r="K268" s="259"/>
      <c r="L268" s="308">
        <f>+IF(B262="m2",H268*I268*K268,IF(B262="m3",H268*I268*J268*K268,IF(B262="ml",H268*K268,IF(B262="UND",K268,IF(B262="GLOBAL",K268,"")))))</f>
        <v>0</v>
      </c>
      <c r="S268" s="272"/>
      <c r="T268" s="278"/>
    </row>
    <row r="269" spans="1:20" x14ac:dyDescent="0.3">
      <c r="A269" s="588"/>
      <c r="B269" s="579"/>
      <c r="C269" s="579"/>
      <c r="D269" s="579"/>
      <c r="E269" s="579"/>
      <c r="F269" s="589"/>
      <c r="G269" s="47"/>
      <c r="H269" s="259"/>
      <c r="I269" s="259"/>
      <c r="J269" s="259"/>
      <c r="K269" s="259"/>
      <c r="L269" s="308">
        <f>+IF(B262="m2",H269*I269*K269,IF(B262="m3",H269*I269*J269*K269,IF(B262="ml",H269*K269,IF(B262="UND",K269,IF(B262="GLOBAL",K269,"")))))</f>
        <v>0</v>
      </c>
      <c r="S269" s="272"/>
      <c r="T269" s="278"/>
    </row>
    <row r="270" spans="1:20" x14ac:dyDescent="0.3">
      <c r="A270" s="588"/>
      <c r="B270" s="579"/>
      <c r="C270" s="579"/>
      <c r="D270" s="579"/>
      <c r="E270" s="579"/>
      <c r="F270" s="589"/>
      <c r="G270" s="47"/>
      <c r="H270" s="259"/>
      <c r="I270" s="259"/>
      <c r="J270" s="259"/>
      <c r="K270" s="259"/>
      <c r="L270" s="308">
        <f>+IF(B262="m2",H270*I270*K270,IF(B262="m3",H270*I270*J270*K270,IF(B262="ml",H270*K270,IF(B262="UND",K270,IF(B262="GLOBAL",K270,"")))))</f>
        <v>0</v>
      </c>
      <c r="S270" s="272"/>
      <c r="T270" s="278"/>
    </row>
    <row r="271" spans="1:20" x14ac:dyDescent="0.3">
      <c r="A271" s="588"/>
      <c r="B271" s="579"/>
      <c r="C271" s="579"/>
      <c r="D271" s="579"/>
      <c r="E271" s="579"/>
      <c r="F271" s="589"/>
      <c r="G271" s="47"/>
      <c r="H271" s="259"/>
      <c r="I271" s="259"/>
      <c r="J271" s="259"/>
      <c r="K271" s="259"/>
      <c r="L271" s="308">
        <f>+IF(B262="m2",H271*I271*K271,IF(B262="m3",H271*I271*J271*K271,IF(B262="ml",H271*K271,IF(B262="UND",K271,IF(B262="GLOBAL",K271,"")))))</f>
        <v>0</v>
      </c>
      <c r="S271" s="272"/>
      <c r="T271" s="278"/>
    </row>
    <row r="272" spans="1:20" x14ac:dyDescent="0.3">
      <c r="A272" s="588"/>
      <c r="B272" s="579"/>
      <c r="C272" s="579"/>
      <c r="D272" s="579"/>
      <c r="E272" s="579"/>
      <c r="F272" s="589"/>
      <c r="G272" s="47"/>
      <c r="H272" s="259"/>
      <c r="I272" s="259"/>
      <c r="J272" s="259"/>
      <c r="K272" s="259"/>
      <c r="L272" s="308">
        <f>+IF(B262="m2",H272*I272*K272,IF(B262="m3",H272*I272*J272*K272,IF(B262="ml",H272*K272,IF(B262="UND",K272,IF(B262="GLOBAL",K272,"")))))</f>
        <v>0</v>
      </c>
      <c r="S272" s="272"/>
      <c r="T272" s="278"/>
    </row>
    <row r="273" spans="1:20" x14ac:dyDescent="0.3">
      <c r="A273" s="588"/>
      <c r="B273" s="579"/>
      <c r="C273" s="579"/>
      <c r="D273" s="579"/>
      <c r="E273" s="579"/>
      <c r="F273" s="589"/>
      <c r="G273" s="47"/>
      <c r="H273" s="259"/>
      <c r="I273" s="259"/>
      <c r="J273" s="259"/>
      <c r="K273" s="259"/>
      <c r="L273" s="308">
        <f>+IF(B262="m2",H273*I273*K273,IF(B262="m3",H273*I273*J273*K273,IF(B262="ml",H273*K273,IF(B262="UND",K273,IF(B262="GLOBAL",K273,"")))))</f>
        <v>0</v>
      </c>
      <c r="S273" s="272"/>
      <c r="T273" s="278"/>
    </row>
    <row r="274" spans="1:20" x14ac:dyDescent="0.3">
      <c r="A274" s="588"/>
      <c r="B274" s="579"/>
      <c r="C274" s="579"/>
      <c r="D274" s="579"/>
      <c r="E274" s="579"/>
      <c r="F274" s="589"/>
      <c r="G274" s="47"/>
      <c r="H274" s="259"/>
      <c r="I274" s="259"/>
      <c r="J274" s="259"/>
      <c r="K274" s="259"/>
      <c r="L274" s="308">
        <f>+IF(B262="m2",H274*I274*K274,IF(B262="m3",H274*I274*J274*K274,IF(B262="ml",H274*K274,IF(B262="UND",K274,IF(B262="GLOBAL",K274,"")))))</f>
        <v>0</v>
      </c>
      <c r="S274" s="272"/>
      <c r="T274" s="278"/>
    </row>
    <row r="275" spans="1:20" x14ac:dyDescent="0.3">
      <c r="A275" s="588"/>
      <c r="B275" s="579"/>
      <c r="C275" s="579"/>
      <c r="D275" s="579"/>
      <c r="E275" s="579"/>
      <c r="F275" s="589"/>
      <c r="G275" s="47"/>
      <c r="H275" s="259"/>
      <c r="I275" s="259"/>
      <c r="J275" s="259"/>
      <c r="K275" s="259"/>
      <c r="L275" s="308">
        <f>+IF(B262="m2",H275*I275*K275,IF(B262="m3",H275*I275*J275*K275,IF(B262="ml",H275*K275,IF(B262="UND",K275,IF(B262="GLOBAL",K275,"")))))</f>
        <v>0</v>
      </c>
      <c r="S275" s="272"/>
      <c r="T275" s="278"/>
    </row>
    <row r="276" spans="1:20" x14ac:dyDescent="0.3">
      <c r="A276" s="588"/>
      <c r="B276" s="579"/>
      <c r="C276" s="579"/>
      <c r="D276" s="579"/>
      <c r="E276" s="579"/>
      <c r="F276" s="589"/>
      <c r="G276" s="47"/>
      <c r="H276" s="259"/>
      <c r="I276" s="259"/>
      <c r="J276" s="259"/>
      <c r="K276" s="259"/>
      <c r="L276" s="308">
        <f>+IF(B262="m2",H276*I276*K276,IF(B262="m3",H276*I276*J276*K276,IF(B262="ml",H276*K276,IF(B262="UND",K276,IF(B262="GLOBAL",K276,"")))))</f>
        <v>0</v>
      </c>
      <c r="S276" s="272"/>
      <c r="T276" s="278"/>
    </row>
    <row r="277" spans="1:20" x14ac:dyDescent="0.3">
      <c r="A277" s="588"/>
      <c r="B277" s="579"/>
      <c r="C277" s="579"/>
      <c r="D277" s="579"/>
      <c r="E277" s="579"/>
      <c r="F277" s="589"/>
      <c r="G277" s="47"/>
      <c r="H277" s="259"/>
      <c r="I277" s="259"/>
      <c r="J277" s="259"/>
      <c r="K277" s="259"/>
      <c r="L277" s="308">
        <f>+IF(B262="m2",H277*I277*K277,IF(B262="m3",H277*I277*J277*K277,IF(B262="ml",H277*K277,IF(B262="UND",K277,IF(B262="GLOBAL",K277,"")))))</f>
        <v>0</v>
      </c>
      <c r="S277" s="272"/>
      <c r="T277" s="278"/>
    </row>
    <row r="278" spans="1:20" x14ac:dyDescent="0.3">
      <c r="A278" s="588"/>
      <c r="B278" s="579"/>
      <c r="C278" s="579"/>
      <c r="D278" s="579"/>
      <c r="E278" s="579"/>
      <c r="F278" s="589"/>
      <c r="G278" s="47"/>
      <c r="H278" s="259"/>
      <c r="I278" s="259"/>
      <c r="J278" s="259"/>
      <c r="K278" s="259"/>
      <c r="L278" s="308">
        <f>+IF(B262="m2",H278*I278*K278,IF(B262="m3",H278*I278*J278*K278,IF(B262="ml",H278*K278,IF(B262="UND",K278,IF(B262="GLOBAL",K278,"")))))</f>
        <v>0</v>
      </c>
      <c r="S278" s="272"/>
      <c r="T278" s="278"/>
    </row>
    <row r="279" spans="1:20" x14ac:dyDescent="0.3">
      <c r="A279" s="588"/>
      <c r="B279" s="579"/>
      <c r="C279" s="579"/>
      <c r="D279" s="579"/>
      <c r="E279" s="579"/>
      <c r="F279" s="589"/>
      <c r="G279" s="47"/>
      <c r="H279" s="259"/>
      <c r="I279" s="259"/>
      <c r="J279" s="259"/>
      <c r="K279" s="259"/>
      <c r="L279" s="308">
        <f>+IF(B262="m2",H279*I279*K279,IF(B262="m3",H279*I279*J279*K279,IF(B262="ml",H279*K279,IF(B262="UND",K279,IF(B262="GLOBAL",K279,"")))))</f>
        <v>0</v>
      </c>
      <c r="S279" s="272"/>
      <c r="T279" s="278"/>
    </row>
    <row r="280" spans="1:20" ht="15" thickBot="1" x14ac:dyDescent="0.35">
      <c r="A280" s="590"/>
      <c r="B280" s="591"/>
      <c r="C280" s="591"/>
      <c r="D280" s="591"/>
      <c r="E280" s="591"/>
      <c r="F280" s="592"/>
      <c r="G280" s="261" t="s">
        <v>31</v>
      </c>
      <c r="H280" s="262"/>
      <c r="I280" s="262"/>
      <c r="J280" s="262"/>
      <c r="K280" s="262"/>
      <c r="L280" s="309">
        <f>SUM(L265:L279)</f>
        <v>2</v>
      </c>
      <c r="N280" s="264" t="str">
        <f>+A262</f>
        <v>2,05</v>
      </c>
      <c r="O280" s="331">
        <f>+L280</f>
        <v>2</v>
      </c>
      <c r="S280" s="272"/>
      <c r="T280" s="278"/>
    </row>
    <row r="281" spans="1:20" ht="15" thickBot="1" x14ac:dyDescent="0.35">
      <c r="A281" s="265"/>
      <c r="B281" s="266"/>
      <c r="C281" s="266"/>
      <c r="D281" s="266"/>
      <c r="E281" s="267"/>
      <c r="L281" s="310"/>
      <c r="S281" s="272"/>
      <c r="T281" s="278"/>
    </row>
    <row r="282" spans="1:20" ht="15" thickBot="1" x14ac:dyDescent="0.35">
      <c r="A282" s="269" t="s">
        <v>50</v>
      </c>
      <c r="B282" s="270"/>
      <c r="C282" s="270"/>
      <c r="D282" s="270"/>
      <c r="E282" s="271"/>
      <c r="F282" s="278"/>
      <c r="G282" s="278"/>
      <c r="H282" s="278"/>
      <c r="I282" s="278"/>
      <c r="J282" s="272"/>
      <c r="K282" s="272"/>
      <c r="L282" s="311"/>
      <c r="S282" s="272"/>
      <c r="T282" s="278"/>
    </row>
    <row r="283" spans="1:20" ht="15" thickBot="1" x14ac:dyDescent="0.35">
      <c r="A283" s="274" t="s">
        <v>18</v>
      </c>
      <c r="B283" s="275" t="s">
        <v>51</v>
      </c>
      <c r="C283" s="275" t="s">
        <v>21</v>
      </c>
      <c r="D283" s="275" t="s">
        <v>52</v>
      </c>
      <c r="E283" s="276" t="s">
        <v>22</v>
      </c>
      <c r="F283" s="277"/>
      <c r="G283" s="284"/>
      <c r="H283" s="284"/>
      <c r="I283" s="284"/>
      <c r="J283" s="284"/>
      <c r="K283" s="284"/>
      <c r="L283" s="312"/>
      <c r="S283" s="272"/>
      <c r="T283" s="278"/>
    </row>
    <row r="284" spans="1:20" ht="41.4" x14ac:dyDescent="0.3">
      <c r="A284" s="191">
        <f>IFERROR(VLOOKUP(B284,INSUMOS!A:D,4,FALSE),"")</f>
        <v>38</v>
      </c>
      <c r="B284" s="163" t="str">
        <f>+IFERROR(VLOOKUP(N284,APU!J:M,4,FALSE),"")</f>
        <v>Acero de refuerzo. Varilla corrugada w60 x 6m. Diámetro de 1/2”</v>
      </c>
      <c r="C284" s="163" t="str">
        <f>+IFERROR(VLOOKUP(B284,INSUMOS!A:D,2,FALSE),"")</f>
        <v>Unidad</v>
      </c>
      <c r="D284" s="192">
        <f>IFERROR(VLOOKUP(N284,APU!J:N,5,FALSE),"")</f>
        <v>8.8065000000000015</v>
      </c>
      <c r="E284" s="279">
        <f>IFERROR(D284*K262,"")</f>
        <v>17.613000000000003</v>
      </c>
      <c r="F284" s="278"/>
      <c r="G284" s="284"/>
      <c r="H284" s="284"/>
      <c r="I284" s="284"/>
      <c r="J284" s="284"/>
      <c r="K284" s="284"/>
      <c r="L284" s="312"/>
      <c r="N284" s="280" t="str">
        <f>+_xlfn.CONCAT("M",N280,O284)</f>
        <v>M2,051</v>
      </c>
      <c r="O284" s="280">
        <v>1</v>
      </c>
      <c r="P284" s="281">
        <f>+IFERROR(VLOOKUP(B284,INSUMOS!A:D,3,FALSE),"")</f>
        <v>39832.25</v>
      </c>
      <c r="Q284" s="282">
        <f t="shared" ref="Q284:Q294" si="6">IFERROR(E284*P284,"")</f>
        <v>701565.41925000015</v>
      </c>
      <c r="S284" s="272"/>
      <c r="T284" s="278"/>
    </row>
    <row r="285" spans="1:20" x14ac:dyDescent="0.3">
      <c r="A285" s="191">
        <f>IFERROR(VLOOKUP(B285,INSUMOS!A:D,4,FALSE),"")</f>
        <v>437</v>
      </c>
      <c r="B285" s="163" t="str">
        <f>+IFERROR(VLOOKUP(N285,APU!J:M,4,FALSE),"")</f>
        <v>Alambre galvanizado No. 18</v>
      </c>
      <c r="C285" s="163" t="str">
        <f>+IFERROR(VLOOKUP(B285,INSUMOS!A:D,2,FALSE),"")</f>
        <v>Kilogramo</v>
      </c>
      <c r="D285" s="192">
        <f>IFERROR(VLOOKUP(N285,APU!J:N,5,FALSE),"")</f>
        <v>3.09</v>
      </c>
      <c r="E285" s="283">
        <f>IFERROR(D285*K262,"")</f>
        <v>6.18</v>
      </c>
      <c r="F285" s="278"/>
      <c r="G285" s="284"/>
      <c r="H285" s="284"/>
      <c r="I285" s="284"/>
      <c r="J285" s="284"/>
      <c r="K285" s="284"/>
      <c r="L285" s="312"/>
      <c r="N285" s="280" t="str">
        <f>+_xlfn.CONCAT("M",N280,O285)</f>
        <v>M2,052</v>
      </c>
      <c r="O285" s="280">
        <v>2</v>
      </c>
      <c r="P285" s="281">
        <f>+IFERROR(VLOOKUP(B285,INSUMOS!A:D,3,FALSE),"")</f>
        <v>15126.22</v>
      </c>
      <c r="Q285" s="282">
        <f t="shared" si="6"/>
        <v>93480.039599999989</v>
      </c>
      <c r="S285" s="272"/>
      <c r="T285" s="278"/>
    </row>
    <row r="286" spans="1:20" ht="27.6" x14ac:dyDescent="0.3">
      <c r="A286" s="191">
        <f>IFERROR(VLOOKUP(B286,INSUMOS!A:D,4,FALSE),"")</f>
        <v>605</v>
      </c>
      <c r="B286" s="163" t="str">
        <f>+IFERROR(VLOOKUP(N286,APU!J:M,4,FALSE),"")</f>
        <v>Puntilla con cabeza de 2" caja x 500 gr</v>
      </c>
      <c r="C286" s="163" t="str">
        <f>+IFERROR(VLOOKUP(B286,INSUMOS!A:D,2,FALSE),"")</f>
        <v>Unidad</v>
      </c>
      <c r="D286" s="192">
        <f>IFERROR(VLOOKUP(N286,APU!J:N,5,FALSE),"")</f>
        <v>2.06</v>
      </c>
      <c r="E286" s="283">
        <f>IFERROR(D286*K262,"")</f>
        <v>4.12</v>
      </c>
      <c r="F286" s="278"/>
      <c r="G286" s="284"/>
      <c r="H286" s="284"/>
      <c r="I286" s="284"/>
      <c r="J286" s="284"/>
      <c r="K286" s="284"/>
      <c r="L286" s="312"/>
      <c r="N286" s="280" t="str">
        <f>+_xlfn.CONCAT("M",N280,O286)</f>
        <v>M2,053</v>
      </c>
      <c r="O286" s="280">
        <v>3</v>
      </c>
      <c r="P286" s="281">
        <f>+IFERROR(VLOOKUP(B286,INSUMOS!A:D,3,FALSE),"")</f>
        <v>10330.58</v>
      </c>
      <c r="Q286" s="282">
        <f t="shared" si="6"/>
        <v>42561.989600000001</v>
      </c>
      <c r="S286" s="272"/>
      <c r="T286" s="278"/>
    </row>
    <row r="287" spans="1:20" ht="27.6" x14ac:dyDescent="0.3">
      <c r="A287" s="191">
        <f>IFERROR(VLOOKUP(B287,INSUMOS!A:D,4,FALSE),"")</f>
        <v>471</v>
      </c>
      <c r="B287" s="163" t="str">
        <f>+IFERROR(VLOOKUP(N287,APU!J:M,4,FALSE),"")</f>
        <v>Cemento gris bulto x 50 kilogramos</v>
      </c>
      <c r="C287" s="163" t="str">
        <f>+IFERROR(VLOOKUP(B287,INSUMOS!A:D,2,FALSE),"")</f>
        <v>Bulto</v>
      </c>
      <c r="D287" s="192">
        <f>IFERROR(VLOOKUP(N287,APU!J:N,5,FALSE),"")</f>
        <v>15.886720000000002</v>
      </c>
      <c r="E287" s="283">
        <f>IFERROR(D287*K262,"")</f>
        <v>31.773440000000004</v>
      </c>
      <c r="F287" s="278"/>
      <c r="G287" s="284"/>
      <c r="H287" s="284"/>
      <c r="I287" s="284"/>
      <c r="J287" s="284"/>
      <c r="K287" s="284"/>
      <c r="L287" s="312"/>
      <c r="N287" s="280" t="str">
        <f>+_xlfn.CONCAT("M",N280,O287)</f>
        <v>M2,054</v>
      </c>
      <c r="O287" s="280">
        <v>4</v>
      </c>
      <c r="P287" s="281">
        <f>+IFERROR(VLOOKUP(B287,INSUMOS!A:D,3,FALSE),"")</f>
        <v>50453.95</v>
      </c>
      <c r="Q287" s="282">
        <f t="shared" si="6"/>
        <v>1603095.553088</v>
      </c>
      <c r="S287" s="272"/>
      <c r="T287" s="278"/>
    </row>
    <row r="288" spans="1:20" ht="27.6" x14ac:dyDescent="0.3">
      <c r="A288" s="191">
        <f>IFERROR(VLOOKUP(B288,INSUMOS!A:D,4,FALSE),"")</f>
        <v>66</v>
      </c>
      <c r="B288" s="163" t="str">
        <f>+IFERROR(VLOOKUP(N288,APU!J:M,4,FALSE),"")</f>
        <v>Arena de río</v>
      </c>
      <c r="C288" s="163" t="str">
        <f>+IFERROR(VLOOKUP(B288,INSUMOS!A:D,2,FALSE),"")</f>
        <v>Metro cubico</v>
      </c>
      <c r="D288" s="192">
        <f>IFERROR(VLOOKUP(N288,APU!J:N,5,FALSE),"")</f>
        <v>1.2532000000000001</v>
      </c>
      <c r="E288" s="283">
        <f>IFERROR(D288*K262,"")</f>
        <v>2.5064000000000002</v>
      </c>
      <c r="F288" s="278"/>
      <c r="G288" s="284"/>
      <c r="H288" s="284"/>
      <c r="I288" s="284"/>
      <c r="J288" s="284"/>
      <c r="K288" s="284"/>
      <c r="L288" s="312"/>
      <c r="N288" s="280" t="str">
        <f>+_xlfn.CONCAT("M",N280,O288)</f>
        <v>M2,055</v>
      </c>
      <c r="O288" s="280">
        <v>5</v>
      </c>
      <c r="P288" s="281">
        <f>+IFERROR(VLOOKUP(B288,INSUMOS!A:D,3,FALSE),"")</f>
        <v>243964.03</v>
      </c>
      <c r="Q288" s="282">
        <f t="shared" si="6"/>
        <v>611471.44479199999</v>
      </c>
      <c r="S288" s="272"/>
      <c r="T288" s="278"/>
    </row>
    <row r="289" spans="1:20" ht="27.6" x14ac:dyDescent="0.3">
      <c r="A289" s="191">
        <f>IFERROR(VLOOKUP(B289,INSUMOS!A:D,4,FALSE),"")</f>
        <v>71</v>
      </c>
      <c r="B289" s="163" t="str">
        <f>+IFERROR(VLOOKUP(N289,APU!J:M,4,FALSE),"")</f>
        <v>Grava triturada 3/4"</v>
      </c>
      <c r="C289" s="163" t="str">
        <f>+IFERROR(VLOOKUP(B289,INSUMOS!A:D,2,FALSE),"")</f>
        <v>Metro cubico</v>
      </c>
      <c r="D289" s="192">
        <f>IFERROR(VLOOKUP(N289,APU!J:N,5,FALSE),"")</f>
        <v>2.169</v>
      </c>
      <c r="E289" s="285">
        <f>IFERROR(D289*K262,"")</f>
        <v>4.3380000000000001</v>
      </c>
      <c r="F289" s="278"/>
      <c r="G289" s="284"/>
      <c r="H289" s="284"/>
      <c r="I289" s="284"/>
      <c r="J289" s="284"/>
      <c r="K289" s="284"/>
      <c r="L289" s="312"/>
      <c r="N289" s="280" t="str">
        <f>+_xlfn.CONCAT("M",N280,O289)</f>
        <v>M2,056</v>
      </c>
      <c r="O289" s="280">
        <v>6</v>
      </c>
      <c r="P289" s="281">
        <f>+IFERROR(VLOOKUP(B289,INSUMOS!A:D,3,FALSE),"")</f>
        <v>288567.81</v>
      </c>
      <c r="Q289" s="282">
        <f t="shared" si="6"/>
        <v>1251807.1597800001</v>
      </c>
      <c r="S289" s="272"/>
      <c r="T289" s="278"/>
    </row>
    <row r="290" spans="1:20" ht="27.6" x14ac:dyDescent="0.3">
      <c r="A290" s="191" t="str">
        <f>IFERROR(VLOOKUP(B290,INSUMOS!A:D,4,FALSE),"")</f>
        <v/>
      </c>
      <c r="B290" s="163" t="str">
        <f>+IFERROR(VLOOKUP(N290,APU!J:M,4,FALSE),"")</f>
        <v>Concreto 3000 psi APORTE ALCALDIA</v>
      </c>
      <c r="C290" s="163" t="str">
        <f>+IFERROR(VLOOKUP(B290,INSUMOS!A:D,2,FALSE),"")</f>
        <v/>
      </c>
      <c r="D290" s="192">
        <f>IFERROR(VLOOKUP(N290,APU!J:N,5,FALSE),"")</f>
        <v>2.4823000000000004</v>
      </c>
      <c r="E290" s="285">
        <f>IFERROR(D290*K262,"")</f>
        <v>4.9646000000000008</v>
      </c>
      <c r="F290" s="278"/>
      <c r="G290" s="284"/>
      <c r="H290" s="284"/>
      <c r="I290" s="284"/>
      <c r="J290" s="284"/>
      <c r="K290" s="284"/>
      <c r="L290" s="312"/>
      <c r="N290" s="280" t="str">
        <f>+_xlfn.CONCAT("M",N280,O290)</f>
        <v>M2,057</v>
      </c>
      <c r="O290" s="280">
        <v>7</v>
      </c>
      <c r="P290" s="281" t="str">
        <f>+IFERROR(VLOOKUP(B290,INSUMOS!A:D,3,FALSE),"")</f>
        <v/>
      </c>
      <c r="Q290" s="282" t="str">
        <f t="shared" si="6"/>
        <v/>
      </c>
      <c r="S290" s="272"/>
      <c r="T290" s="278"/>
    </row>
    <row r="291" spans="1:20" ht="27.6" x14ac:dyDescent="0.3">
      <c r="A291" s="191">
        <f>IFERROR(VLOOKUP(B291,INSUMOS!A:D,4,FALSE),"")</f>
        <v>384</v>
      </c>
      <c r="B291" s="163" t="str">
        <f>+IFERROR(VLOOKUP(N291,APU!J:M,4,FALSE),"")</f>
        <v>Cuartón en madera Otobo 2" x 4"</v>
      </c>
      <c r="C291" s="163" t="str">
        <f>+IFERROR(VLOOKUP(B291,INSUMOS!A:D,2,FALSE),"")</f>
        <v>Metro Lineal</v>
      </c>
      <c r="D291" s="192">
        <f>IFERROR(VLOOKUP(N291,APU!J:N,5,FALSE),"")</f>
        <v>9.27</v>
      </c>
      <c r="E291" s="285">
        <f>IFERROR(D291*K262,"")</f>
        <v>18.54</v>
      </c>
      <c r="F291" s="278"/>
      <c r="G291" s="284"/>
      <c r="H291" s="284"/>
      <c r="I291" s="284"/>
      <c r="J291" s="284"/>
      <c r="K291" s="284"/>
      <c r="L291" s="312"/>
      <c r="N291" s="280" t="str">
        <f>+_xlfn.CONCAT("M",N280,O291)</f>
        <v>M2,058</v>
      </c>
      <c r="O291" s="280">
        <v>8</v>
      </c>
      <c r="P291" s="281">
        <f>+IFERROR(VLOOKUP(B291,INSUMOS!A:D,3,FALSE),"")</f>
        <v>15821.64</v>
      </c>
      <c r="Q291" s="282">
        <f t="shared" si="6"/>
        <v>293333.20559999999</v>
      </c>
      <c r="S291" s="272"/>
      <c r="T291" s="278"/>
    </row>
    <row r="292" spans="1:20" ht="27.6" x14ac:dyDescent="0.3">
      <c r="A292" s="191">
        <f>IFERROR(VLOOKUP(B292,INSUMOS!A:D,4,FALSE),"")</f>
        <v>386</v>
      </c>
      <c r="B292" s="163" t="str">
        <f>+IFERROR(VLOOKUP(N292,APU!J:M,4,FALSE),"")</f>
        <v>Guadua rolliza diámetro 12 cm x 5 m</v>
      </c>
      <c r="C292" s="163" t="str">
        <f>+IFERROR(VLOOKUP(B292,INSUMOS!A:D,2,FALSE),"")</f>
        <v>Unidad</v>
      </c>
      <c r="D292" s="192">
        <f>IFERROR(VLOOKUP(N292,APU!J:N,5,FALSE),"")</f>
        <v>3.09</v>
      </c>
      <c r="E292" s="285">
        <f>IFERROR(D292*K262,"")</f>
        <v>6.18</v>
      </c>
      <c r="F292" s="278"/>
      <c r="G292" s="284"/>
      <c r="H292" s="284"/>
      <c r="I292" s="284"/>
      <c r="J292" s="284"/>
      <c r="K292" s="284"/>
      <c r="L292" s="312"/>
      <c r="N292" s="280" t="str">
        <f>+_xlfn.CONCAT("M",N280,O292)</f>
        <v>M2,059</v>
      </c>
      <c r="O292" s="280">
        <v>9</v>
      </c>
      <c r="P292" s="281">
        <f>+IFERROR(VLOOKUP(B292,INSUMOS!A:D,3,FALSE),"")</f>
        <v>54637.62</v>
      </c>
      <c r="Q292" s="282">
        <f t="shared" si="6"/>
        <v>337660.49160000001</v>
      </c>
      <c r="S292" s="272"/>
      <c r="T292" s="278"/>
    </row>
    <row r="293" spans="1:20" ht="27.6" x14ac:dyDescent="0.3">
      <c r="A293" s="191">
        <f>IFERROR(VLOOKUP(B293,INSUMOS!A:D,4,FALSE),"")</f>
        <v>410</v>
      </c>
      <c r="B293" s="163" t="str">
        <f>+IFERROR(VLOOKUP(N293,APU!J:M,4,FALSE),"")</f>
        <v>Tabla madera canteada (0,25 x 0,0025 x 3ml)</v>
      </c>
      <c r="C293" s="163" t="str">
        <f>+IFERROR(VLOOKUP(B293,INSUMOS!A:D,2,FALSE),"")</f>
        <v>Unidad</v>
      </c>
      <c r="D293" s="192">
        <f>IFERROR(VLOOKUP(N293,APU!J:N,5,FALSE),"")</f>
        <v>3.09</v>
      </c>
      <c r="E293" s="285">
        <f>IFERROR(D293*K262,"")</f>
        <v>6.18</v>
      </c>
      <c r="F293" s="278"/>
      <c r="G293" s="284"/>
      <c r="H293" s="284"/>
      <c r="I293" s="284"/>
      <c r="J293" s="284"/>
      <c r="K293" s="284"/>
      <c r="L293" s="312"/>
      <c r="N293" s="280" t="str">
        <f>+_xlfn.CONCAT("M",N280,O293)</f>
        <v>M2,0510</v>
      </c>
      <c r="O293" s="280">
        <v>10</v>
      </c>
      <c r="P293" s="281">
        <f>+IFERROR(VLOOKUP(B293,INSUMOS!A:D,3,FALSE),"")</f>
        <v>69470.600000000006</v>
      </c>
      <c r="Q293" s="282">
        <f t="shared" si="6"/>
        <v>429328.30800000002</v>
      </c>
      <c r="S293" s="272"/>
      <c r="T293" s="278"/>
    </row>
    <row r="294" spans="1:20" ht="42" thickBot="1" x14ac:dyDescent="0.35">
      <c r="A294" s="286">
        <f>IFERROR(VLOOKUP(B294,INSUMOS!A:D,4,FALSE),"")</f>
        <v>42</v>
      </c>
      <c r="B294" s="287" t="str">
        <f>+IFERROR(VLOOKUP(N294,APU!J:M,4,FALSE),"")</f>
        <v>Acero de refuerzo. Varilla corrugada w60 x 6m. Diámetro de 3/8”</v>
      </c>
      <c r="C294" s="287" t="str">
        <f>+IFERROR(VLOOKUP(B294,INSUMOS!A:D,2,FALSE),"")</f>
        <v>Unidad</v>
      </c>
      <c r="D294" s="288">
        <f>IFERROR(VLOOKUP(N294,APU!J:N,5,FALSE),"")</f>
        <v>2.2248000000000001</v>
      </c>
      <c r="E294" s="289">
        <f>IFERROR(D294*K262,"")</f>
        <v>4.4496000000000002</v>
      </c>
      <c r="F294" s="278"/>
      <c r="G294" s="284"/>
      <c r="H294" s="284"/>
      <c r="I294" s="284"/>
      <c r="J294" s="284"/>
      <c r="K294" s="284"/>
      <c r="L294" s="312"/>
      <c r="N294" s="280" t="str">
        <f>+_xlfn.CONCAT("M",N280,O294)</f>
        <v>M2,0511</v>
      </c>
      <c r="O294" s="280">
        <v>11</v>
      </c>
      <c r="P294" s="281">
        <f>+IFERROR(VLOOKUP(B294,INSUMOS!A:D,3,FALSE),"")</f>
        <v>23015.19</v>
      </c>
      <c r="Q294" s="282">
        <f t="shared" si="6"/>
        <v>102408.38942399999</v>
      </c>
      <c r="S294" s="272"/>
      <c r="T294" s="278"/>
    </row>
    <row r="295" spans="1:20" x14ac:dyDescent="0.3">
      <c r="A295" s="471"/>
      <c r="C295" s="290"/>
      <c r="D295" s="290"/>
      <c r="E295" s="290"/>
      <c r="F295" s="278"/>
      <c r="G295" s="284"/>
      <c r="H295" s="284"/>
      <c r="I295" s="284"/>
      <c r="J295" s="284"/>
      <c r="K295" s="284"/>
      <c r="L295" s="312"/>
      <c r="N295" s="280"/>
      <c r="O295" s="280"/>
      <c r="P295" s="313"/>
      <c r="Q295" s="314"/>
      <c r="S295" s="272"/>
      <c r="T295" s="278"/>
    </row>
    <row r="296" spans="1:20" x14ac:dyDescent="0.3">
      <c r="A296" s="471"/>
      <c r="C296" s="290"/>
      <c r="D296" s="290"/>
      <c r="E296" s="290"/>
      <c r="F296" s="278"/>
      <c r="G296" s="284"/>
      <c r="H296" s="284"/>
      <c r="I296" s="284"/>
      <c r="J296" s="284"/>
      <c r="K296" s="284"/>
      <c r="L296" s="312"/>
      <c r="N296" s="280"/>
      <c r="O296" s="280"/>
      <c r="P296" s="313"/>
      <c r="Q296" s="314"/>
      <c r="S296" s="272"/>
      <c r="T296" s="278"/>
    </row>
    <row r="297" spans="1:20" x14ac:dyDescent="0.3">
      <c r="A297" s="471"/>
      <c r="C297" s="293"/>
      <c r="D297" s="293"/>
      <c r="E297" s="294"/>
      <c r="F297" s="278"/>
      <c r="G297" s="284"/>
      <c r="H297" s="284"/>
      <c r="I297" s="284"/>
      <c r="J297" s="284"/>
      <c r="K297" s="284"/>
      <c r="L297" s="312"/>
      <c r="N297" s="280"/>
      <c r="O297" s="280"/>
      <c r="P297" s="315" t="str">
        <f>+A262</f>
        <v>2,05</v>
      </c>
      <c r="Q297" s="314">
        <f>SUM(Q284:Q294)</f>
        <v>5466712.0007340005</v>
      </c>
      <c r="S297" s="272"/>
      <c r="T297" s="278"/>
    </row>
    <row r="298" spans="1:20" x14ac:dyDescent="0.3">
      <c r="A298" s="471"/>
      <c r="C298" s="293"/>
      <c r="D298" s="293"/>
      <c r="E298" s="294"/>
      <c r="F298" s="316"/>
      <c r="G298" s="317"/>
      <c r="H298" s="317"/>
      <c r="I298" s="317"/>
      <c r="J298" s="296"/>
      <c r="K298" s="297"/>
      <c r="L298" s="302"/>
      <c r="S298" s="272"/>
      <c r="T298" s="278"/>
    </row>
    <row r="299" spans="1:20" x14ac:dyDescent="0.3">
      <c r="A299" s="299"/>
      <c r="B299" s="293"/>
      <c r="C299" s="293"/>
      <c r="D299" s="293"/>
      <c r="E299" s="294"/>
      <c r="F299" s="293"/>
      <c r="G299" s="300" t="str">
        <f>+'INF. GENERAL'!$B$19</f>
        <v>JAVIER JOSÉ ROSADO MENDINUETA</v>
      </c>
      <c r="H299" s="301"/>
      <c r="I299" s="301"/>
      <c r="J299" s="301"/>
      <c r="K299" s="297"/>
      <c r="L299" s="302"/>
      <c r="S299" s="272"/>
      <c r="T299" s="278"/>
    </row>
    <row r="300" spans="1:20" x14ac:dyDescent="0.3">
      <c r="A300" s="299"/>
      <c r="B300" s="293"/>
      <c r="C300" s="293"/>
      <c r="D300" s="293"/>
      <c r="E300" s="294"/>
      <c r="F300" s="293"/>
      <c r="G300" s="303" t="str">
        <f>+'INF. GENERAL'!$B$20</f>
        <v>PROFESIONAL APOYO</v>
      </c>
      <c r="H300" s="301"/>
      <c r="I300" s="301"/>
      <c r="J300" s="301"/>
      <c r="K300" s="297"/>
      <c r="L300" s="302"/>
      <c r="S300" s="272"/>
      <c r="T300" s="278"/>
    </row>
    <row r="301" spans="1:20" ht="15" thickBot="1" x14ac:dyDescent="0.35">
      <c r="A301" s="235" t="s">
        <v>37</v>
      </c>
      <c r="B301" s="236"/>
      <c r="C301" s="236"/>
      <c r="D301" s="236"/>
      <c r="E301" s="237"/>
      <c r="F301" s="236"/>
      <c r="G301" s="318" t="str">
        <f>+'INF. GENERAL'!$B$21</f>
        <v>MP: 08700-52350</v>
      </c>
      <c r="H301" s="319"/>
      <c r="I301" s="319"/>
      <c r="J301" s="319"/>
      <c r="K301" s="236"/>
      <c r="L301" s="304" t="s">
        <v>37</v>
      </c>
      <c r="S301" s="272"/>
      <c r="T301" s="278"/>
    </row>
    <row r="302" spans="1:20" ht="18.600000000000001" thickBot="1" x14ac:dyDescent="0.35">
      <c r="A302" s="320" t="s">
        <v>37</v>
      </c>
      <c r="B302" s="201" t="s">
        <v>38</v>
      </c>
      <c r="C302" s="321"/>
      <c r="D302" s="321"/>
      <c r="E302" s="321"/>
      <c r="F302" s="321"/>
      <c r="G302" s="321"/>
      <c r="H302" s="321"/>
      <c r="I302" s="321"/>
      <c r="J302" s="321"/>
      <c r="K302" s="321"/>
      <c r="L302" s="322" t="s">
        <v>37</v>
      </c>
      <c r="S302" s="272"/>
      <c r="T302" s="278"/>
    </row>
    <row r="303" spans="1:20" ht="15" thickBot="1" x14ac:dyDescent="0.35">
      <c r="A303" s="235" t="s">
        <v>37</v>
      </c>
      <c r="B303" s="236"/>
      <c r="C303" s="236"/>
      <c r="D303" s="236"/>
      <c r="E303" s="237"/>
      <c r="F303" s="236"/>
      <c r="G303" s="238"/>
      <c r="H303" s="236"/>
      <c r="I303" s="236"/>
      <c r="J303" s="236"/>
      <c r="K303" s="236"/>
      <c r="L303" s="304" t="s">
        <v>37</v>
      </c>
      <c r="S303" s="272"/>
      <c r="T303" s="278"/>
    </row>
    <row r="304" spans="1:20" ht="15" thickBot="1" x14ac:dyDescent="0.35">
      <c r="A304" s="240" t="s">
        <v>39</v>
      </c>
      <c r="B304" s="241" t="s">
        <v>21</v>
      </c>
      <c r="C304" s="242" t="s">
        <v>20</v>
      </c>
      <c r="D304" s="243"/>
      <c r="E304" s="243"/>
      <c r="F304" s="243"/>
      <c r="G304" s="244"/>
      <c r="H304" s="325" t="s">
        <v>40</v>
      </c>
      <c r="I304" s="326"/>
      <c r="J304" s="327"/>
      <c r="K304" s="242" t="s">
        <v>41</v>
      </c>
      <c r="L304" s="244"/>
      <c r="M304" s="328"/>
      <c r="N304" s="323"/>
      <c r="O304" s="323"/>
      <c r="P304" s="323"/>
      <c r="Q304" s="323"/>
      <c r="R304" s="323"/>
      <c r="S304" s="335"/>
      <c r="T304" s="324"/>
    </row>
    <row r="305" spans="1:20" ht="28.8" thickBot="1" x14ac:dyDescent="0.35">
      <c r="A305" s="474" t="s">
        <v>2297</v>
      </c>
      <c r="B305" s="249" t="str">
        <f>VLOOKUP(A305,PRESUPUESTO!$A$3:$F$973,5,FALSE)</f>
        <v>m3</v>
      </c>
      <c r="C305" s="42" t="str">
        <f>VLOOKUP(A305,PRESUPUESTO!$A$3:$F$973,4,FALSE)</f>
        <v>Nivelación del terreno con corte</v>
      </c>
      <c r="D305" s="43"/>
      <c r="E305" s="44"/>
      <c r="F305" s="45"/>
      <c r="G305" s="46"/>
      <c r="H305" s="250" t="str">
        <f>VLOOKUP(A305,PRESUPUESTO!$A$3:$F$973,3,FALSE)</f>
        <v>EXCAVACIONES, RELLENOS Y SISTEMA DE DRENAJE</v>
      </c>
      <c r="I305" s="251"/>
      <c r="J305" s="252"/>
      <c r="K305" s="253">
        <f>ROUND(+L323,2)</f>
        <v>348.75</v>
      </c>
      <c r="L305" s="306"/>
      <c r="S305" s="272"/>
      <c r="T305" s="278"/>
    </row>
    <row r="306" spans="1:20" ht="15" thickBot="1" x14ac:dyDescent="0.35">
      <c r="A306" s="242" t="s">
        <v>42</v>
      </c>
      <c r="B306" s="243"/>
      <c r="C306" s="243"/>
      <c r="D306" s="243"/>
      <c r="E306" s="243"/>
      <c r="F306" s="244"/>
      <c r="G306" s="580" t="s">
        <v>43</v>
      </c>
      <c r="H306" s="582" t="s">
        <v>44</v>
      </c>
      <c r="I306" s="583"/>
      <c r="J306" s="583"/>
      <c r="K306" s="584"/>
      <c r="L306" s="580" t="s">
        <v>45</v>
      </c>
      <c r="S306" s="272"/>
      <c r="T306" s="278"/>
    </row>
    <row r="307" spans="1:20" ht="15" thickBot="1" x14ac:dyDescent="0.35">
      <c r="A307" s="585" t="e" vm="2">
        <v>#VALUE!</v>
      </c>
      <c r="B307" s="586"/>
      <c r="C307" s="586"/>
      <c r="D307" s="586"/>
      <c r="E307" s="586"/>
      <c r="F307" s="587"/>
      <c r="G307" s="581"/>
      <c r="H307" s="255" t="s">
        <v>46</v>
      </c>
      <c r="I307" s="255" t="s">
        <v>47</v>
      </c>
      <c r="J307" s="255" t="s">
        <v>48</v>
      </c>
      <c r="K307" s="256" t="s">
        <v>49</v>
      </c>
      <c r="L307" s="581"/>
      <c r="S307" s="272"/>
      <c r="T307" s="278"/>
    </row>
    <row r="308" spans="1:20" x14ac:dyDescent="0.3">
      <c r="A308" s="588"/>
      <c r="B308" s="579"/>
      <c r="C308" s="579"/>
      <c r="D308" s="579"/>
      <c r="E308" s="579"/>
      <c r="F308" s="589"/>
      <c r="G308" s="47" t="str">
        <f>+C305</f>
        <v>Nivelación del terreno con corte</v>
      </c>
      <c r="H308" s="257"/>
      <c r="I308" s="257"/>
      <c r="J308" s="257"/>
      <c r="K308" s="257"/>
      <c r="L308" s="307">
        <v>348.75</v>
      </c>
      <c r="S308" s="272"/>
      <c r="T308" s="278"/>
    </row>
    <row r="309" spans="1:20" x14ac:dyDescent="0.3">
      <c r="A309" s="588"/>
      <c r="B309" s="579"/>
      <c r="C309" s="579"/>
      <c r="D309" s="579"/>
      <c r="E309" s="579"/>
      <c r="F309" s="589"/>
      <c r="G309" s="47"/>
      <c r="H309" s="259"/>
      <c r="I309" s="259"/>
      <c r="J309" s="259"/>
      <c r="K309" s="259"/>
      <c r="L309" s="308">
        <f>+IF(B305="m2",H309*I309*K309,IF(B305="m3",H309*I309*J309*K309,IF(B305="ml",H309*K309,IF(B305="UND",K309,IF(B305="GLOBAL",K309,"")))))</f>
        <v>0</v>
      </c>
      <c r="S309" s="272"/>
      <c r="T309" s="278"/>
    </row>
    <row r="310" spans="1:20" x14ac:dyDescent="0.3">
      <c r="A310" s="588"/>
      <c r="B310" s="579"/>
      <c r="C310" s="579"/>
      <c r="D310" s="579"/>
      <c r="E310" s="579"/>
      <c r="F310" s="589"/>
      <c r="G310" s="47"/>
      <c r="H310" s="259"/>
      <c r="I310" s="259"/>
      <c r="J310" s="259"/>
      <c r="K310" s="259"/>
      <c r="L310" s="308">
        <f>+IF(B305="m2",H310*I310*K310,IF(B305="m3",H310*I310*J310*K310,IF(B305="ml",H310*K310,IF(B305="UND",K310,IF(B305="GLOBAL",K310,"")))))</f>
        <v>0</v>
      </c>
      <c r="S310" s="272"/>
      <c r="T310" s="278"/>
    </row>
    <row r="311" spans="1:20" x14ac:dyDescent="0.3">
      <c r="A311" s="588"/>
      <c r="B311" s="579"/>
      <c r="C311" s="579"/>
      <c r="D311" s="579"/>
      <c r="E311" s="579"/>
      <c r="F311" s="589"/>
      <c r="G311" s="47"/>
      <c r="H311" s="259"/>
      <c r="I311" s="259"/>
      <c r="J311" s="259"/>
      <c r="K311" s="259"/>
      <c r="L311" s="308">
        <f>+IF(B305="m2",H311*I311*K311,IF(B305="m3",H311*I311*J311*K311,IF(B305="ml",H311*K311,IF(B305="UND",K311,IF(B305="GLOBAL",K311,"")))))</f>
        <v>0</v>
      </c>
      <c r="S311" s="272"/>
      <c r="T311" s="278"/>
    </row>
    <row r="312" spans="1:20" x14ac:dyDescent="0.3">
      <c r="A312" s="588"/>
      <c r="B312" s="579"/>
      <c r="C312" s="579"/>
      <c r="D312" s="579"/>
      <c r="E312" s="579"/>
      <c r="F312" s="589"/>
      <c r="G312" s="47"/>
      <c r="H312" s="259"/>
      <c r="I312" s="259"/>
      <c r="J312" s="259"/>
      <c r="K312" s="259"/>
      <c r="L312" s="308">
        <f>+IF(B305="m2",H312*I312*K312,IF(B305="m3",H312*I312*J312*K312,IF(B305="ml",H312*K312,IF(B305="UND",K312,IF(B305="GLOBAL",K312,"")))))</f>
        <v>0</v>
      </c>
      <c r="S312" s="272"/>
      <c r="T312" s="278"/>
    </row>
    <row r="313" spans="1:20" x14ac:dyDescent="0.3">
      <c r="A313" s="588"/>
      <c r="B313" s="579"/>
      <c r="C313" s="579"/>
      <c r="D313" s="579"/>
      <c r="E313" s="579"/>
      <c r="F313" s="589"/>
      <c r="G313" s="47"/>
      <c r="H313" s="259"/>
      <c r="I313" s="259"/>
      <c r="J313" s="259"/>
      <c r="K313" s="259"/>
      <c r="L313" s="308">
        <f>+IF(B305="m2",H313*I313*K313,IF(B305="m3",H313*I313*J313*K313,IF(B305="ml",H313*K313,IF(B305="UND",K313,IF(B305="GLOBAL",K313,"")))))</f>
        <v>0</v>
      </c>
      <c r="S313" s="272"/>
      <c r="T313" s="278"/>
    </row>
    <row r="314" spans="1:20" x14ac:dyDescent="0.3">
      <c r="A314" s="588"/>
      <c r="B314" s="579"/>
      <c r="C314" s="579"/>
      <c r="D314" s="579"/>
      <c r="E314" s="579"/>
      <c r="F314" s="589"/>
      <c r="G314" s="47"/>
      <c r="H314" s="259"/>
      <c r="I314" s="259"/>
      <c r="J314" s="259"/>
      <c r="K314" s="259"/>
      <c r="L314" s="308">
        <f>+IF(B305="m2",H314*I314*K314,IF(B305="m3",H314*I314*J314*K314,IF(B305="ml",H314*K314,IF(B305="UND",K314,IF(B305="GLOBAL",K314,"")))))</f>
        <v>0</v>
      </c>
      <c r="S314" s="272"/>
      <c r="T314" s="278"/>
    </row>
    <row r="315" spans="1:20" x14ac:dyDescent="0.3">
      <c r="A315" s="588"/>
      <c r="B315" s="579"/>
      <c r="C315" s="579"/>
      <c r="D315" s="579"/>
      <c r="E315" s="579"/>
      <c r="F315" s="589"/>
      <c r="G315" s="47"/>
      <c r="H315" s="259"/>
      <c r="I315" s="259"/>
      <c r="J315" s="259"/>
      <c r="K315" s="259"/>
      <c r="L315" s="308">
        <f>+IF(B305="m2",H315*I315*K315,IF(B305="m3",H315*I315*J315*K315,IF(B305="ml",H315*K315,IF(B305="UND",K315,IF(B305="GLOBAL",K315,"")))))</f>
        <v>0</v>
      </c>
      <c r="S315" s="272"/>
      <c r="T315" s="278"/>
    </row>
    <row r="316" spans="1:20" x14ac:dyDescent="0.3">
      <c r="A316" s="588"/>
      <c r="B316" s="579"/>
      <c r="C316" s="579"/>
      <c r="D316" s="579"/>
      <c r="E316" s="579"/>
      <c r="F316" s="589"/>
      <c r="G316" s="47"/>
      <c r="H316" s="259"/>
      <c r="I316" s="259"/>
      <c r="J316" s="259"/>
      <c r="K316" s="259"/>
      <c r="L316" s="308">
        <f>+IF(B305="m2",H316*I316*K316,IF(B305="m3",H316*I316*J316*K316,IF(B305="ml",H316*K316,IF(B305="UND",K316,IF(B305="GLOBAL",K316,"")))))</f>
        <v>0</v>
      </c>
      <c r="S316" s="272"/>
      <c r="T316" s="278"/>
    </row>
    <row r="317" spans="1:20" x14ac:dyDescent="0.3">
      <c r="A317" s="588"/>
      <c r="B317" s="579"/>
      <c r="C317" s="579"/>
      <c r="D317" s="579"/>
      <c r="E317" s="579"/>
      <c r="F317" s="589"/>
      <c r="G317" s="47"/>
      <c r="H317" s="259"/>
      <c r="I317" s="259"/>
      <c r="J317" s="259"/>
      <c r="K317" s="259"/>
      <c r="L317" s="308">
        <f>+IF(B305="m2",H317*I317*K317,IF(B305="m3",H317*I317*J317*K317,IF(B305="ml",H317*K317,IF(B305="UND",K317,IF(B305="GLOBAL",K317,"")))))</f>
        <v>0</v>
      </c>
      <c r="S317" s="272"/>
      <c r="T317" s="278"/>
    </row>
    <row r="318" spans="1:20" x14ac:dyDescent="0.3">
      <c r="A318" s="588"/>
      <c r="B318" s="579"/>
      <c r="C318" s="579"/>
      <c r="D318" s="579"/>
      <c r="E318" s="579"/>
      <c r="F318" s="589"/>
      <c r="G318" s="47"/>
      <c r="H318" s="259"/>
      <c r="I318" s="259"/>
      <c r="J318" s="259"/>
      <c r="K318" s="259"/>
      <c r="L318" s="308">
        <f>+IF(B305="m2",H318*I318*K318,IF(B305="m3",H318*I318*J318*K318,IF(B305="ml",H318*K318,IF(B305="UND",K318,IF(B305="GLOBAL",K318,"")))))</f>
        <v>0</v>
      </c>
      <c r="S318" s="272"/>
      <c r="T318" s="278"/>
    </row>
    <row r="319" spans="1:20" x14ac:dyDescent="0.3">
      <c r="A319" s="588"/>
      <c r="B319" s="579"/>
      <c r="C319" s="579"/>
      <c r="D319" s="579"/>
      <c r="E319" s="579"/>
      <c r="F319" s="589"/>
      <c r="G319" s="47"/>
      <c r="H319" s="259"/>
      <c r="I319" s="259"/>
      <c r="J319" s="259"/>
      <c r="K319" s="259"/>
      <c r="L319" s="308">
        <f>+IF(B305="m2",H319*I319*K319,IF(B305="m3",H319*I319*J319*K319,IF(B305="ml",H319*K319,IF(B305="UND",K319,IF(B305="GLOBAL",K319,"")))))</f>
        <v>0</v>
      </c>
      <c r="S319" s="272"/>
      <c r="T319" s="278"/>
    </row>
    <row r="320" spans="1:20" x14ac:dyDescent="0.3">
      <c r="A320" s="588"/>
      <c r="B320" s="579"/>
      <c r="C320" s="579"/>
      <c r="D320" s="579"/>
      <c r="E320" s="579"/>
      <c r="F320" s="589"/>
      <c r="G320" s="47"/>
      <c r="H320" s="259"/>
      <c r="I320" s="259"/>
      <c r="J320" s="259"/>
      <c r="K320" s="259"/>
      <c r="L320" s="308">
        <f>+IF(B305="m2",H320*I320*K320,IF(B305="m3",H320*I320*J320*K320,IF(B305="ml",H320*K320,IF(B305="UND",K320,IF(B305="GLOBAL",K320,"")))))</f>
        <v>0</v>
      </c>
      <c r="S320" s="272"/>
      <c r="T320" s="278"/>
    </row>
    <row r="321" spans="1:20" x14ac:dyDescent="0.3">
      <c r="A321" s="588"/>
      <c r="B321" s="579"/>
      <c r="C321" s="579"/>
      <c r="D321" s="579"/>
      <c r="E321" s="579"/>
      <c r="F321" s="589"/>
      <c r="G321" s="47"/>
      <c r="H321" s="259"/>
      <c r="I321" s="259"/>
      <c r="J321" s="259"/>
      <c r="K321" s="259"/>
      <c r="L321" s="308">
        <f>+IF(B305="m2",H321*I321*K321,IF(B305="m3",H321*I321*J321*K321,IF(B305="ml",H321*K321,IF(B305="UND",K321,IF(B305="GLOBAL",K321,"")))))</f>
        <v>0</v>
      </c>
      <c r="S321" s="272"/>
      <c r="T321" s="278"/>
    </row>
    <row r="322" spans="1:20" x14ac:dyDescent="0.3">
      <c r="A322" s="588"/>
      <c r="B322" s="579"/>
      <c r="C322" s="579"/>
      <c r="D322" s="579"/>
      <c r="E322" s="579"/>
      <c r="F322" s="589"/>
      <c r="G322" s="47"/>
      <c r="H322" s="259"/>
      <c r="I322" s="259"/>
      <c r="J322" s="259"/>
      <c r="K322" s="259"/>
      <c r="L322" s="308">
        <f>+IF(B305="m2",H322*I322*K322,IF(B305="m3",H322*I322*J322*K322,IF(B305="ml",H322*K322,IF(B305="UND",K322,IF(B305="GLOBAL",K322,"")))))</f>
        <v>0</v>
      </c>
      <c r="S322" s="272"/>
      <c r="T322" s="278"/>
    </row>
    <row r="323" spans="1:20" ht="15" thickBot="1" x14ac:dyDescent="0.35">
      <c r="A323" s="590"/>
      <c r="B323" s="591"/>
      <c r="C323" s="591"/>
      <c r="D323" s="591"/>
      <c r="E323" s="591"/>
      <c r="F323" s="592"/>
      <c r="G323" s="261" t="s">
        <v>31</v>
      </c>
      <c r="H323" s="262"/>
      <c r="I323" s="262"/>
      <c r="J323" s="262"/>
      <c r="K323" s="262"/>
      <c r="L323" s="309">
        <f>SUM(L308:L322)</f>
        <v>348.75</v>
      </c>
      <c r="N323" s="264" t="str">
        <f>+A305</f>
        <v>2,06</v>
      </c>
      <c r="O323" s="331">
        <f>+L323</f>
        <v>348.75</v>
      </c>
      <c r="S323" s="272"/>
      <c r="T323" s="278"/>
    </row>
    <row r="324" spans="1:20" ht="15" thickBot="1" x14ac:dyDescent="0.35">
      <c r="A324" s="265"/>
      <c r="B324" s="266"/>
      <c r="C324" s="266"/>
      <c r="D324" s="266"/>
      <c r="E324" s="267"/>
      <c r="L324" s="310"/>
      <c r="S324" s="272"/>
      <c r="T324" s="278"/>
    </row>
    <row r="325" spans="1:20" ht="15" thickBot="1" x14ac:dyDescent="0.35">
      <c r="A325" s="269" t="s">
        <v>50</v>
      </c>
      <c r="B325" s="270"/>
      <c r="C325" s="270"/>
      <c r="D325" s="270"/>
      <c r="E325" s="271"/>
      <c r="F325" s="278"/>
      <c r="G325" s="579" t="s">
        <v>2280</v>
      </c>
      <c r="H325" s="579"/>
      <c r="I325" s="579"/>
      <c r="J325" s="579"/>
      <c r="K325" s="272"/>
      <c r="L325" s="311"/>
      <c r="S325" s="272"/>
      <c r="T325" s="278"/>
    </row>
    <row r="326" spans="1:20" ht="15" thickBot="1" x14ac:dyDescent="0.35">
      <c r="A326" s="274" t="s">
        <v>18</v>
      </c>
      <c r="B326" s="275" t="s">
        <v>51</v>
      </c>
      <c r="C326" s="275" t="s">
        <v>21</v>
      </c>
      <c r="D326" s="275" t="s">
        <v>52</v>
      </c>
      <c r="E326" s="276" t="s">
        <v>22</v>
      </c>
      <c r="F326" s="277"/>
      <c r="G326" s="579"/>
      <c r="H326" s="579"/>
      <c r="I326" s="579"/>
      <c r="J326" s="579"/>
      <c r="K326" s="284"/>
      <c r="L326" s="312"/>
      <c r="S326" s="272"/>
      <c r="T326" s="278"/>
    </row>
    <row r="327" spans="1:20" x14ac:dyDescent="0.3">
      <c r="A327" s="191" t="str">
        <f>IFERROR(VLOOKUP(B327,INSUMOS!A:D,4,FALSE),"")</f>
        <v/>
      </c>
      <c r="B327" s="163">
        <f>+IFERROR(VLOOKUP(N327,APU!J:M,4,FALSE),"")</f>
        <v>0</v>
      </c>
      <c r="C327" s="163" t="str">
        <f>+IFERROR(VLOOKUP(B327,INSUMOS!A:D,2,FALSE),"")</f>
        <v/>
      </c>
      <c r="D327" s="192">
        <f>IFERROR(VLOOKUP(N327,APU!J:N,5,FALSE),"")</f>
        <v>0</v>
      </c>
      <c r="E327" s="279">
        <f>IFERROR(D327*K305,"")</f>
        <v>0</v>
      </c>
      <c r="F327" s="278"/>
      <c r="G327" s="284"/>
      <c r="H327" s="284"/>
      <c r="I327" s="284"/>
      <c r="J327" s="284"/>
      <c r="K327" s="284"/>
      <c r="L327" s="312"/>
      <c r="N327" s="280" t="str">
        <f>+_xlfn.CONCAT("M",N323,O327)</f>
        <v>M2,061</v>
      </c>
      <c r="O327" s="280">
        <v>1</v>
      </c>
      <c r="P327" s="281" t="str">
        <f>+IFERROR(VLOOKUP(B327,INSUMOS!A:D,3,FALSE),"")</f>
        <v/>
      </c>
      <c r="Q327" s="282" t="str">
        <f t="shared" ref="Q327:Q337" si="7">IFERROR(E327*P327,"")</f>
        <v/>
      </c>
      <c r="S327" s="272"/>
      <c r="T327" s="278"/>
    </row>
    <row r="328" spans="1:20" x14ac:dyDescent="0.3">
      <c r="A328" s="191" t="str">
        <f>IFERROR(VLOOKUP(B328,INSUMOS!A:D,4,FALSE),"")</f>
        <v/>
      </c>
      <c r="B328" s="163">
        <f>+IFERROR(VLOOKUP(N328,APU!J:M,4,FALSE),"")</f>
        <v>0</v>
      </c>
      <c r="C328" s="163" t="str">
        <f>+IFERROR(VLOOKUP(B328,INSUMOS!A:D,2,FALSE),"")</f>
        <v/>
      </c>
      <c r="D328" s="192">
        <f>IFERROR(VLOOKUP(N328,APU!J:N,5,FALSE),"")</f>
        <v>0</v>
      </c>
      <c r="E328" s="283">
        <f>IFERROR(D328*K305,"")</f>
        <v>0</v>
      </c>
      <c r="F328" s="278"/>
      <c r="G328" s="284"/>
      <c r="H328" s="284"/>
      <c r="I328" s="284"/>
      <c r="J328" s="284"/>
      <c r="K328" s="284"/>
      <c r="L328" s="312"/>
      <c r="N328" s="280" t="str">
        <f>+_xlfn.CONCAT("M",N323,O328)</f>
        <v>M2,062</v>
      </c>
      <c r="O328" s="280">
        <v>2</v>
      </c>
      <c r="P328" s="281" t="str">
        <f>+IFERROR(VLOOKUP(B328,INSUMOS!A:D,3,FALSE),"")</f>
        <v/>
      </c>
      <c r="Q328" s="282" t="str">
        <f t="shared" si="7"/>
        <v/>
      </c>
      <c r="S328" s="272"/>
      <c r="T328" s="278"/>
    </row>
    <row r="329" spans="1:20" x14ac:dyDescent="0.3">
      <c r="A329" s="191" t="str">
        <f>IFERROR(VLOOKUP(B329,INSUMOS!A:D,4,FALSE),"")</f>
        <v/>
      </c>
      <c r="B329" s="163">
        <f>+IFERROR(VLOOKUP(N329,APU!J:M,4,FALSE),"")</f>
        <v>0</v>
      </c>
      <c r="C329" s="163" t="str">
        <f>+IFERROR(VLOOKUP(B329,INSUMOS!A:D,2,FALSE),"")</f>
        <v/>
      </c>
      <c r="D329" s="192">
        <f>IFERROR(VLOOKUP(N329,APU!J:N,5,FALSE),"")</f>
        <v>0</v>
      </c>
      <c r="E329" s="283">
        <f>IFERROR(D329*K305,"")</f>
        <v>0</v>
      </c>
      <c r="F329" s="278"/>
      <c r="G329" s="284"/>
      <c r="H329" s="284"/>
      <c r="I329" s="284"/>
      <c r="J329" s="284"/>
      <c r="K329" s="284"/>
      <c r="L329" s="312"/>
      <c r="N329" s="280" t="str">
        <f>+_xlfn.CONCAT("M",N323,O329)</f>
        <v>M2,063</v>
      </c>
      <c r="O329" s="280">
        <v>3</v>
      </c>
      <c r="P329" s="281" t="str">
        <f>+IFERROR(VLOOKUP(B329,INSUMOS!A:D,3,FALSE),"")</f>
        <v/>
      </c>
      <c r="Q329" s="282" t="str">
        <f t="shared" si="7"/>
        <v/>
      </c>
      <c r="S329" s="272"/>
      <c r="T329" s="278"/>
    </row>
    <row r="330" spans="1:20" x14ac:dyDescent="0.3">
      <c r="A330" s="191" t="str">
        <f>IFERROR(VLOOKUP(B330,INSUMOS!A:D,4,FALSE),"")</f>
        <v/>
      </c>
      <c r="B330" s="163">
        <f>+IFERROR(VLOOKUP(N330,APU!J:M,4,FALSE),"")</f>
        <v>0</v>
      </c>
      <c r="C330" s="163" t="str">
        <f>+IFERROR(VLOOKUP(B330,INSUMOS!A:D,2,FALSE),"")</f>
        <v/>
      </c>
      <c r="D330" s="192">
        <f>IFERROR(VLOOKUP(N330,APU!J:N,5,FALSE),"")</f>
        <v>0</v>
      </c>
      <c r="E330" s="283">
        <f>IFERROR(D330*K305,"")</f>
        <v>0</v>
      </c>
      <c r="F330" s="278"/>
      <c r="G330" s="284"/>
      <c r="H330" s="284"/>
      <c r="I330" s="284"/>
      <c r="J330" s="284"/>
      <c r="K330" s="284"/>
      <c r="L330" s="312"/>
      <c r="N330" s="280" t="str">
        <f>+_xlfn.CONCAT("M",N323,O330)</f>
        <v>M2,064</v>
      </c>
      <c r="O330" s="280">
        <v>4</v>
      </c>
      <c r="P330" s="281" t="str">
        <f>+IFERROR(VLOOKUP(B330,INSUMOS!A:D,3,FALSE),"")</f>
        <v/>
      </c>
      <c r="Q330" s="282" t="str">
        <f t="shared" si="7"/>
        <v/>
      </c>
      <c r="S330" s="272"/>
      <c r="T330" s="278"/>
    </row>
    <row r="331" spans="1:20" x14ac:dyDescent="0.3">
      <c r="A331" s="191" t="str">
        <f>IFERROR(VLOOKUP(B331,INSUMOS!A:D,4,FALSE),"")</f>
        <v/>
      </c>
      <c r="B331" s="163">
        <f>+IFERROR(VLOOKUP(N331,APU!J:M,4,FALSE),"")</f>
        <v>0</v>
      </c>
      <c r="C331" s="163" t="str">
        <f>+IFERROR(VLOOKUP(B331,INSUMOS!A:D,2,FALSE),"")</f>
        <v/>
      </c>
      <c r="D331" s="192">
        <f>IFERROR(VLOOKUP(N331,APU!J:N,5,FALSE),"")</f>
        <v>0</v>
      </c>
      <c r="E331" s="283">
        <f>IFERROR(D331*K305,"")</f>
        <v>0</v>
      </c>
      <c r="F331" s="278"/>
      <c r="G331" s="284"/>
      <c r="H331" s="284"/>
      <c r="I331" s="284"/>
      <c r="J331" s="284"/>
      <c r="K331" s="284"/>
      <c r="L331" s="312"/>
      <c r="N331" s="280" t="str">
        <f>+_xlfn.CONCAT("M",N323,O331)</f>
        <v>M2,065</v>
      </c>
      <c r="O331" s="280">
        <v>5</v>
      </c>
      <c r="P331" s="281" t="str">
        <f>+IFERROR(VLOOKUP(B331,INSUMOS!A:D,3,FALSE),"")</f>
        <v/>
      </c>
      <c r="Q331" s="282" t="str">
        <f t="shared" si="7"/>
        <v/>
      </c>
      <c r="S331" s="272"/>
      <c r="T331" s="278"/>
    </row>
    <row r="332" spans="1:20" x14ac:dyDescent="0.3">
      <c r="A332" s="191" t="str">
        <f>IFERROR(VLOOKUP(B332,INSUMOS!A:D,4,FALSE),"")</f>
        <v/>
      </c>
      <c r="B332" s="163">
        <f>+IFERROR(VLOOKUP(N332,APU!J:M,4,FALSE),"")</f>
        <v>0</v>
      </c>
      <c r="C332" s="163" t="str">
        <f>+IFERROR(VLOOKUP(B332,INSUMOS!A:D,2,FALSE),"")</f>
        <v/>
      </c>
      <c r="D332" s="192">
        <f>IFERROR(VLOOKUP(N332,APU!J:N,5,FALSE),"")</f>
        <v>0</v>
      </c>
      <c r="E332" s="285">
        <f>IFERROR(D332*K305,"")</f>
        <v>0</v>
      </c>
      <c r="F332" s="278"/>
      <c r="G332" s="284"/>
      <c r="H332" s="284"/>
      <c r="I332" s="284"/>
      <c r="J332" s="284"/>
      <c r="K332" s="284"/>
      <c r="L332" s="312"/>
      <c r="N332" s="280" t="str">
        <f>+_xlfn.CONCAT("M",N323,O332)</f>
        <v>M2,066</v>
      </c>
      <c r="O332" s="280">
        <v>6</v>
      </c>
      <c r="P332" s="281" t="str">
        <f>+IFERROR(VLOOKUP(B332,INSUMOS!A:D,3,FALSE),"")</f>
        <v/>
      </c>
      <c r="Q332" s="282" t="str">
        <f t="shared" si="7"/>
        <v/>
      </c>
      <c r="S332" s="272"/>
      <c r="T332" s="278"/>
    </row>
    <row r="333" spans="1:20" x14ac:dyDescent="0.3">
      <c r="A333" s="191" t="str">
        <f>IFERROR(VLOOKUP(B333,INSUMOS!A:D,4,FALSE),"")</f>
        <v/>
      </c>
      <c r="B333" s="163">
        <f>+IFERROR(VLOOKUP(N333,APU!J:M,4,FALSE),"")</f>
        <v>0</v>
      </c>
      <c r="C333" s="163" t="str">
        <f>+IFERROR(VLOOKUP(B333,INSUMOS!A:D,2,FALSE),"")</f>
        <v/>
      </c>
      <c r="D333" s="192">
        <f>IFERROR(VLOOKUP(N333,APU!J:N,5,FALSE),"")</f>
        <v>0</v>
      </c>
      <c r="E333" s="285">
        <f>IFERROR(D333*K305,"")</f>
        <v>0</v>
      </c>
      <c r="F333" s="278"/>
      <c r="G333" s="284"/>
      <c r="H333" s="284"/>
      <c r="I333" s="284"/>
      <c r="J333" s="284"/>
      <c r="K333" s="284"/>
      <c r="L333" s="312"/>
      <c r="N333" s="280" t="str">
        <f>+_xlfn.CONCAT("M",N323,O333)</f>
        <v>M2,067</v>
      </c>
      <c r="O333" s="280">
        <v>7</v>
      </c>
      <c r="P333" s="281" t="str">
        <f>+IFERROR(VLOOKUP(B333,INSUMOS!A:D,3,FALSE),"")</f>
        <v/>
      </c>
      <c r="Q333" s="282" t="str">
        <f t="shared" si="7"/>
        <v/>
      </c>
      <c r="S333" s="272"/>
      <c r="T333" s="278"/>
    </row>
    <row r="334" spans="1:20" x14ac:dyDescent="0.3">
      <c r="A334" s="191" t="str">
        <f>IFERROR(VLOOKUP(B334,INSUMOS!A:D,4,FALSE),"")</f>
        <v/>
      </c>
      <c r="B334" s="163">
        <f>+IFERROR(VLOOKUP(N334,APU!J:M,4,FALSE),"")</f>
        <v>0</v>
      </c>
      <c r="C334" s="163" t="str">
        <f>+IFERROR(VLOOKUP(B334,INSUMOS!A:D,2,FALSE),"")</f>
        <v/>
      </c>
      <c r="D334" s="192">
        <f>IFERROR(VLOOKUP(N334,APU!J:N,5,FALSE),"")</f>
        <v>0</v>
      </c>
      <c r="E334" s="285">
        <f>IFERROR(D334*K305,"")</f>
        <v>0</v>
      </c>
      <c r="F334" s="278"/>
      <c r="G334" s="284"/>
      <c r="H334" s="284"/>
      <c r="I334" s="284"/>
      <c r="J334" s="284"/>
      <c r="K334" s="284"/>
      <c r="L334" s="312"/>
      <c r="N334" s="280" t="str">
        <f>+_xlfn.CONCAT("M",N323,O334)</f>
        <v>M2,068</v>
      </c>
      <c r="O334" s="280">
        <v>8</v>
      </c>
      <c r="P334" s="281" t="str">
        <f>+IFERROR(VLOOKUP(B334,INSUMOS!A:D,3,FALSE),"")</f>
        <v/>
      </c>
      <c r="Q334" s="282" t="str">
        <f t="shared" si="7"/>
        <v/>
      </c>
      <c r="S334" s="272"/>
      <c r="T334" s="278"/>
    </row>
    <row r="335" spans="1:20" x14ac:dyDescent="0.3">
      <c r="A335" s="191" t="str">
        <f>IFERROR(VLOOKUP(B335,INSUMOS!A:D,4,FALSE),"")</f>
        <v/>
      </c>
      <c r="B335" s="163">
        <f>+IFERROR(VLOOKUP(N335,APU!J:M,4,FALSE),"")</f>
        <v>0</v>
      </c>
      <c r="C335" s="163" t="str">
        <f>+IFERROR(VLOOKUP(B335,INSUMOS!A:D,2,FALSE),"")</f>
        <v/>
      </c>
      <c r="D335" s="192">
        <f>IFERROR(VLOOKUP(N335,APU!J:N,5,FALSE),"")</f>
        <v>0</v>
      </c>
      <c r="E335" s="285">
        <f>IFERROR(D335*K305,"")</f>
        <v>0</v>
      </c>
      <c r="F335" s="278"/>
      <c r="G335" s="284"/>
      <c r="H335" s="284"/>
      <c r="I335" s="284"/>
      <c r="J335" s="284"/>
      <c r="K335" s="284"/>
      <c r="L335" s="312"/>
      <c r="N335" s="280" t="str">
        <f>+_xlfn.CONCAT("M",N323,O335)</f>
        <v>M2,069</v>
      </c>
      <c r="O335" s="280">
        <v>9</v>
      </c>
      <c r="P335" s="281" t="str">
        <f>+IFERROR(VLOOKUP(B335,INSUMOS!A:D,3,FALSE),"")</f>
        <v/>
      </c>
      <c r="Q335" s="282" t="str">
        <f t="shared" si="7"/>
        <v/>
      </c>
      <c r="S335" s="272"/>
      <c r="T335" s="278"/>
    </row>
    <row r="336" spans="1:20" x14ac:dyDescent="0.3">
      <c r="A336" s="191" t="str">
        <f>IFERROR(VLOOKUP(B336,INSUMOS!A:D,4,FALSE),"")</f>
        <v/>
      </c>
      <c r="B336" s="163">
        <f>+IFERROR(VLOOKUP(N336,APU!J:M,4,FALSE),"")</f>
        <v>0</v>
      </c>
      <c r="C336" s="163" t="str">
        <f>+IFERROR(VLOOKUP(B336,INSUMOS!A:D,2,FALSE),"")</f>
        <v/>
      </c>
      <c r="D336" s="192">
        <f>IFERROR(VLOOKUP(N336,APU!J:N,5,FALSE),"")</f>
        <v>0</v>
      </c>
      <c r="E336" s="285">
        <f>IFERROR(D336*K305,"")</f>
        <v>0</v>
      </c>
      <c r="F336" s="278"/>
      <c r="G336" s="284"/>
      <c r="H336" s="284"/>
      <c r="I336" s="284"/>
      <c r="J336" s="284"/>
      <c r="K336" s="284"/>
      <c r="L336" s="312"/>
      <c r="N336" s="280" t="str">
        <f>+_xlfn.CONCAT("M",N323,O336)</f>
        <v>M2,0610</v>
      </c>
      <c r="O336" s="280">
        <v>10</v>
      </c>
      <c r="P336" s="281" t="str">
        <f>+IFERROR(VLOOKUP(B336,INSUMOS!A:D,3,FALSE),"")</f>
        <v/>
      </c>
      <c r="Q336" s="282" t="str">
        <f t="shared" si="7"/>
        <v/>
      </c>
      <c r="S336" s="272"/>
      <c r="T336" s="278"/>
    </row>
    <row r="337" spans="1:20" ht="15" thickBot="1" x14ac:dyDescent="0.35">
      <c r="A337" s="286" t="str">
        <f>IFERROR(VLOOKUP(B337,INSUMOS!A:D,4,FALSE),"")</f>
        <v/>
      </c>
      <c r="B337" s="287">
        <f>+IFERROR(VLOOKUP(N337,APU!J:M,4,FALSE),"")</f>
        <v>0</v>
      </c>
      <c r="C337" s="287" t="str">
        <f>+IFERROR(VLOOKUP(B337,INSUMOS!A:D,2,FALSE),"")</f>
        <v/>
      </c>
      <c r="D337" s="288">
        <f>IFERROR(VLOOKUP(N337,APU!J:N,5,FALSE),"")</f>
        <v>0</v>
      </c>
      <c r="E337" s="289">
        <f>IFERROR(D337*K305,"")</f>
        <v>0</v>
      </c>
      <c r="F337" s="278"/>
      <c r="G337" s="284"/>
      <c r="H337" s="284"/>
      <c r="I337" s="284"/>
      <c r="J337" s="284"/>
      <c r="K337" s="284"/>
      <c r="L337" s="312"/>
      <c r="N337" s="280" t="str">
        <f>+_xlfn.CONCAT("M",N323,O337)</f>
        <v>M2,0611</v>
      </c>
      <c r="O337" s="280">
        <v>11</v>
      </c>
      <c r="P337" s="281" t="str">
        <f>+IFERROR(VLOOKUP(B337,INSUMOS!A:D,3,FALSE),"")</f>
        <v/>
      </c>
      <c r="Q337" s="282" t="str">
        <f t="shared" si="7"/>
        <v/>
      </c>
      <c r="S337" s="272"/>
      <c r="T337" s="278"/>
    </row>
    <row r="338" spans="1:20" x14ac:dyDescent="0.3">
      <c r="A338" s="471"/>
      <c r="C338" s="290"/>
      <c r="D338" s="290"/>
      <c r="E338" s="290"/>
      <c r="F338" s="278"/>
      <c r="G338" s="291"/>
      <c r="H338" s="473"/>
      <c r="I338" s="284"/>
      <c r="J338" s="272"/>
      <c r="K338" s="284"/>
      <c r="L338" s="312"/>
      <c r="N338" s="280"/>
      <c r="O338" s="280"/>
      <c r="P338" s="313"/>
      <c r="Q338" s="314"/>
      <c r="S338" s="272"/>
      <c r="T338" s="278"/>
    </row>
    <row r="339" spans="1:20" x14ac:dyDescent="0.3">
      <c r="A339" s="471"/>
      <c r="C339" s="290"/>
      <c r="D339" s="290"/>
      <c r="E339" s="290"/>
      <c r="F339" s="278"/>
      <c r="G339" s="291"/>
      <c r="H339" s="473"/>
      <c r="I339" s="284"/>
      <c r="J339" s="272"/>
      <c r="K339" s="284"/>
      <c r="L339" s="312"/>
      <c r="N339" s="280"/>
      <c r="O339" s="280"/>
      <c r="P339" s="313"/>
      <c r="Q339" s="314"/>
      <c r="S339" s="272"/>
      <c r="T339" s="278"/>
    </row>
    <row r="340" spans="1:20" x14ac:dyDescent="0.3">
      <c r="A340" s="471"/>
      <c r="C340" s="293"/>
      <c r="D340" s="293"/>
      <c r="E340" s="294"/>
      <c r="F340" s="278"/>
      <c r="G340" s="234"/>
      <c r="H340" s="234"/>
      <c r="I340" s="284"/>
      <c r="J340" s="272"/>
      <c r="K340" s="284"/>
      <c r="L340" s="312"/>
      <c r="N340" s="280"/>
      <c r="O340" s="280"/>
      <c r="P340" s="315" t="str">
        <f>+A305</f>
        <v>2,06</v>
      </c>
      <c r="Q340" s="314">
        <f>SUM(Q327:Q337)</f>
        <v>0</v>
      </c>
      <c r="S340" s="272"/>
      <c r="T340" s="278"/>
    </row>
    <row r="341" spans="1:20" x14ac:dyDescent="0.3">
      <c r="A341" s="471"/>
      <c r="C341" s="293"/>
      <c r="D341" s="293"/>
      <c r="E341" s="294"/>
      <c r="F341" s="316"/>
      <c r="G341" s="295"/>
      <c r="H341" s="295"/>
      <c r="I341" s="295"/>
      <c r="J341" s="296"/>
      <c r="K341" s="297"/>
      <c r="L341" s="302"/>
      <c r="S341" s="272"/>
      <c r="T341" s="278"/>
    </row>
    <row r="342" spans="1:20" x14ac:dyDescent="0.3">
      <c r="A342" s="299"/>
      <c r="B342" s="293"/>
      <c r="C342" s="293"/>
      <c r="D342" s="293"/>
      <c r="E342" s="294"/>
      <c r="F342" s="293"/>
      <c r="G342" s="300" t="str">
        <f>+'INF. GENERAL'!$B$19</f>
        <v>JAVIER JOSÉ ROSADO MENDINUETA</v>
      </c>
      <c r="H342" s="301"/>
      <c r="I342" s="301"/>
      <c r="J342" s="301"/>
      <c r="K342" s="297"/>
      <c r="L342" s="302"/>
      <c r="S342" s="272"/>
      <c r="T342" s="278"/>
    </row>
    <row r="343" spans="1:20" x14ac:dyDescent="0.3">
      <c r="A343" s="299"/>
      <c r="B343" s="293"/>
      <c r="C343" s="293"/>
      <c r="D343" s="293"/>
      <c r="E343" s="294"/>
      <c r="F343" s="293"/>
      <c r="G343" s="303" t="str">
        <f>+'INF. GENERAL'!$B$20</f>
        <v>PROFESIONAL APOYO</v>
      </c>
      <c r="H343" s="301"/>
      <c r="I343" s="301"/>
      <c r="J343" s="301"/>
      <c r="K343" s="297"/>
      <c r="L343" s="302"/>
      <c r="S343" s="272"/>
      <c r="T343" s="278"/>
    </row>
    <row r="344" spans="1:20" ht="15" thickBot="1" x14ac:dyDescent="0.35">
      <c r="A344" s="235" t="s">
        <v>37</v>
      </c>
      <c r="B344" s="236"/>
      <c r="C344" s="236"/>
      <c r="D344" s="236"/>
      <c r="E344" s="237"/>
      <c r="F344" s="236"/>
      <c r="G344" s="318" t="str">
        <f>+'INF. GENERAL'!$B$21</f>
        <v>MP: 08700-52350</v>
      </c>
      <c r="H344" s="319"/>
      <c r="I344" s="319"/>
      <c r="J344" s="319"/>
      <c r="K344" s="236"/>
      <c r="L344" s="304" t="s">
        <v>37</v>
      </c>
      <c r="S344" s="272"/>
      <c r="T344" s="278"/>
    </row>
    <row r="345" spans="1:20" ht="18.600000000000001" thickBot="1" x14ac:dyDescent="0.35">
      <c r="A345" s="320" t="s">
        <v>37</v>
      </c>
      <c r="B345" s="201" t="s">
        <v>38</v>
      </c>
      <c r="C345" s="321"/>
      <c r="D345" s="321"/>
      <c r="E345" s="321"/>
      <c r="F345" s="321"/>
      <c r="G345" s="321"/>
      <c r="H345" s="321"/>
      <c r="I345" s="321"/>
      <c r="J345" s="321"/>
      <c r="K345" s="321"/>
      <c r="L345" s="322" t="s">
        <v>37</v>
      </c>
      <c r="S345" s="272"/>
      <c r="T345" s="278"/>
    </row>
    <row r="346" spans="1:20" ht="15" thickBot="1" x14ac:dyDescent="0.35">
      <c r="A346" s="235" t="s">
        <v>37</v>
      </c>
      <c r="B346" s="236"/>
      <c r="C346" s="236"/>
      <c r="D346" s="236"/>
      <c r="E346" s="237"/>
      <c r="F346" s="236"/>
      <c r="G346" s="238"/>
      <c r="H346" s="236"/>
      <c r="I346" s="236"/>
      <c r="J346" s="236"/>
      <c r="K346" s="236"/>
      <c r="L346" s="304" t="s">
        <v>37</v>
      </c>
      <c r="S346" s="272"/>
      <c r="T346" s="278"/>
    </row>
    <row r="347" spans="1:20" ht="15" thickBot="1" x14ac:dyDescent="0.35">
      <c r="A347" s="240" t="s">
        <v>39</v>
      </c>
      <c r="B347" s="241" t="s">
        <v>21</v>
      </c>
      <c r="C347" s="242" t="s">
        <v>20</v>
      </c>
      <c r="D347" s="243"/>
      <c r="E347" s="243"/>
      <c r="F347" s="243"/>
      <c r="G347" s="244"/>
      <c r="H347" s="325" t="s">
        <v>40</v>
      </c>
      <c r="I347" s="326"/>
      <c r="J347" s="327"/>
      <c r="K347" s="242" t="s">
        <v>41</v>
      </c>
      <c r="L347" s="244"/>
      <c r="M347" s="328"/>
      <c r="N347" s="323"/>
      <c r="O347" s="323"/>
      <c r="P347" s="323"/>
      <c r="Q347" s="323"/>
      <c r="R347" s="323"/>
      <c r="S347" s="335"/>
      <c r="T347" s="324"/>
    </row>
    <row r="348" spans="1:20" ht="28.8" thickBot="1" x14ac:dyDescent="0.35">
      <c r="A348" s="474" t="s">
        <v>2296</v>
      </c>
      <c r="B348" s="249" t="str">
        <f>VLOOKUP(A348,PRESUPUESTO!$A$3:$F$973,5,FALSE)</f>
        <v>m3</v>
      </c>
      <c r="C348" s="42" t="str">
        <f>VLOOKUP(A348,PRESUPUESTO!$A$3:$F$973,4,FALSE)</f>
        <v>Nivelacion y relleno de la cancha, incluye compactacion</v>
      </c>
      <c r="D348" s="43"/>
      <c r="E348" s="44"/>
      <c r="F348" s="45"/>
      <c r="G348" s="46"/>
      <c r="H348" s="250" t="str">
        <f>VLOOKUP(A348,PRESUPUESTO!$A$3:$F$973,3,FALSE)</f>
        <v>EXCAVACIONES, RELLENOS Y SISTEMA DE DRENAJE</v>
      </c>
      <c r="I348" s="251"/>
      <c r="J348" s="252"/>
      <c r="K348" s="253">
        <f>ROUND(+L366,2)</f>
        <v>586.19000000000005</v>
      </c>
      <c r="L348" s="306"/>
      <c r="S348" s="272"/>
      <c r="T348" s="278"/>
    </row>
    <row r="349" spans="1:20" ht="15" thickBot="1" x14ac:dyDescent="0.35">
      <c r="A349" s="242" t="s">
        <v>42</v>
      </c>
      <c r="B349" s="243"/>
      <c r="C349" s="243"/>
      <c r="D349" s="243"/>
      <c r="E349" s="243"/>
      <c r="F349" s="244"/>
      <c r="G349" s="580" t="s">
        <v>43</v>
      </c>
      <c r="H349" s="582" t="s">
        <v>44</v>
      </c>
      <c r="I349" s="583"/>
      <c r="J349" s="583"/>
      <c r="K349" s="584"/>
      <c r="L349" s="580" t="s">
        <v>45</v>
      </c>
      <c r="S349" s="272"/>
      <c r="T349" s="278"/>
    </row>
    <row r="350" spans="1:20" ht="15" thickBot="1" x14ac:dyDescent="0.35">
      <c r="A350" s="585" t="e" vm="2">
        <v>#VALUE!</v>
      </c>
      <c r="B350" s="586"/>
      <c r="C350" s="586"/>
      <c r="D350" s="586"/>
      <c r="E350" s="586"/>
      <c r="F350" s="587"/>
      <c r="G350" s="581"/>
      <c r="H350" s="255" t="s">
        <v>46</v>
      </c>
      <c r="I350" s="255" t="s">
        <v>47</v>
      </c>
      <c r="J350" s="255" t="s">
        <v>48</v>
      </c>
      <c r="K350" s="256" t="s">
        <v>49</v>
      </c>
      <c r="L350" s="581"/>
      <c r="S350" s="272"/>
      <c r="T350" s="278"/>
    </row>
    <row r="351" spans="1:20" ht="27.6" x14ac:dyDescent="0.3">
      <c r="A351" s="588"/>
      <c r="B351" s="579"/>
      <c r="C351" s="579"/>
      <c r="D351" s="579"/>
      <c r="E351" s="579"/>
      <c r="F351" s="589"/>
      <c r="G351" s="47" t="str">
        <f>+C348</f>
        <v>Nivelacion y relleno de la cancha, incluye compactacion</v>
      </c>
      <c r="H351" s="257"/>
      <c r="I351" s="257"/>
      <c r="J351" s="257"/>
      <c r="K351" s="257"/>
      <c r="L351" s="307">
        <v>586.19000000000005</v>
      </c>
      <c r="S351" s="272"/>
      <c r="T351" s="278"/>
    </row>
    <row r="352" spans="1:20" x14ac:dyDescent="0.3">
      <c r="A352" s="588"/>
      <c r="B352" s="579"/>
      <c r="C352" s="579"/>
      <c r="D352" s="579"/>
      <c r="E352" s="579"/>
      <c r="F352" s="589"/>
      <c r="G352" s="47"/>
      <c r="H352" s="259"/>
      <c r="I352" s="259"/>
      <c r="J352" s="259"/>
      <c r="K352" s="259"/>
      <c r="L352" s="308">
        <f>+IF(B348="m2",H352*I352*K352,IF(B348="m3",H352*I352*J352*K352,IF(B348="ml",H352*K352,IF(B348="UND",K352,IF(B348="GLOBAL",K352,"")))))</f>
        <v>0</v>
      </c>
      <c r="S352" s="272"/>
      <c r="T352" s="278"/>
    </row>
    <row r="353" spans="1:20" x14ac:dyDescent="0.3">
      <c r="A353" s="588"/>
      <c r="B353" s="579"/>
      <c r="C353" s="579"/>
      <c r="D353" s="579"/>
      <c r="E353" s="579"/>
      <c r="F353" s="589"/>
      <c r="G353" s="47"/>
      <c r="H353" s="259"/>
      <c r="I353" s="259"/>
      <c r="J353" s="259"/>
      <c r="K353" s="259"/>
      <c r="L353" s="308">
        <f>+IF(B348="m2",H353*I353*K353,IF(B348="m3",H353*I353*J353*K353,IF(B348="ml",H353*K353,IF(B348="UND",K353,IF(B348="GLOBAL",K353,"")))))</f>
        <v>0</v>
      </c>
      <c r="S353" s="272"/>
      <c r="T353" s="278"/>
    </row>
    <row r="354" spans="1:20" x14ac:dyDescent="0.3">
      <c r="A354" s="588"/>
      <c r="B354" s="579"/>
      <c r="C354" s="579"/>
      <c r="D354" s="579"/>
      <c r="E354" s="579"/>
      <c r="F354" s="589"/>
      <c r="G354" s="47"/>
      <c r="H354" s="259"/>
      <c r="I354" s="259"/>
      <c r="J354" s="259"/>
      <c r="K354" s="259"/>
      <c r="L354" s="308">
        <f>+IF(B348="m2",H354*I354*K354,IF(B348="m3",H354*I354*J354*K354,IF(B348="ml",H354*K354,IF(B348="UND",K354,IF(B348="GLOBAL",K354,"")))))</f>
        <v>0</v>
      </c>
      <c r="S354" s="272"/>
      <c r="T354" s="278"/>
    </row>
    <row r="355" spans="1:20" x14ac:dyDescent="0.3">
      <c r="A355" s="588"/>
      <c r="B355" s="579"/>
      <c r="C355" s="579"/>
      <c r="D355" s="579"/>
      <c r="E355" s="579"/>
      <c r="F355" s="589"/>
      <c r="G355" s="47"/>
      <c r="H355" s="259"/>
      <c r="I355" s="259"/>
      <c r="J355" s="259"/>
      <c r="K355" s="259"/>
      <c r="L355" s="308">
        <f>+IF(B348="m2",H355*I355*K355,IF(B348="m3",H355*I355*J355*K355,IF(B348="ml",H355*K355,IF(B348="UND",K355,IF(B348="GLOBAL",K355,"")))))</f>
        <v>0</v>
      </c>
      <c r="S355" s="272"/>
      <c r="T355" s="278"/>
    </row>
    <row r="356" spans="1:20" x14ac:dyDescent="0.3">
      <c r="A356" s="588"/>
      <c r="B356" s="579"/>
      <c r="C356" s="579"/>
      <c r="D356" s="579"/>
      <c r="E356" s="579"/>
      <c r="F356" s="589"/>
      <c r="G356" s="47"/>
      <c r="H356" s="259"/>
      <c r="I356" s="259"/>
      <c r="J356" s="259"/>
      <c r="K356" s="259"/>
      <c r="L356" s="308">
        <f>+IF(B348="m2",H356*I356*K356,IF(B348="m3",H356*I356*J356*K356,IF(B348="ml",H356*K356,IF(B348="UND",K356,IF(B348="GLOBAL",K356,"")))))</f>
        <v>0</v>
      </c>
      <c r="S356" s="272"/>
      <c r="T356" s="278"/>
    </row>
    <row r="357" spans="1:20" x14ac:dyDescent="0.3">
      <c r="A357" s="588"/>
      <c r="B357" s="579"/>
      <c r="C357" s="579"/>
      <c r="D357" s="579"/>
      <c r="E357" s="579"/>
      <c r="F357" s="589"/>
      <c r="G357" s="47"/>
      <c r="H357" s="259"/>
      <c r="I357" s="259"/>
      <c r="J357" s="259"/>
      <c r="K357" s="259"/>
      <c r="L357" s="308">
        <f>+IF(B348="m2",H357*I357*K357,IF(B348="m3",H357*I357*J357*K357,IF(B348="ml",H357*K357,IF(B348="UND",K357,IF(B348="GLOBAL",K357,"")))))</f>
        <v>0</v>
      </c>
      <c r="S357" s="272"/>
      <c r="T357" s="278"/>
    </row>
    <row r="358" spans="1:20" x14ac:dyDescent="0.3">
      <c r="A358" s="588"/>
      <c r="B358" s="579"/>
      <c r="C358" s="579"/>
      <c r="D358" s="579"/>
      <c r="E358" s="579"/>
      <c r="F358" s="589"/>
      <c r="G358" s="47"/>
      <c r="H358" s="259"/>
      <c r="I358" s="259"/>
      <c r="J358" s="259"/>
      <c r="K358" s="259"/>
      <c r="L358" s="308">
        <f>+IF(B348="m2",H358*I358*K358,IF(B348="m3",H358*I358*J358*K358,IF(B348="ml",H358*K358,IF(B348="UND",K358,IF(B348="GLOBAL",K358,"")))))</f>
        <v>0</v>
      </c>
      <c r="S358" s="272"/>
      <c r="T358" s="278"/>
    </row>
    <row r="359" spans="1:20" x14ac:dyDescent="0.3">
      <c r="A359" s="588"/>
      <c r="B359" s="579"/>
      <c r="C359" s="579"/>
      <c r="D359" s="579"/>
      <c r="E359" s="579"/>
      <c r="F359" s="589"/>
      <c r="G359" s="47"/>
      <c r="H359" s="259"/>
      <c r="I359" s="259"/>
      <c r="J359" s="259"/>
      <c r="K359" s="259"/>
      <c r="L359" s="308">
        <f>+IF(B348="m2",H359*I359*K359,IF(B348="m3",H359*I359*J359*K359,IF(B348="ml",H359*K359,IF(B348="UND",K359,IF(B348="GLOBAL",K359,"")))))</f>
        <v>0</v>
      </c>
      <c r="S359" s="272"/>
      <c r="T359" s="278"/>
    </row>
    <row r="360" spans="1:20" x14ac:dyDescent="0.3">
      <c r="A360" s="588"/>
      <c r="B360" s="579"/>
      <c r="C360" s="579"/>
      <c r="D360" s="579"/>
      <c r="E360" s="579"/>
      <c r="F360" s="589"/>
      <c r="G360" s="47"/>
      <c r="H360" s="259"/>
      <c r="I360" s="259"/>
      <c r="J360" s="259"/>
      <c r="K360" s="259"/>
      <c r="L360" s="308">
        <f>+IF(B348="m2",H360*I360*K360,IF(B348="m3",H360*I360*J360*K360,IF(B348="ml",H360*K360,IF(B348="UND",K360,IF(B348="GLOBAL",K360,"")))))</f>
        <v>0</v>
      </c>
      <c r="S360" s="272"/>
      <c r="T360" s="278"/>
    </row>
    <row r="361" spans="1:20" x14ac:dyDescent="0.3">
      <c r="A361" s="588"/>
      <c r="B361" s="579"/>
      <c r="C361" s="579"/>
      <c r="D361" s="579"/>
      <c r="E361" s="579"/>
      <c r="F361" s="589"/>
      <c r="G361" s="47"/>
      <c r="H361" s="259"/>
      <c r="I361" s="259"/>
      <c r="J361" s="259"/>
      <c r="K361" s="259"/>
      <c r="L361" s="308">
        <f>+IF(B348="m2",H361*I361*K361,IF(B348="m3",H361*I361*J361*K361,IF(B348="ml",H361*K361,IF(B348="UND",K361,IF(B348="GLOBAL",K361,"")))))</f>
        <v>0</v>
      </c>
      <c r="S361" s="272"/>
      <c r="T361" s="278"/>
    </row>
    <row r="362" spans="1:20" x14ac:dyDescent="0.3">
      <c r="A362" s="588"/>
      <c r="B362" s="579"/>
      <c r="C362" s="579"/>
      <c r="D362" s="579"/>
      <c r="E362" s="579"/>
      <c r="F362" s="589"/>
      <c r="G362" s="47"/>
      <c r="H362" s="259"/>
      <c r="I362" s="259"/>
      <c r="J362" s="259"/>
      <c r="K362" s="259"/>
      <c r="L362" s="308">
        <f>+IF(B348="m2",H362*I362*K362,IF(B348="m3",H362*I362*J362*K362,IF(B348="ml",H362*K362,IF(B348="UND",K362,IF(B348="GLOBAL",K362,"")))))</f>
        <v>0</v>
      </c>
      <c r="S362" s="272"/>
      <c r="T362" s="278"/>
    </row>
    <row r="363" spans="1:20" x14ac:dyDescent="0.3">
      <c r="A363" s="588"/>
      <c r="B363" s="579"/>
      <c r="C363" s="579"/>
      <c r="D363" s="579"/>
      <c r="E363" s="579"/>
      <c r="F363" s="589"/>
      <c r="G363" s="47"/>
      <c r="H363" s="259"/>
      <c r="I363" s="259"/>
      <c r="J363" s="259"/>
      <c r="K363" s="259"/>
      <c r="L363" s="308">
        <f>+IF(B348="m2",H363*I363*K363,IF(B348="m3",H363*I363*J363*K363,IF(B348="ml",H363*K363,IF(B348="UND",K363,IF(B348="GLOBAL",K363,"")))))</f>
        <v>0</v>
      </c>
      <c r="S363" s="272"/>
      <c r="T363" s="278"/>
    </row>
    <row r="364" spans="1:20" x14ac:dyDescent="0.3">
      <c r="A364" s="588"/>
      <c r="B364" s="579"/>
      <c r="C364" s="579"/>
      <c r="D364" s="579"/>
      <c r="E364" s="579"/>
      <c r="F364" s="589"/>
      <c r="G364" s="47"/>
      <c r="H364" s="259"/>
      <c r="I364" s="259"/>
      <c r="J364" s="259"/>
      <c r="K364" s="259"/>
      <c r="L364" s="308">
        <f>+IF(B348="m2",H364*I364*K364,IF(B348="m3",H364*I364*J364*K364,IF(B348="ml",H364*K364,IF(B348="UND",K364,IF(B348="GLOBAL",K364,"")))))</f>
        <v>0</v>
      </c>
      <c r="S364" s="272"/>
      <c r="T364" s="278"/>
    </row>
    <row r="365" spans="1:20" x14ac:dyDescent="0.3">
      <c r="A365" s="588"/>
      <c r="B365" s="579"/>
      <c r="C365" s="579"/>
      <c r="D365" s="579"/>
      <c r="E365" s="579"/>
      <c r="F365" s="589"/>
      <c r="G365" s="47"/>
      <c r="H365" s="259"/>
      <c r="I365" s="259"/>
      <c r="J365" s="259"/>
      <c r="K365" s="259"/>
      <c r="L365" s="308">
        <f>+IF(B348="m2",H365*I365*K365,IF(B348="m3",H365*I365*J365*K365,IF(B348="ml",H365*K365,IF(B348="UND",K365,IF(B348="GLOBAL",K365,"")))))</f>
        <v>0</v>
      </c>
      <c r="S365" s="272"/>
      <c r="T365" s="278"/>
    </row>
    <row r="366" spans="1:20" ht="15" thickBot="1" x14ac:dyDescent="0.35">
      <c r="A366" s="590"/>
      <c r="B366" s="591"/>
      <c r="C366" s="591"/>
      <c r="D366" s="591"/>
      <c r="E366" s="591"/>
      <c r="F366" s="592"/>
      <c r="G366" s="261" t="s">
        <v>31</v>
      </c>
      <c r="H366" s="262"/>
      <c r="I366" s="262"/>
      <c r="J366" s="262"/>
      <c r="K366" s="262"/>
      <c r="L366" s="309">
        <f>SUM(L351:L365)</f>
        <v>586.19000000000005</v>
      </c>
      <c r="N366" s="264" t="str">
        <f>+A348</f>
        <v>2,07</v>
      </c>
      <c r="O366" s="331">
        <f>+L366</f>
        <v>586.19000000000005</v>
      </c>
      <c r="S366" s="272"/>
      <c r="T366" s="278"/>
    </row>
    <row r="367" spans="1:20" ht="15" thickBot="1" x14ac:dyDescent="0.35">
      <c r="A367" s="265"/>
      <c r="B367" s="266"/>
      <c r="C367" s="266"/>
      <c r="D367" s="266"/>
      <c r="E367" s="267"/>
      <c r="L367" s="310"/>
      <c r="S367" s="272"/>
      <c r="T367" s="278"/>
    </row>
    <row r="368" spans="1:20" ht="15" thickBot="1" x14ac:dyDescent="0.35">
      <c r="A368" s="269" t="s">
        <v>50</v>
      </c>
      <c r="B368" s="270"/>
      <c r="C368" s="270"/>
      <c r="D368" s="270"/>
      <c r="E368" s="271"/>
      <c r="F368" s="278"/>
      <c r="G368" s="278"/>
      <c r="H368" s="278"/>
      <c r="I368" s="278"/>
      <c r="J368" s="272"/>
      <c r="K368" s="272"/>
      <c r="L368" s="311"/>
      <c r="S368" s="272"/>
      <c r="T368" s="278"/>
    </row>
    <row r="369" spans="1:20" ht="15" thickBot="1" x14ac:dyDescent="0.35">
      <c r="A369" s="274" t="s">
        <v>18</v>
      </c>
      <c r="B369" s="275" t="s">
        <v>51</v>
      </c>
      <c r="C369" s="275" t="s">
        <v>21</v>
      </c>
      <c r="D369" s="275" t="s">
        <v>52</v>
      </c>
      <c r="E369" s="276" t="s">
        <v>22</v>
      </c>
      <c r="F369" s="277"/>
      <c r="G369" s="579" t="s">
        <v>2280</v>
      </c>
      <c r="H369" s="579"/>
      <c r="I369" s="579"/>
      <c r="J369" s="579"/>
      <c r="K369" s="284"/>
      <c r="L369" s="312"/>
      <c r="S369" s="272"/>
      <c r="T369" s="278"/>
    </row>
    <row r="370" spans="1:20" ht="27.6" x14ac:dyDescent="0.3">
      <c r="A370" s="191">
        <f>IFERROR(VLOOKUP(B370,INSUMOS!A:D,4,FALSE),"")</f>
        <v>67</v>
      </c>
      <c r="B370" s="163" t="str">
        <f>+IFERROR(VLOOKUP(N370,APU!J:M,4,FALSE),"")</f>
        <v>Arena fina</v>
      </c>
      <c r="C370" s="163" t="str">
        <f>+IFERROR(VLOOKUP(B370,INSUMOS!A:D,2,FALSE),"")</f>
        <v>Metro cubico</v>
      </c>
      <c r="D370" s="192">
        <f>IFERROR(VLOOKUP(N370,APU!J:N,5,FALSE),"")</f>
        <v>1.0049999999999999</v>
      </c>
      <c r="E370" s="279">
        <f>IFERROR(D370*K348,"")</f>
        <v>589.12094999999999</v>
      </c>
      <c r="F370" s="278"/>
      <c r="G370" s="579"/>
      <c r="H370" s="579"/>
      <c r="I370" s="579"/>
      <c r="J370" s="579"/>
      <c r="K370" s="284"/>
      <c r="L370" s="312"/>
      <c r="N370" s="280" t="str">
        <f>+_xlfn.CONCAT("M",N366,O370)</f>
        <v>M2,071</v>
      </c>
      <c r="O370" s="280">
        <v>1</v>
      </c>
      <c r="P370" s="281">
        <f>+IFERROR(VLOOKUP(B370,INSUMOS!A:D,3,FALSE),"")</f>
        <v>312239.94</v>
      </c>
      <c r="Q370" s="282">
        <f t="shared" ref="Q370:Q380" si="8">IFERROR(E370*P370,"")</f>
        <v>183947090.08074299</v>
      </c>
      <c r="S370" s="272"/>
      <c r="T370" s="278"/>
    </row>
    <row r="371" spans="1:20" x14ac:dyDescent="0.3">
      <c r="A371" s="191">
        <f>IFERROR(VLOOKUP(B371,INSUMOS!A:D,4,FALSE),"")</f>
        <v>1262</v>
      </c>
      <c r="B371" s="163" t="str">
        <f>+IFERROR(VLOOKUP(N371,APU!J:M,4,FALSE),"")</f>
        <v>A.C.P.M.</v>
      </c>
      <c r="C371" s="163" t="str">
        <f>+IFERROR(VLOOKUP(B371,INSUMOS!A:D,2,FALSE),"")</f>
        <v xml:space="preserve">GALON </v>
      </c>
      <c r="D371" s="192">
        <f>IFERROR(VLOOKUP(N371,APU!J:N,5,FALSE),"")</f>
        <v>0.08</v>
      </c>
      <c r="E371" s="283">
        <f>IFERROR(D371*K348,"")</f>
        <v>46.895200000000003</v>
      </c>
      <c r="F371" s="278"/>
      <c r="G371" s="284"/>
      <c r="H371" s="284"/>
      <c r="I371" s="284"/>
      <c r="J371" s="284"/>
      <c r="K371" s="284"/>
      <c r="L371" s="312"/>
      <c r="N371" s="280" t="str">
        <f>+_xlfn.CONCAT("M",N366,O371)</f>
        <v>M2,072</v>
      </c>
      <c r="O371" s="280">
        <v>2</v>
      </c>
      <c r="P371" s="281">
        <f>+IFERROR(VLOOKUP(B371,INSUMOS!A:D,3,FALSE),"")</f>
        <v>23939.74</v>
      </c>
      <c r="Q371" s="282">
        <f t="shared" si="8"/>
        <v>1122658.895248</v>
      </c>
      <c r="S371" s="272"/>
      <c r="T371" s="278"/>
    </row>
    <row r="372" spans="1:20" x14ac:dyDescent="0.3">
      <c r="A372" s="191" t="str">
        <f>IFERROR(VLOOKUP(B372,INSUMOS!A:D,4,FALSE),"")</f>
        <v/>
      </c>
      <c r="B372" s="163">
        <f>+IFERROR(VLOOKUP(N372,APU!J:M,4,FALSE),"")</f>
        <v>0</v>
      </c>
      <c r="C372" s="163" t="str">
        <f>+IFERROR(VLOOKUP(B372,INSUMOS!A:D,2,FALSE),"")</f>
        <v/>
      </c>
      <c r="D372" s="192">
        <f>IFERROR(VLOOKUP(N372,APU!J:N,5,FALSE),"")</f>
        <v>0</v>
      </c>
      <c r="E372" s="283">
        <f>IFERROR(D372*K348,"")</f>
        <v>0</v>
      </c>
      <c r="F372" s="278"/>
      <c r="G372" s="284"/>
      <c r="H372" s="284"/>
      <c r="I372" s="284"/>
      <c r="J372" s="284"/>
      <c r="K372" s="284"/>
      <c r="L372" s="312"/>
      <c r="N372" s="280" t="str">
        <f>+_xlfn.CONCAT("M",N366,O372)</f>
        <v>M2,073</v>
      </c>
      <c r="O372" s="280">
        <v>3</v>
      </c>
      <c r="P372" s="281" t="str">
        <f>+IFERROR(VLOOKUP(B372,INSUMOS!A:D,3,FALSE),"")</f>
        <v/>
      </c>
      <c r="Q372" s="282" t="str">
        <f t="shared" si="8"/>
        <v/>
      </c>
      <c r="S372" s="272"/>
      <c r="T372" s="278"/>
    </row>
    <row r="373" spans="1:20" x14ac:dyDescent="0.3">
      <c r="A373" s="191" t="str">
        <f>IFERROR(VLOOKUP(B373,INSUMOS!A:D,4,FALSE),"")</f>
        <v/>
      </c>
      <c r="B373" s="163">
        <f>+IFERROR(VLOOKUP(N373,APU!J:M,4,FALSE),"")</f>
        <v>0</v>
      </c>
      <c r="C373" s="163" t="str">
        <f>+IFERROR(VLOOKUP(B373,INSUMOS!A:D,2,FALSE),"")</f>
        <v/>
      </c>
      <c r="D373" s="192">
        <f>IFERROR(VLOOKUP(N373,APU!J:N,5,FALSE),"")</f>
        <v>0</v>
      </c>
      <c r="E373" s="283">
        <f>IFERROR(D373*K348,"")</f>
        <v>0</v>
      </c>
      <c r="F373" s="278"/>
      <c r="G373" s="284"/>
      <c r="H373" s="284"/>
      <c r="I373" s="284"/>
      <c r="J373" s="284"/>
      <c r="K373" s="284"/>
      <c r="L373" s="312"/>
      <c r="N373" s="280" t="str">
        <f>+_xlfn.CONCAT("M",N366,O373)</f>
        <v>M2,074</v>
      </c>
      <c r="O373" s="280">
        <v>4</v>
      </c>
      <c r="P373" s="281" t="str">
        <f>+IFERROR(VLOOKUP(B373,INSUMOS!A:D,3,FALSE),"")</f>
        <v/>
      </c>
      <c r="Q373" s="282" t="str">
        <f t="shared" si="8"/>
        <v/>
      </c>
      <c r="S373" s="272"/>
      <c r="T373" s="278"/>
    </row>
    <row r="374" spans="1:20" x14ac:dyDescent="0.3">
      <c r="A374" s="191" t="str">
        <f>IFERROR(VLOOKUP(B374,INSUMOS!A:D,4,FALSE),"")</f>
        <v/>
      </c>
      <c r="B374" s="163">
        <f>+IFERROR(VLOOKUP(N374,APU!J:M,4,FALSE),"")</f>
        <v>0</v>
      </c>
      <c r="C374" s="163" t="str">
        <f>+IFERROR(VLOOKUP(B374,INSUMOS!A:D,2,FALSE),"")</f>
        <v/>
      </c>
      <c r="D374" s="192">
        <f>IFERROR(VLOOKUP(N374,APU!J:N,5,FALSE),"")</f>
        <v>0</v>
      </c>
      <c r="E374" s="283">
        <f>IFERROR(D374*K348,"")</f>
        <v>0</v>
      </c>
      <c r="F374" s="278"/>
      <c r="G374" s="284"/>
      <c r="H374" s="284"/>
      <c r="I374" s="284"/>
      <c r="J374" s="284"/>
      <c r="K374" s="284"/>
      <c r="L374" s="312"/>
      <c r="N374" s="280" t="str">
        <f>+_xlfn.CONCAT("M",N366,O374)</f>
        <v>M2,075</v>
      </c>
      <c r="O374" s="280">
        <v>5</v>
      </c>
      <c r="P374" s="281" t="str">
        <f>+IFERROR(VLOOKUP(B374,INSUMOS!A:D,3,FALSE),"")</f>
        <v/>
      </c>
      <c r="Q374" s="282" t="str">
        <f t="shared" si="8"/>
        <v/>
      </c>
      <c r="S374" s="272"/>
      <c r="T374" s="278"/>
    </row>
    <row r="375" spans="1:20" x14ac:dyDescent="0.3">
      <c r="A375" s="191" t="str">
        <f>IFERROR(VLOOKUP(B375,INSUMOS!A:D,4,FALSE),"")</f>
        <v/>
      </c>
      <c r="B375" s="163">
        <f>+IFERROR(VLOOKUP(N375,APU!J:M,4,FALSE),"")</f>
        <v>0</v>
      </c>
      <c r="C375" s="163" t="str">
        <f>+IFERROR(VLOOKUP(B375,INSUMOS!A:D,2,FALSE),"")</f>
        <v/>
      </c>
      <c r="D375" s="192">
        <f>IFERROR(VLOOKUP(N375,APU!J:N,5,FALSE),"")</f>
        <v>0</v>
      </c>
      <c r="E375" s="285">
        <f>IFERROR(D375*K348,"")</f>
        <v>0</v>
      </c>
      <c r="F375" s="278"/>
      <c r="G375" s="284"/>
      <c r="H375" s="284"/>
      <c r="I375" s="284"/>
      <c r="J375" s="284"/>
      <c r="K375" s="284"/>
      <c r="L375" s="312"/>
      <c r="N375" s="280" t="str">
        <f>+_xlfn.CONCAT("M",N366,O375)</f>
        <v>M2,076</v>
      </c>
      <c r="O375" s="280">
        <v>6</v>
      </c>
      <c r="P375" s="281" t="str">
        <f>+IFERROR(VLOOKUP(B375,INSUMOS!A:D,3,FALSE),"")</f>
        <v/>
      </c>
      <c r="Q375" s="282" t="str">
        <f t="shared" si="8"/>
        <v/>
      </c>
      <c r="S375" s="272"/>
      <c r="T375" s="278"/>
    </row>
    <row r="376" spans="1:20" x14ac:dyDescent="0.3">
      <c r="A376" s="191" t="str">
        <f>IFERROR(VLOOKUP(B376,INSUMOS!A:D,4,FALSE),"")</f>
        <v/>
      </c>
      <c r="B376" s="163">
        <f>+IFERROR(VLOOKUP(N376,APU!J:M,4,FALSE),"")</f>
        <v>0</v>
      </c>
      <c r="C376" s="163" t="str">
        <f>+IFERROR(VLOOKUP(B376,INSUMOS!A:D,2,FALSE),"")</f>
        <v/>
      </c>
      <c r="D376" s="192">
        <f>IFERROR(VLOOKUP(N376,APU!J:N,5,FALSE),"")</f>
        <v>0</v>
      </c>
      <c r="E376" s="285">
        <f>IFERROR(D376*K348,"")</f>
        <v>0</v>
      </c>
      <c r="F376" s="278"/>
      <c r="G376" s="284"/>
      <c r="H376" s="284"/>
      <c r="I376" s="284"/>
      <c r="J376" s="284"/>
      <c r="K376" s="284"/>
      <c r="L376" s="312"/>
      <c r="N376" s="280" t="str">
        <f>+_xlfn.CONCAT("M",N366,O376)</f>
        <v>M2,077</v>
      </c>
      <c r="O376" s="280">
        <v>7</v>
      </c>
      <c r="P376" s="281" t="str">
        <f>+IFERROR(VLOOKUP(B376,INSUMOS!A:D,3,FALSE),"")</f>
        <v/>
      </c>
      <c r="Q376" s="282" t="str">
        <f t="shared" si="8"/>
        <v/>
      </c>
      <c r="S376" s="272"/>
      <c r="T376" s="278"/>
    </row>
    <row r="377" spans="1:20" x14ac:dyDescent="0.3">
      <c r="A377" s="191" t="str">
        <f>IFERROR(VLOOKUP(B377,INSUMOS!A:D,4,FALSE),"")</f>
        <v/>
      </c>
      <c r="B377" s="163">
        <f>+IFERROR(VLOOKUP(N377,APU!J:M,4,FALSE),"")</f>
        <v>0</v>
      </c>
      <c r="C377" s="163" t="str">
        <f>+IFERROR(VLOOKUP(B377,INSUMOS!A:D,2,FALSE),"")</f>
        <v/>
      </c>
      <c r="D377" s="192">
        <f>IFERROR(VLOOKUP(N377,APU!J:N,5,FALSE),"")</f>
        <v>0</v>
      </c>
      <c r="E377" s="285">
        <f>IFERROR(D377*K348,"")</f>
        <v>0</v>
      </c>
      <c r="F377" s="278"/>
      <c r="G377" s="284"/>
      <c r="H377" s="284"/>
      <c r="I377" s="284"/>
      <c r="J377" s="284"/>
      <c r="K377" s="284"/>
      <c r="L377" s="312"/>
      <c r="N377" s="280" t="str">
        <f>+_xlfn.CONCAT("M",N366,O377)</f>
        <v>M2,078</v>
      </c>
      <c r="O377" s="280">
        <v>8</v>
      </c>
      <c r="P377" s="281" t="str">
        <f>+IFERROR(VLOOKUP(B377,INSUMOS!A:D,3,FALSE),"")</f>
        <v/>
      </c>
      <c r="Q377" s="282" t="str">
        <f t="shared" si="8"/>
        <v/>
      </c>
      <c r="S377" s="272"/>
      <c r="T377" s="278"/>
    </row>
    <row r="378" spans="1:20" x14ac:dyDescent="0.3">
      <c r="A378" s="191" t="str">
        <f>IFERROR(VLOOKUP(B378,INSUMOS!A:D,4,FALSE),"")</f>
        <v/>
      </c>
      <c r="B378" s="163">
        <f>+IFERROR(VLOOKUP(N378,APU!J:M,4,FALSE),"")</f>
        <v>0</v>
      </c>
      <c r="C378" s="163" t="str">
        <f>+IFERROR(VLOOKUP(B378,INSUMOS!A:D,2,FALSE),"")</f>
        <v/>
      </c>
      <c r="D378" s="192">
        <f>IFERROR(VLOOKUP(N378,APU!J:N,5,FALSE),"")</f>
        <v>0</v>
      </c>
      <c r="E378" s="285">
        <f>IFERROR(D378*K348,"")</f>
        <v>0</v>
      </c>
      <c r="F378" s="278"/>
      <c r="G378" s="284"/>
      <c r="H378" s="284"/>
      <c r="I378" s="284"/>
      <c r="J378" s="284"/>
      <c r="K378" s="284"/>
      <c r="L378" s="312"/>
      <c r="N378" s="280" t="str">
        <f>+_xlfn.CONCAT("M",N366,O378)</f>
        <v>M2,079</v>
      </c>
      <c r="O378" s="280">
        <v>9</v>
      </c>
      <c r="P378" s="281" t="str">
        <f>+IFERROR(VLOOKUP(B378,INSUMOS!A:D,3,FALSE),"")</f>
        <v/>
      </c>
      <c r="Q378" s="282" t="str">
        <f t="shared" si="8"/>
        <v/>
      </c>
      <c r="S378" s="272"/>
      <c r="T378" s="278"/>
    </row>
    <row r="379" spans="1:20" x14ac:dyDescent="0.3">
      <c r="A379" s="191" t="str">
        <f>IFERROR(VLOOKUP(B379,INSUMOS!A:D,4,FALSE),"")</f>
        <v/>
      </c>
      <c r="B379" s="163">
        <f>+IFERROR(VLOOKUP(N379,APU!J:M,4,FALSE),"")</f>
        <v>0</v>
      </c>
      <c r="C379" s="163" t="str">
        <f>+IFERROR(VLOOKUP(B379,INSUMOS!A:D,2,FALSE),"")</f>
        <v/>
      </c>
      <c r="D379" s="192">
        <f>IFERROR(VLOOKUP(N379,APU!J:N,5,FALSE),"")</f>
        <v>0</v>
      </c>
      <c r="E379" s="285">
        <f>IFERROR(D379*K348,"")</f>
        <v>0</v>
      </c>
      <c r="F379" s="278"/>
      <c r="G379" s="284"/>
      <c r="H379" s="284"/>
      <c r="I379" s="284"/>
      <c r="J379" s="284"/>
      <c r="K379" s="284"/>
      <c r="L379" s="312"/>
      <c r="N379" s="280" t="str">
        <f>+_xlfn.CONCAT("M",N366,O379)</f>
        <v>M2,0710</v>
      </c>
      <c r="O379" s="280">
        <v>10</v>
      </c>
      <c r="P379" s="281" t="str">
        <f>+IFERROR(VLOOKUP(B379,INSUMOS!A:D,3,FALSE),"")</f>
        <v/>
      </c>
      <c r="Q379" s="282" t="str">
        <f t="shared" si="8"/>
        <v/>
      </c>
      <c r="S379" s="272"/>
      <c r="T379" s="278"/>
    </row>
    <row r="380" spans="1:20" ht="15" thickBot="1" x14ac:dyDescent="0.35">
      <c r="A380" s="286" t="str">
        <f>IFERROR(VLOOKUP(B380,INSUMOS!A:D,4,FALSE),"")</f>
        <v/>
      </c>
      <c r="B380" s="287">
        <f>+IFERROR(VLOOKUP(N380,APU!J:M,4,FALSE),"")</f>
        <v>0</v>
      </c>
      <c r="C380" s="287" t="str">
        <f>+IFERROR(VLOOKUP(B380,INSUMOS!A:D,2,FALSE),"")</f>
        <v/>
      </c>
      <c r="D380" s="288">
        <f>IFERROR(VLOOKUP(N380,APU!J:N,5,FALSE),"")</f>
        <v>0</v>
      </c>
      <c r="E380" s="289">
        <f>IFERROR(D380*K348,"")</f>
        <v>0</v>
      </c>
      <c r="F380" s="278"/>
      <c r="G380" s="284"/>
      <c r="H380" s="284"/>
      <c r="I380" s="284"/>
      <c r="J380" s="284"/>
      <c r="K380" s="284"/>
      <c r="L380" s="312"/>
      <c r="N380" s="280" t="str">
        <f>+_xlfn.CONCAT("M",N366,O380)</f>
        <v>M2,0711</v>
      </c>
      <c r="O380" s="280">
        <v>11</v>
      </c>
      <c r="P380" s="281" t="str">
        <f>+IFERROR(VLOOKUP(B380,INSUMOS!A:D,3,FALSE),"")</f>
        <v/>
      </c>
      <c r="Q380" s="282" t="str">
        <f t="shared" si="8"/>
        <v/>
      </c>
      <c r="S380" s="272"/>
      <c r="T380" s="278"/>
    </row>
    <row r="381" spans="1:20" x14ac:dyDescent="0.3">
      <c r="A381" s="471"/>
      <c r="C381" s="290"/>
      <c r="D381" s="290"/>
      <c r="E381" s="290"/>
      <c r="F381" s="278"/>
      <c r="G381" s="291"/>
      <c r="H381" s="473"/>
      <c r="I381" s="284"/>
      <c r="J381" s="272"/>
      <c r="K381" s="284"/>
      <c r="L381" s="312"/>
      <c r="N381" s="280"/>
      <c r="O381" s="280"/>
      <c r="P381" s="313"/>
      <c r="Q381" s="314"/>
      <c r="S381" s="272"/>
      <c r="T381" s="278"/>
    </row>
    <row r="382" spans="1:20" x14ac:dyDescent="0.3">
      <c r="A382" s="471"/>
      <c r="C382" s="290"/>
      <c r="D382" s="290"/>
      <c r="E382" s="290"/>
      <c r="F382" s="278"/>
      <c r="G382" s="291"/>
      <c r="H382" s="473"/>
      <c r="I382" s="284"/>
      <c r="J382" s="272"/>
      <c r="K382" s="284"/>
      <c r="L382" s="312"/>
      <c r="N382" s="280"/>
      <c r="O382" s="280"/>
      <c r="P382" s="313"/>
      <c r="Q382" s="314"/>
      <c r="S382" s="272"/>
      <c r="T382" s="278"/>
    </row>
    <row r="383" spans="1:20" x14ac:dyDescent="0.3">
      <c r="A383" s="471"/>
      <c r="C383" s="293"/>
      <c r="D383" s="293"/>
      <c r="E383" s="294"/>
      <c r="F383" s="278"/>
      <c r="G383" s="234"/>
      <c r="H383" s="234"/>
      <c r="I383" s="284"/>
      <c r="J383" s="272"/>
      <c r="K383" s="284"/>
      <c r="L383" s="312"/>
      <c r="N383" s="280"/>
      <c r="O383" s="280"/>
      <c r="P383" s="315" t="str">
        <f>+A348</f>
        <v>2,07</v>
      </c>
      <c r="Q383" s="314">
        <f>SUM(Q370:Q380)</f>
        <v>185069748.97599098</v>
      </c>
      <c r="S383" s="272"/>
      <c r="T383" s="278"/>
    </row>
    <row r="384" spans="1:20" x14ac:dyDescent="0.3">
      <c r="A384" s="471"/>
      <c r="C384" s="293"/>
      <c r="D384" s="293"/>
      <c r="E384" s="294"/>
      <c r="F384" s="316"/>
      <c r="G384" s="295"/>
      <c r="H384" s="295"/>
      <c r="I384" s="295"/>
      <c r="J384" s="296"/>
      <c r="K384" s="297"/>
      <c r="L384" s="302"/>
      <c r="S384" s="272"/>
      <c r="T384" s="278"/>
    </row>
    <row r="385" spans="1:20" x14ac:dyDescent="0.3">
      <c r="A385" s="299"/>
      <c r="B385" s="293"/>
      <c r="C385" s="293"/>
      <c r="D385" s="293"/>
      <c r="E385" s="294"/>
      <c r="F385" s="293"/>
      <c r="G385" s="300" t="str">
        <f>+'INF. GENERAL'!$B$19</f>
        <v>JAVIER JOSÉ ROSADO MENDINUETA</v>
      </c>
      <c r="H385" s="301"/>
      <c r="I385" s="301"/>
      <c r="J385" s="301"/>
      <c r="K385" s="297"/>
      <c r="L385" s="302"/>
      <c r="S385" s="272"/>
      <c r="T385" s="278"/>
    </row>
    <row r="386" spans="1:20" x14ac:dyDescent="0.3">
      <c r="A386" s="299"/>
      <c r="B386" s="293"/>
      <c r="C386" s="293"/>
      <c r="D386" s="293"/>
      <c r="E386" s="294"/>
      <c r="F386" s="293"/>
      <c r="G386" s="303" t="str">
        <f>+'INF. GENERAL'!$B$20</f>
        <v>PROFESIONAL APOYO</v>
      </c>
      <c r="H386" s="301"/>
      <c r="I386" s="301"/>
      <c r="J386" s="301"/>
      <c r="K386" s="297"/>
      <c r="L386" s="302"/>
      <c r="S386" s="272"/>
      <c r="T386" s="278"/>
    </row>
    <row r="387" spans="1:20" ht="15" thickBot="1" x14ac:dyDescent="0.35">
      <c r="A387" s="235" t="s">
        <v>37</v>
      </c>
      <c r="B387" s="236"/>
      <c r="C387" s="236"/>
      <c r="D387" s="236"/>
      <c r="E387" s="237"/>
      <c r="F387" s="236"/>
      <c r="G387" s="318" t="str">
        <f>+'INF. GENERAL'!$B$21</f>
        <v>MP: 08700-52350</v>
      </c>
      <c r="H387" s="319"/>
      <c r="I387" s="319"/>
      <c r="J387" s="319"/>
      <c r="K387" s="236"/>
      <c r="L387" s="304" t="s">
        <v>37</v>
      </c>
      <c r="S387" s="272"/>
      <c r="T387" s="278"/>
    </row>
    <row r="388" spans="1:20" ht="18.600000000000001" thickBot="1" x14ac:dyDescent="0.35">
      <c r="A388" s="320" t="s">
        <v>37</v>
      </c>
      <c r="B388" s="201" t="s">
        <v>38</v>
      </c>
      <c r="C388" s="321"/>
      <c r="D388" s="321"/>
      <c r="E388" s="321"/>
      <c r="F388" s="321"/>
      <c r="G388" s="321"/>
      <c r="H388" s="321"/>
      <c r="I388" s="321"/>
      <c r="J388" s="321"/>
      <c r="K388" s="321"/>
      <c r="L388" s="322" t="s">
        <v>37</v>
      </c>
      <c r="S388" s="272"/>
      <c r="T388" s="278"/>
    </row>
    <row r="389" spans="1:20" ht="15" thickBot="1" x14ac:dyDescent="0.35">
      <c r="A389" s="235" t="s">
        <v>37</v>
      </c>
      <c r="B389" s="236"/>
      <c r="C389" s="236"/>
      <c r="D389" s="236"/>
      <c r="E389" s="237"/>
      <c r="F389" s="236"/>
      <c r="G389" s="238"/>
      <c r="H389" s="236"/>
      <c r="I389" s="236"/>
      <c r="J389" s="236"/>
      <c r="K389" s="236"/>
      <c r="L389" s="304" t="s">
        <v>37</v>
      </c>
      <c r="S389" s="272"/>
      <c r="T389" s="278"/>
    </row>
    <row r="390" spans="1:20" ht="15" thickBot="1" x14ac:dyDescent="0.35">
      <c r="A390" s="240" t="s">
        <v>39</v>
      </c>
      <c r="B390" s="241" t="s">
        <v>21</v>
      </c>
      <c r="C390" s="242" t="s">
        <v>20</v>
      </c>
      <c r="D390" s="243"/>
      <c r="E390" s="243"/>
      <c r="F390" s="243"/>
      <c r="G390" s="244"/>
      <c r="H390" s="325" t="s">
        <v>40</v>
      </c>
      <c r="I390" s="326"/>
      <c r="J390" s="327"/>
      <c r="K390" s="242" t="s">
        <v>41</v>
      </c>
      <c r="L390" s="244"/>
      <c r="M390" s="328"/>
      <c r="N390" s="323"/>
      <c r="O390" s="323"/>
      <c r="P390" s="323"/>
      <c r="Q390" s="323"/>
      <c r="R390" s="323"/>
      <c r="S390" s="335"/>
      <c r="T390" s="324"/>
    </row>
    <row r="391" spans="1:20" ht="15" thickBot="1" x14ac:dyDescent="0.35">
      <c r="A391" s="474" t="s">
        <v>2250</v>
      </c>
      <c r="B391" s="249" t="str">
        <f>VLOOKUP(A391,PRESUPUESTO!$A$3:$F$973,5,FALSE)</f>
        <v>ml</v>
      </c>
      <c r="C391" s="42" t="str">
        <f>VLOOKUP(A391,PRESUPUESTO!$A$3:$F$973,4,FALSE)</f>
        <v>Muro de gaviones</v>
      </c>
      <c r="D391" s="43"/>
      <c r="E391" s="44"/>
      <c r="F391" s="45"/>
      <c r="G391" s="46"/>
      <c r="H391" s="250" t="str">
        <f>VLOOKUP(A391,PRESUPUESTO!$A$3:$F$973,3,FALSE)</f>
        <v>ESTRUCTURAS DE CONTENCIÓN</v>
      </c>
      <c r="I391" s="251"/>
      <c r="J391" s="252"/>
      <c r="K391" s="253">
        <f>ROUND(+L409,2)</f>
        <v>44</v>
      </c>
      <c r="L391" s="306"/>
      <c r="S391" s="272"/>
      <c r="T391" s="278"/>
    </row>
    <row r="392" spans="1:20" ht="15" thickBot="1" x14ac:dyDescent="0.35">
      <c r="A392" s="242" t="s">
        <v>42</v>
      </c>
      <c r="B392" s="243"/>
      <c r="C392" s="243"/>
      <c r="D392" s="243"/>
      <c r="E392" s="243"/>
      <c r="F392" s="244"/>
      <c r="G392" s="580" t="s">
        <v>43</v>
      </c>
      <c r="H392" s="582" t="s">
        <v>44</v>
      </c>
      <c r="I392" s="583"/>
      <c r="J392" s="583"/>
      <c r="K392" s="584"/>
      <c r="L392" s="580" t="s">
        <v>45</v>
      </c>
      <c r="S392" s="272"/>
      <c r="T392" s="278"/>
    </row>
    <row r="393" spans="1:20" ht="15" thickBot="1" x14ac:dyDescent="0.35">
      <c r="A393" s="585" t="e" vm="3">
        <v>#VALUE!</v>
      </c>
      <c r="B393" s="586"/>
      <c r="C393" s="586"/>
      <c r="D393" s="586"/>
      <c r="E393" s="586"/>
      <c r="F393" s="587"/>
      <c r="G393" s="581"/>
      <c r="H393" s="255" t="s">
        <v>46</v>
      </c>
      <c r="I393" s="255" t="s">
        <v>47</v>
      </c>
      <c r="J393" s="255" t="s">
        <v>48</v>
      </c>
      <c r="K393" s="256" t="s">
        <v>49</v>
      </c>
      <c r="L393" s="581"/>
      <c r="S393" s="272"/>
      <c r="T393" s="278"/>
    </row>
    <row r="394" spans="1:20" x14ac:dyDescent="0.3">
      <c r="A394" s="588"/>
      <c r="B394" s="579"/>
      <c r="C394" s="579"/>
      <c r="D394" s="579"/>
      <c r="E394" s="579"/>
      <c r="F394" s="589"/>
      <c r="G394" s="47" t="s">
        <v>2295</v>
      </c>
      <c r="H394" s="257">
        <v>44</v>
      </c>
      <c r="I394" s="257">
        <v>1</v>
      </c>
      <c r="J394" s="257">
        <v>1</v>
      </c>
      <c r="K394" s="257">
        <v>1</v>
      </c>
      <c r="L394" s="307">
        <f>+IF(B391="m2",H394*I394*K394,IF(B391="m3",H394*I394*J394*K394,IF(B391="ml",H394*K394,IF(B391="UND",K394,IF(B391="GLOBAL",K394,"")))))</f>
        <v>44</v>
      </c>
      <c r="S394" s="272"/>
      <c r="T394" s="278"/>
    </row>
    <row r="395" spans="1:20" x14ac:dyDescent="0.3">
      <c r="A395" s="588"/>
      <c r="B395" s="579"/>
      <c r="C395" s="579"/>
      <c r="D395" s="579"/>
      <c r="E395" s="579"/>
      <c r="F395" s="589"/>
      <c r="G395" s="47"/>
      <c r="H395" s="259"/>
      <c r="I395" s="259"/>
      <c r="J395" s="259"/>
      <c r="K395" s="259"/>
      <c r="L395" s="308">
        <f>+IF(B391="m2",H395*I395*K395,IF(B391="m3",H395*I395*J395*K395,IF(B391="ml",H395*K395,IF(B391="UND",K395,IF(B391="GLOBAL",K395,"")))))</f>
        <v>0</v>
      </c>
      <c r="S395" s="272"/>
      <c r="T395" s="278"/>
    </row>
    <row r="396" spans="1:20" x14ac:dyDescent="0.3">
      <c r="A396" s="588"/>
      <c r="B396" s="579"/>
      <c r="C396" s="579"/>
      <c r="D396" s="579"/>
      <c r="E396" s="579"/>
      <c r="F396" s="589"/>
      <c r="G396" s="47"/>
      <c r="H396" s="259"/>
      <c r="I396" s="259"/>
      <c r="J396" s="259"/>
      <c r="K396" s="259"/>
      <c r="L396" s="308">
        <f>+IF(B391="m2",H396*I396*K396,IF(B391="m3",H396*I396*J396*K396,IF(B391="ml",H396*K396,IF(B391="UND",K396,IF(B391="GLOBAL",K396,"")))))</f>
        <v>0</v>
      </c>
      <c r="S396" s="272"/>
      <c r="T396" s="278"/>
    </row>
    <row r="397" spans="1:20" x14ac:dyDescent="0.3">
      <c r="A397" s="588"/>
      <c r="B397" s="579"/>
      <c r="C397" s="579"/>
      <c r="D397" s="579"/>
      <c r="E397" s="579"/>
      <c r="F397" s="589"/>
      <c r="G397" s="47"/>
      <c r="H397" s="259"/>
      <c r="I397" s="259"/>
      <c r="J397" s="259"/>
      <c r="K397" s="259"/>
      <c r="L397" s="308">
        <f>+IF(B391="m2",H397*I397*K397,IF(B391="m3",H397*I397*J397*K397,IF(B391="ml",H397*K397,IF(B391="UND",K397,IF(B391="GLOBAL",K397,"")))))</f>
        <v>0</v>
      </c>
      <c r="S397" s="272"/>
      <c r="T397" s="278"/>
    </row>
    <row r="398" spans="1:20" x14ac:dyDescent="0.3">
      <c r="A398" s="588"/>
      <c r="B398" s="579"/>
      <c r="C398" s="579"/>
      <c r="D398" s="579"/>
      <c r="E398" s="579"/>
      <c r="F398" s="589"/>
      <c r="G398" s="47"/>
      <c r="H398" s="259"/>
      <c r="I398" s="259"/>
      <c r="J398" s="259"/>
      <c r="K398" s="259"/>
      <c r="L398" s="308">
        <f>+IF(B391="m2",H398*I398*K398,IF(B391="m3",H398*I398*J398*K398,IF(B391="ml",H398*K398,IF(B391="UND",K398,IF(B391="GLOBAL",K398,"")))))</f>
        <v>0</v>
      </c>
      <c r="S398" s="272"/>
      <c r="T398" s="278"/>
    </row>
    <row r="399" spans="1:20" x14ac:dyDescent="0.3">
      <c r="A399" s="588"/>
      <c r="B399" s="579"/>
      <c r="C399" s="579"/>
      <c r="D399" s="579"/>
      <c r="E399" s="579"/>
      <c r="F399" s="589"/>
      <c r="G399" s="47"/>
      <c r="H399" s="259"/>
      <c r="I399" s="259"/>
      <c r="J399" s="259"/>
      <c r="K399" s="259"/>
      <c r="L399" s="308">
        <f>+IF(B391="m2",H399*I399*K399,IF(B391="m3",H399*I399*J399*K399,IF(B391="ml",H399*K399,IF(B391="UND",K399,IF(B391="GLOBAL",K399,"")))))</f>
        <v>0</v>
      </c>
      <c r="S399" s="272"/>
      <c r="T399" s="278"/>
    </row>
    <row r="400" spans="1:20" x14ac:dyDescent="0.3">
      <c r="A400" s="588"/>
      <c r="B400" s="579"/>
      <c r="C400" s="579"/>
      <c r="D400" s="579"/>
      <c r="E400" s="579"/>
      <c r="F400" s="589"/>
      <c r="G400" s="47"/>
      <c r="H400" s="259"/>
      <c r="I400" s="259"/>
      <c r="J400" s="259"/>
      <c r="K400" s="259"/>
      <c r="L400" s="308">
        <f>+IF(B391="m2",H400*I400*K400,IF(B391="m3",H400*I400*J400*K400,IF(B391="ml",H400*K400,IF(B391="UND",K400,IF(B391="GLOBAL",K400,"")))))</f>
        <v>0</v>
      </c>
      <c r="S400" s="272"/>
      <c r="T400" s="278"/>
    </row>
    <row r="401" spans="1:20" x14ac:dyDescent="0.3">
      <c r="A401" s="588"/>
      <c r="B401" s="579"/>
      <c r="C401" s="579"/>
      <c r="D401" s="579"/>
      <c r="E401" s="579"/>
      <c r="F401" s="589"/>
      <c r="G401" s="47"/>
      <c r="H401" s="259"/>
      <c r="I401" s="259"/>
      <c r="J401" s="259"/>
      <c r="K401" s="259"/>
      <c r="L401" s="308">
        <f>+IF(B391="m2",H401*I401*K401,IF(B391="m3",H401*I401*J401*K401,IF(B391="ml",H401*K401,IF(B391="UND",K401,IF(B391="GLOBAL",K401,"")))))</f>
        <v>0</v>
      </c>
      <c r="S401" s="272"/>
      <c r="T401" s="278"/>
    </row>
    <row r="402" spans="1:20" x14ac:dyDescent="0.3">
      <c r="A402" s="588"/>
      <c r="B402" s="579"/>
      <c r="C402" s="579"/>
      <c r="D402" s="579"/>
      <c r="E402" s="579"/>
      <c r="F402" s="589"/>
      <c r="G402" s="47"/>
      <c r="H402" s="259"/>
      <c r="I402" s="259"/>
      <c r="J402" s="259"/>
      <c r="K402" s="259"/>
      <c r="L402" s="308">
        <f>+IF(B391="m2",H402*I402*K402,IF(B391="m3",H402*I402*J402*K402,IF(B391="ml",H402*K402,IF(B391="UND",K402,IF(B391="GLOBAL",K402,"")))))</f>
        <v>0</v>
      </c>
      <c r="S402" s="272"/>
      <c r="T402" s="278"/>
    </row>
    <row r="403" spans="1:20" x14ac:dyDescent="0.3">
      <c r="A403" s="588"/>
      <c r="B403" s="579"/>
      <c r="C403" s="579"/>
      <c r="D403" s="579"/>
      <c r="E403" s="579"/>
      <c r="F403" s="589"/>
      <c r="G403" s="47"/>
      <c r="H403" s="259"/>
      <c r="I403" s="259"/>
      <c r="J403" s="259"/>
      <c r="K403" s="259"/>
      <c r="L403" s="308">
        <f>+IF(B391="m2",H403*I403*K403,IF(B391="m3",H403*I403*J403*K403,IF(B391="ml",H403*K403,IF(B391="UND",K403,IF(B391="GLOBAL",K403,"")))))</f>
        <v>0</v>
      </c>
      <c r="S403" s="272"/>
      <c r="T403" s="278"/>
    </row>
    <row r="404" spans="1:20" x14ac:dyDescent="0.3">
      <c r="A404" s="588"/>
      <c r="B404" s="579"/>
      <c r="C404" s="579"/>
      <c r="D404" s="579"/>
      <c r="E404" s="579"/>
      <c r="F404" s="589"/>
      <c r="G404" s="47"/>
      <c r="H404" s="259"/>
      <c r="I404" s="259"/>
      <c r="J404" s="259"/>
      <c r="K404" s="259"/>
      <c r="L404" s="308">
        <f>+IF(B391="m2",H404*I404*K404,IF(B391="m3",H404*I404*J404*K404,IF(B391="ml",H404*K404,IF(B391="UND",K404,IF(B391="GLOBAL",K404,"")))))</f>
        <v>0</v>
      </c>
      <c r="S404" s="272"/>
      <c r="T404" s="278"/>
    </row>
    <row r="405" spans="1:20" x14ac:dyDescent="0.3">
      <c r="A405" s="588"/>
      <c r="B405" s="579"/>
      <c r="C405" s="579"/>
      <c r="D405" s="579"/>
      <c r="E405" s="579"/>
      <c r="F405" s="589"/>
      <c r="G405" s="47"/>
      <c r="H405" s="259"/>
      <c r="I405" s="259"/>
      <c r="J405" s="259"/>
      <c r="K405" s="259"/>
      <c r="L405" s="308">
        <f>+IF(B391="m2",H405*I405*K405,IF(B391="m3",H405*I405*J405*K405,IF(B391="ml",H405*K405,IF(B391="UND",K405,IF(B391="GLOBAL",K405,"")))))</f>
        <v>0</v>
      </c>
      <c r="S405" s="272"/>
      <c r="T405" s="278"/>
    </row>
    <row r="406" spans="1:20" x14ac:dyDescent="0.3">
      <c r="A406" s="588"/>
      <c r="B406" s="579"/>
      <c r="C406" s="579"/>
      <c r="D406" s="579"/>
      <c r="E406" s="579"/>
      <c r="F406" s="589"/>
      <c r="G406" s="47"/>
      <c r="H406" s="259"/>
      <c r="I406" s="259"/>
      <c r="J406" s="259"/>
      <c r="K406" s="259"/>
      <c r="L406" s="308">
        <f>+IF(B391="m2",H406*I406*K406,IF(B391="m3",H406*I406*J406*K406,IF(B391="ml",H406*K406,IF(B391="UND",K406,IF(B391="GLOBAL",K406,"")))))</f>
        <v>0</v>
      </c>
      <c r="S406" s="272"/>
      <c r="T406" s="278"/>
    </row>
    <row r="407" spans="1:20" x14ac:dyDescent="0.3">
      <c r="A407" s="588"/>
      <c r="B407" s="579"/>
      <c r="C407" s="579"/>
      <c r="D407" s="579"/>
      <c r="E407" s="579"/>
      <c r="F407" s="589"/>
      <c r="G407" s="47"/>
      <c r="H407" s="259"/>
      <c r="I407" s="259"/>
      <c r="J407" s="259"/>
      <c r="K407" s="259"/>
      <c r="L407" s="308">
        <f>+IF(B391="m2",H407*I407*K407,IF(B391="m3",H407*I407*J407*K407,IF(B391="ml",H407*K407,IF(B391="UND",K407,IF(B391="GLOBAL",K407,"")))))</f>
        <v>0</v>
      </c>
      <c r="S407" s="272"/>
      <c r="T407" s="278"/>
    </row>
    <row r="408" spans="1:20" x14ac:dyDescent="0.3">
      <c r="A408" s="588"/>
      <c r="B408" s="579"/>
      <c r="C408" s="579"/>
      <c r="D408" s="579"/>
      <c r="E408" s="579"/>
      <c r="F408" s="589"/>
      <c r="G408" s="47"/>
      <c r="H408" s="259"/>
      <c r="I408" s="259"/>
      <c r="J408" s="259"/>
      <c r="K408" s="259"/>
      <c r="L408" s="308">
        <f>+IF(B391="m2",H408*I408*K408,IF(B391="m3",H408*I408*J408*K408,IF(B391="ml",H408*K408,IF(B391="UND",K408,IF(B391="GLOBAL",K408,"")))))</f>
        <v>0</v>
      </c>
      <c r="S408" s="272"/>
      <c r="T408" s="278"/>
    </row>
    <row r="409" spans="1:20" ht="15" thickBot="1" x14ac:dyDescent="0.35">
      <c r="A409" s="590"/>
      <c r="B409" s="591"/>
      <c r="C409" s="591"/>
      <c r="D409" s="591"/>
      <c r="E409" s="591"/>
      <c r="F409" s="592"/>
      <c r="G409" s="261" t="s">
        <v>31</v>
      </c>
      <c r="H409" s="262"/>
      <c r="I409" s="262"/>
      <c r="J409" s="262"/>
      <c r="K409" s="262"/>
      <c r="L409" s="309">
        <f>SUM(L394:L408)</f>
        <v>44</v>
      </c>
      <c r="N409" s="264" t="str">
        <f>+A391</f>
        <v>3,01</v>
      </c>
      <c r="O409" s="331">
        <f>+L409</f>
        <v>44</v>
      </c>
      <c r="S409" s="272"/>
      <c r="T409" s="278"/>
    </row>
    <row r="410" spans="1:20" ht="15" thickBot="1" x14ac:dyDescent="0.35">
      <c r="A410" s="265"/>
      <c r="B410" s="266"/>
      <c r="C410" s="266"/>
      <c r="D410" s="266"/>
      <c r="E410" s="267"/>
      <c r="L410" s="310"/>
      <c r="S410" s="272"/>
      <c r="T410" s="278"/>
    </row>
    <row r="411" spans="1:20" ht="15" thickBot="1" x14ac:dyDescent="0.35">
      <c r="A411" s="269" t="s">
        <v>50</v>
      </c>
      <c r="B411" s="270"/>
      <c r="C411" s="270"/>
      <c r="D411" s="270"/>
      <c r="E411" s="271"/>
      <c r="F411" s="278"/>
      <c r="G411" s="278"/>
      <c r="H411" s="278"/>
      <c r="I411" s="278"/>
      <c r="J411" s="272"/>
      <c r="K411" s="272"/>
      <c r="L411" s="311"/>
      <c r="S411" s="272"/>
      <c r="T411" s="278"/>
    </row>
    <row r="412" spans="1:20" ht="15" thickBot="1" x14ac:dyDescent="0.35">
      <c r="A412" s="274" t="s">
        <v>18</v>
      </c>
      <c r="B412" s="275" t="s">
        <v>51</v>
      </c>
      <c r="C412" s="275" t="s">
        <v>21</v>
      </c>
      <c r="D412" s="275" t="s">
        <v>52</v>
      </c>
      <c r="E412" s="276" t="s">
        <v>22</v>
      </c>
      <c r="F412" s="277"/>
      <c r="G412" s="284"/>
      <c r="H412" s="284"/>
      <c r="I412" s="284"/>
      <c r="J412" s="284"/>
      <c r="K412" s="284"/>
      <c r="L412" s="312"/>
      <c r="S412" s="272"/>
      <c r="T412" s="278"/>
    </row>
    <row r="413" spans="1:20" ht="27.6" x14ac:dyDescent="0.3">
      <c r="A413" s="191" t="str">
        <f>IFERROR(VLOOKUP(B413,INSUMOS!A:D,4,FALSE),"")</f>
        <v/>
      </c>
      <c r="B413" s="163" t="str">
        <f>+IFERROR(VLOOKUP(N413,APU!J:M,4,FALSE),"")</f>
        <v>Malla para gaviones tipo a (C13) 2X1X1</v>
      </c>
      <c r="C413" s="163" t="str">
        <f>+IFERROR(VLOOKUP(B413,INSUMOS!A:D,2,FALSE),"")</f>
        <v/>
      </c>
      <c r="D413" s="192">
        <f>IFERROR(VLOOKUP(N413,APU!J:N,5,FALSE),"")</f>
        <v>0.51500000000000001</v>
      </c>
      <c r="E413" s="279">
        <f>IFERROR(D413*K391,"")</f>
        <v>22.66</v>
      </c>
      <c r="F413" s="278"/>
      <c r="G413" s="284"/>
      <c r="H413" s="284"/>
      <c r="I413" s="284"/>
      <c r="J413" s="284"/>
      <c r="K413" s="284"/>
      <c r="L413" s="312"/>
      <c r="N413" s="280" t="str">
        <f>+_xlfn.CONCAT("M",N409,O413)</f>
        <v>M3,011</v>
      </c>
      <c r="O413" s="280">
        <v>1</v>
      </c>
      <c r="P413" s="281" t="str">
        <f>+IFERROR(VLOOKUP(B413,INSUMOS!A:D,3,FALSE),"")</f>
        <v/>
      </c>
      <c r="Q413" s="282" t="str">
        <f t="shared" ref="Q413:Q423" si="9">IFERROR(E413*P413,"")</f>
        <v/>
      </c>
      <c r="S413" s="272"/>
      <c r="T413" s="278"/>
    </row>
    <row r="414" spans="1:20" x14ac:dyDescent="0.3">
      <c r="A414" s="191">
        <f>IFERROR(VLOOKUP(B414,INSUMOS!A:D,4,FALSE),"")</f>
        <v>434</v>
      </c>
      <c r="B414" s="163" t="str">
        <f>+IFERROR(VLOOKUP(N414,APU!J:M,4,FALSE),"")</f>
        <v>Alambre galvanizado No. 12</v>
      </c>
      <c r="C414" s="163" t="str">
        <f>+IFERROR(VLOOKUP(B414,INSUMOS!A:D,2,FALSE),"")</f>
        <v>Kilogramo</v>
      </c>
      <c r="D414" s="192">
        <f>IFERROR(VLOOKUP(N414,APU!J:N,5,FALSE),"")</f>
        <v>0.1545</v>
      </c>
      <c r="E414" s="283">
        <f>IFERROR(D414*K391,"")</f>
        <v>6.798</v>
      </c>
      <c r="F414" s="278"/>
      <c r="G414" s="284"/>
      <c r="H414" s="284"/>
      <c r="I414" s="284"/>
      <c r="J414" s="284"/>
      <c r="K414" s="284"/>
      <c r="L414" s="312"/>
      <c r="N414" s="280" t="str">
        <f>+_xlfn.CONCAT("M",N409,O414)</f>
        <v>M3,012</v>
      </c>
      <c r="O414" s="280">
        <v>2</v>
      </c>
      <c r="P414" s="281">
        <f>+IFERROR(VLOOKUP(B414,INSUMOS!A:D,3,FALSE),"")</f>
        <v>18236.830000000002</v>
      </c>
      <c r="Q414" s="282">
        <f t="shared" si="9"/>
        <v>123973.97034000001</v>
      </c>
      <c r="S414" s="272"/>
      <c r="T414" s="278"/>
    </row>
    <row r="415" spans="1:20" ht="27.6" x14ac:dyDescent="0.3">
      <c r="A415" s="191">
        <f>IFERROR(VLOOKUP(B415,INSUMOS!A:D,4,FALSE),"")</f>
        <v>1251</v>
      </c>
      <c r="B415" s="163" t="str">
        <f>+IFERROR(VLOOKUP(N415,APU!J:M,4,FALSE),"")</f>
        <v>Tuberia PVC Alcantarillado - Novafort 4" x 6m</v>
      </c>
      <c r="C415" s="163" t="str">
        <f>+IFERROR(VLOOKUP(B415,INSUMOS!A:D,2,FALSE),"")</f>
        <v>Unidad</v>
      </c>
      <c r="D415" s="192">
        <f>IFERROR(VLOOKUP(N415,APU!J:N,5,FALSE),"")</f>
        <v>0.17166666666666666</v>
      </c>
      <c r="E415" s="283">
        <f>IFERROR(D415*K391,"")</f>
        <v>7.5533333333333328</v>
      </c>
      <c r="F415" s="278"/>
      <c r="G415" s="284"/>
      <c r="H415" s="284"/>
      <c r="I415" s="284"/>
      <c r="J415" s="284"/>
      <c r="K415" s="284"/>
      <c r="L415" s="312"/>
      <c r="N415" s="280" t="str">
        <f>+_xlfn.CONCAT("M",N409,O415)</f>
        <v>M3,013</v>
      </c>
      <c r="O415" s="280">
        <v>3</v>
      </c>
      <c r="P415" s="281">
        <f>+IFERROR(VLOOKUP(B415,INSUMOS!A:D,3,FALSE),"")</f>
        <v>139820.54999999999</v>
      </c>
      <c r="Q415" s="282">
        <f t="shared" si="9"/>
        <v>1056111.2209999999</v>
      </c>
      <c r="S415" s="272"/>
      <c r="T415" s="278"/>
    </row>
    <row r="416" spans="1:20" ht="27.6" x14ac:dyDescent="0.3">
      <c r="A416" s="191">
        <f>IFERROR(VLOOKUP(B416,INSUMOS!A:D,4,FALSE),"")</f>
        <v>78</v>
      </c>
      <c r="B416" s="163" t="str">
        <f>+IFERROR(VLOOKUP(N416,APU!J:M,4,FALSE),"")</f>
        <v>Piedra media zonga</v>
      </c>
      <c r="C416" s="163" t="str">
        <f>+IFERROR(VLOOKUP(B416,INSUMOS!A:D,2,FALSE),"")</f>
        <v>Metro cubico</v>
      </c>
      <c r="D416" s="192">
        <f>IFERROR(VLOOKUP(N416,APU!J:N,5,FALSE),"")</f>
        <v>1.03</v>
      </c>
      <c r="E416" s="283">
        <f>IFERROR(D416*K391,"")</f>
        <v>45.32</v>
      </c>
      <c r="F416" s="278"/>
      <c r="G416" s="284"/>
      <c r="H416" s="284"/>
      <c r="I416" s="284"/>
      <c r="J416" s="284"/>
      <c r="K416" s="284"/>
      <c r="L416" s="312"/>
      <c r="N416" s="280" t="str">
        <f>+_xlfn.CONCAT("M",N409,O416)</f>
        <v>M3,014</v>
      </c>
      <c r="O416" s="280">
        <v>4</v>
      </c>
      <c r="P416" s="281">
        <f>+IFERROR(VLOOKUP(B416,INSUMOS!A:D,3,FALSE),"")</f>
        <v>158195.79999999999</v>
      </c>
      <c r="Q416" s="282">
        <f t="shared" si="9"/>
        <v>7169433.6559999995</v>
      </c>
      <c r="S416" s="272"/>
      <c r="T416" s="278"/>
    </row>
    <row r="417" spans="1:20" ht="27.6" x14ac:dyDescent="0.3">
      <c r="A417" s="191">
        <f>IFERROR(VLOOKUP(B417,INSUMOS!A:D,4,FALSE),"")</f>
        <v>20</v>
      </c>
      <c r="B417" s="163" t="str">
        <f>+IFERROR(VLOOKUP(N417,APU!J:M,4,FALSE),"")</f>
        <v>Geotextil 1600S No Tejido Ancho 3.50 m</v>
      </c>
      <c r="C417" s="163" t="str">
        <f>+IFERROR(VLOOKUP(B417,INSUMOS!A:D,2,FALSE),"")</f>
        <v>Metro Lineal</v>
      </c>
      <c r="D417" s="192">
        <f>IFERROR(VLOOKUP(N417,APU!J:N,5,FALSE),"")</f>
        <v>0.31930000000000003</v>
      </c>
      <c r="E417" s="283">
        <f>IFERROR(D417*K391,"")</f>
        <v>14.049200000000001</v>
      </c>
      <c r="F417" s="278"/>
      <c r="G417" s="284"/>
      <c r="H417" s="284"/>
      <c r="I417" s="284"/>
      <c r="J417" s="284"/>
      <c r="K417" s="284"/>
      <c r="L417" s="312"/>
      <c r="N417" s="280" t="str">
        <f>+_xlfn.CONCAT("M",N409,O417)</f>
        <v>M3,015</v>
      </c>
      <c r="O417" s="280">
        <v>5</v>
      </c>
      <c r="P417" s="281">
        <f>+IFERROR(VLOOKUP(B417,INSUMOS!A:D,3,FALSE),"")</f>
        <v>14658.95</v>
      </c>
      <c r="Q417" s="282">
        <f t="shared" si="9"/>
        <v>205946.52034000002</v>
      </c>
      <c r="S417" s="272"/>
      <c r="T417" s="278"/>
    </row>
    <row r="418" spans="1:20" x14ac:dyDescent="0.3">
      <c r="A418" s="191" t="str">
        <f>IFERROR(VLOOKUP(B418,INSUMOS!A:D,4,FALSE),"")</f>
        <v/>
      </c>
      <c r="B418" s="163">
        <f>+IFERROR(VLOOKUP(N418,APU!J:M,4,FALSE),"")</f>
        <v>0</v>
      </c>
      <c r="C418" s="163" t="str">
        <f>+IFERROR(VLOOKUP(B418,INSUMOS!A:D,2,FALSE),"")</f>
        <v/>
      </c>
      <c r="D418" s="192">
        <f>IFERROR(VLOOKUP(N418,APU!J:N,5,FALSE),"")</f>
        <v>0</v>
      </c>
      <c r="E418" s="285">
        <f>IFERROR(D418*K391,"")</f>
        <v>0</v>
      </c>
      <c r="F418" s="278"/>
      <c r="G418" s="284"/>
      <c r="H418" s="284"/>
      <c r="I418" s="284"/>
      <c r="J418" s="284"/>
      <c r="K418" s="284"/>
      <c r="L418" s="312"/>
      <c r="N418" s="280" t="str">
        <f>+_xlfn.CONCAT("M",N409,O418)</f>
        <v>M3,016</v>
      </c>
      <c r="O418" s="280">
        <v>6</v>
      </c>
      <c r="P418" s="281" t="str">
        <f>+IFERROR(VLOOKUP(B418,INSUMOS!A:D,3,FALSE),"")</f>
        <v/>
      </c>
      <c r="Q418" s="282" t="str">
        <f t="shared" si="9"/>
        <v/>
      </c>
      <c r="S418" s="272"/>
      <c r="T418" s="278"/>
    </row>
    <row r="419" spans="1:20" x14ac:dyDescent="0.3">
      <c r="A419" s="191" t="str">
        <f>IFERROR(VLOOKUP(B419,INSUMOS!A:D,4,FALSE),"")</f>
        <v/>
      </c>
      <c r="B419" s="163">
        <f>+IFERROR(VLOOKUP(N419,APU!J:M,4,FALSE),"")</f>
        <v>0</v>
      </c>
      <c r="C419" s="163" t="str">
        <f>+IFERROR(VLOOKUP(B419,INSUMOS!A:D,2,FALSE),"")</f>
        <v/>
      </c>
      <c r="D419" s="192">
        <f>IFERROR(VLOOKUP(N419,APU!J:N,5,FALSE),"")</f>
        <v>0</v>
      </c>
      <c r="E419" s="285">
        <f>IFERROR(D419*K391,"")</f>
        <v>0</v>
      </c>
      <c r="F419" s="278"/>
      <c r="G419" s="284"/>
      <c r="H419" s="284"/>
      <c r="I419" s="284"/>
      <c r="J419" s="284"/>
      <c r="K419" s="284"/>
      <c r="L419" s="312"/>
      <c r="N419" s="280" t="str">
        <f>+_xlfn.CONCAT("M",N409,O419)</f>
        <v>M3,017</v>
      </c>
      <c r="O419" s="280">
        <v>7</v>
      </c>
      <c r="P419" s="281" t="str">
        <f>+IFERROR(VLOOKUP(B419,INSUMOS!A:D,3,FALSE),"")</f>
        <v/>
      </c>
      <c r="Q419" s="282" t="str">
        <f t="shared" si="9"/>
        <v/>
      </c>
      <c r="S419" s="272"/>
      <c r="T419" s="278"/>
    </row>
    <row r="420" spans="1:20" x14ac:dyDescent="0.3">
      <c r="A420" s="191" t="str">
        <f>IFERROR(VLOOKUP(B420,INSUMOS!A:D,4,FALSE),"")</f>
        <v/>
      </c>
      <c r="B420" s="163">
        <f>+IFERROR(VLOOKUP(N420,APU!J:M,4,FALSE),"")</f>
        <v>0</v>
      </c>
      <c r="C420" s="163" t="str">
        <f>+IFERROR(VLOOKUP(B420,INSUMOS!A:D,2,FALSE),"")</f>
        <v/>
      </c>
      <c r="D420" s="192">
        <f>IFERROR(VLOOKUP(N420,APU!J:N,5,FALSE),"")</f>
        <v>0</v>
      </c>
      <c r="E420" s="285">
        <f>IFERROR(D420*K391,"")</f>
        <v>0</v>
      </c>
      <c r="F420" s="278"/>
      <c r="G420" s="284"/>
      <c r="H420" s="284"/>
      <c r="I420" s="284"/>
      <c r="J420" s="284"/>
      <c r="K420" s="284"/>
      <c r="L420" s="312"/>
      <c r="N420" s="280" t="str">
        <f>+_xlfn.CONCAT("M",N409,O420)</f>
        <v>M3,018</v>
      </c>
      <c r="O420" s="280">
        <v>8</v>
      </c>
      <c r="P420" s="281" t="str">
        <f>+IFERROR(VLOOKUP(B420,INSUMOS!A:D,3,FALSE),"")</f>
        <v/>
      </c>
      <c r="Q420" s="282" t="str">
        <f t="shared" si="9"/>
        <v/>
      </c>
      <c r="S420" s="272"/>
      <c r="T420" s="278"/>
    </row>
    <row r="421" spans="1:20" x14ac:dyDescent="0.3">
      <c r="A421" s="191" t="str">
        <f>IFERROR(VLOOKUP(B421,INSUMOS!A:D,4,FALSE),"")</f>
        <v/>
      </c>
      <c r="B421" s="163">
        <f>+IFERROR(VLOOKUP(N421,APU!J:M,4,FALSE),"")</f>
        <v>0</v>
      </c>
      <c r="C421" s="163" t="str">
        <f>+IFERROR(VLOOKUP(B421,INSUMOS!A:D,2,FALSE),"")</f>
        <v/>
      </c>
      <c r="D421" s="192">
        <f>IFERROR(VLOOKUP(N421,APU!J:N,5,FALSE),"")</f>
        <v>0</v>
      </c>
      <c r="E421" s="285">
        <f>IFERROR(D421*K391,"")</f>
        <v>0</v>
      </c>
      <c r="F421" s="278"/>
      <c r="G421" s="284"/>
      <c r="H421" s="284"/>
      <c r="I421" s="284"/>
      <c r="J421" s="284"/>
      <c r="K421" s="284"/>
      <c r="L421" s="312"/>
      <c r="N421" s="280" t="str">
        <f>+_xlfn.CONCAT("M",N409,O421)</f>
        <v>M3,019</v>
      </c>
      <c r="O421" s="280">
        <v>9</v>
      </c>
      <c r="P421" s="281" t="str">
        <f>+IFERROR(VLOOKUP(B421,INSUMOS!A:D,3,FALSE),"")</f>
        <v/>
      </c>
      <c r="Q421" s="282" t="str">
        <f t="shared" si="9"/>
        <v/>
      </c>
      <c r="S421" s="272"/>
      <c r="T421" s="278"/>
    </row>
    <row r="422" spans="1:20" x14ac:dyDescent="0.3">
      <c r="A422" s="191" t="str">
        <f>IFERROR(VLOOKUP(B422,INSUMOS!A:D,4,FALSE),"")</f>
        <v/>
      </c>
      <c r="B422" s="163">
        <f>+IFERROR(VLOOKUP(N422,APU!J:M,4,FALSE),"")</f>
        <v>0</v>
      </c>
      <c r="C422" s="163" t="str">
        <f>+IFERROR(VLOOKUP(B422,INSUMOS!A:D,2,FALSE),"")</f>
        <v/>
      </c>
      <c r="D422" s="192">
        <f>IFERROR(VLOOKUP(N422,APU!J:N,5,FALSE),"")</f>
        <v>0</v>
      </c>
      <c r="E422" s="285">
        <f>IFERROR(D422*K391,"")</f>
        <v>0</v>
      </c>
      <c r="F422" s="278"/>
      <c r="G422" s="284"/>
      <c r="H422" s="284"/>
      <c r="I422" s="284"/>
      <c r="J422" s="284"/>
      <c r="K422" s="284"/>
      <c r="L422" s="312"/>
      <c r="N422" s="280" t="str">
        <f>+_xlfn.CONCAT("M",N409,O422)</f>
        <v>M3,0110</v>
      </c>
      <c r="O422" s="280">
        <v>10</v>
      </c>
      <c r="P422" s="281" t="str">
        <f>+IFERROR(VLOOKUP(B422,INSUMOS!A:D,3,FALSE),"")</f>
        <v/>
      </c>
      <c r="Q422" s="282" t="str">
        <f t="shared" si="9"/>
        <v/>
      </c>
      <c r="S422" s="272"/>
      <c r="T422" s="278"/>
    </row>
    <row r="423" spans="1:20" ht="15" thickBot="1" x14ac:dyDescent="0.35">
      <c r="A423" s="286" t="str">
        <f>IFERROR(VLOOKUP(B423,INSUMOS!A:D,4,FALSE),"")</f>
        <v/>
      </c>
      <c r="B423" s="287">
        <f>+IFERROR(VLOOKUP(N423,APU!J:M,4,FALSE),"")</f>
        <v>0</v>
      </c>
      <c r="C423" s="287" t="str">
        <f>+IFERROR(VLOOKUP(B423,INSUMOS!A:D,2,FALSE),"")</f>
        <v/>
      </c>
      <c r="D423" s="288">
        <f>IFERROR(VLOOKUP(N423,APU!J:N,5,FALSE),"")</f>
        <v>0</v>
      </c>
      <c r="E423" s="289">
        <f>IFERROR(D423*K391,"")</f>
        <v>0</v>
      </c>
      <c r="F423" s="278"/>
      <c r="G423" s="284"/>
      <c r="H423" s="284"/>
      <c r="I423" s="284"/>
      <c r="J423" s="284"/>
      <c r="K423" s="284"/>
      <c r="L423" s="312"/>
      <c r="N423" s="280" t="str">
        <f>+_xlfn.CONCAT("M",N409,O423)</f>
        <v>M3,0111</v>
      </c>
      <c r="O423" s="280">
        <v>11</v>
      </c>
      <c r="P423" s="281" t="str">
        <f>+IFERROR(VLOOKUP(B423,INSUMOS!A:D,3,FALSE),"")</f>
        <v/>
      </c>
      <c r="Q423" s="282" t="str">
        <f t="shared" si="9"/>
        <v/>
      </c>
      <c r="S423" s="272"/>
      <c r="T423" s="278"/>
    </row>
    <row r="424" spans="1:20" x14ac:dyDescent="0.3">
      <c r="A424" s="471"/>
      <c r="C424" s="290"/>
      <c r="D424" s="290"/>
      <c r="E424" s="290"/>
      <c r="F424" s="278"/>
      <c r="G424" s="291"/>
      <c r="H424" s="473"/>
      <c r="I424" s="284"/>
      <c r="J424" s="272"/>
      <c r="K424" s="284"/>
      <c r="L424" s="312"/>
      <c r="N424" s="280"/>
      <c r="O424" s="280"/>
      <c r="P424" s="313"/>
      <c r="Q424" s="314"/>
      <c r="S424" s="272"/>
      <c r="T424" s="278"/>
    </row>
    <row r="425" spans="1:20" x14ac:dyDescent="0.3">
      <c r="A425" s="471"/>
      <c r="C425" s="290"/>
      <c r="D425" s="290"/>
      <c r="E425" s="290"/>
      <c r="F425" s="278"/>
      <c r="G425" s="291"/>
      <c r="H425" s="473"/>
      <c r="I425" s="284"/>
      <c r="J425" s="272"/>
      <c r="K425" s="284"/>
      <c r="L425" s="312"/>
      <c r="N425" s="280"/>
      <c r="O425" s="280"/>
      <c r="P425" s="313"/>
      <c r="Q425" s="314"/>
      <c r="S425" s="272"/>
      <c r="T425" s="278"/>
    </row>
    <row r="426" spans="1:20" x14ac:dyDescent="0.3">
      <c r="A426" s="471"/>
      <c r="C426" s="293"/>
      <c r="D426" s="293"/>
      <c r="E426" s="294"/>
      <c r="F426" s="278"/>
      <c r="G426" s="234"/>
      <c r="H426" s="234"/>
      <c r="I426" s="284"/>
      <c r="J426" s="272"/>
      <c r="K426" s="284"/>
      <c r="L426" s="312"/>
      <c r="N426" s="280"/>
      <c r="O426" s="280"/>
      <c r="P426" s="315" t="str">
        <f>+A391</f>
        <v>3,01</v>
      </c>
      <c r="Q426" s="314">
        <f>SUM(Q413:Q423)</f>
        <v>8555465.3676799983</v>
      </c>
      <c r="S426" s="272"/>
      <c r="T426" s="278"/>
    </row>
    <row r="427" spans="1:20" x14ac:dyDescent="0.3">
      <c r="A427" s="471"/>
      <c r="C427" s="293"/>
      <c r="D427" s="293"/>
      <c r="E427" s="294"/>
      <c r="F427" s="316"/>
      <c r="G427" s="295"/>
      <c r="H427" s="295"/>
      <c r="I427" s="295"/>
      <c r="J427" s="296"/>
      <c r="K427" s="297"/>
      <c r="L427" s="302"/>
      <c r="S427" s="272"/>
      <c r="T427" s="278"/>
    </row>
    <row r="428" spans="1:20" x14ac:dyDescent="0.3">
      <c r="A428" s="299"/>
      <c r="B428" s="293"/>
      <c r="C428" s="293"/>
      <c r="D428" s="293"/>
      <c r="E428" s="294"/>
      <c r="F428" s="293"/>
      <c r="G428" s="300" t="str">
        <f>+'INF. GENERAL'!$B$19</f>
        <v>JAVIER JOSÉ ROSADO MENDINUETA</v>
      </c>
      <c r="H428" s="301"/>
      <c r="I428" s="301"/>
      <c r="J428" s="301"/>
      <c r="K428" s="297"/>
      <c r="L428" s="302"/>
      <c r="S428" s="272"/>
      <c r="T428" s="278"/>
    </row>
    <row r="429" spans="1:20" x14ac:dyDescent="0.3">
      <c r="A429" s="299"/>
      <c r="B429" s="293"/>
      <c r="C429" s="293"/>
      <c r="D429" s="293"/>
      <c r="E429" s="294"/>
      <c r="F429" s="293"/>
      <c r="G429" s="303" t="str">
        <f>+'INF. GENERAL'!$B$20</f>
        <v>PROFESIONAL APOYO</v>
      </c>
      <c r="H429" s="301"/>
      <c r="I429" s="301"/>
      <c r="J429" s="301"/>
      <c r="K429" s="297"/>
      <c r="L429" s="302"/>
      <c r="S429" s="272"/>
      <c r="T429" s="278"/>
    </row>
    <row r="430" spans="1:20" ht="15" thickBot="1" x14ac:dyDescent="0.35">
      <c r="A430" s="235" t="s">
        <v>37</v>
      </c>
      <c r="B430" s="236"/>
      <c r="C430" s="236"/>
      <c r="D430" s="236"/>
      <c r="E430" s="237"/>
      <c r="F430" s="236"/>
      <c r="G430" s="318" t="str">
        <f>+'INF. GENERAL'!$B$21</f>
        <v>MP: 08700-52350</v>
      </c>
      <c r="H430" s="319"/>
      <c r="I430" s="319"/>
      <c r="J430" s="319"/>
      <c r="K430" s="236"/>
      <c r="L430" s="304" t="s">
        <v>37</v>
      </c>
      <c r="S430" s="272"/>
      <c r="T430" s="278"/>
    </row>
    <row r="431" spans="1:20" ht="18.600000000000001" thickBot="1" x14ac:dyDescent="0.35">
      <c r="A431" s="320" t="s">
        <v>37</v>
      </c>
      <c r="B431" s="201" t="s">
        <v>38</v>
      </c>
      <c r="C431" s="321"/>
      <c r="D431" s="321"/>
      <c r="E431" s="321"/>
      <c r="F431" s="321"/>
      <c r="G431" s="321"/>
      <c r="H431" s="321"/>
      <c r="I431" s="321"/>
      <c r="J431" s="321"/>
      <c r="K431" s="321"/>
      <c r="L431" s="322" t="s">
        <v>37</v>
      </c>
      <c r="S431" s="272"/>
      <c r="T431" s="278"/>
    </row>
    <row r="432" spans="1:20" ht="15" thickBot="1" x14ac:dyDescent="0.35">
      <c r="A432" s="235" t="s">
        <v>37</v>
      </c>
      <c r="B432" s="236"/>
      <c r="C432" s="236"/>
      <c r="D432" s="236"/>
      <c r="E432" s="237"/>
      <c r="F432" s="236"/>
      <c r="G432" s="238"/>
      <c r="H432" s="236"/>
      <c r="I432" s="236"/>
      <c r="J432" s="236"/>
      <c r="K432" s="236"/>
      <c r="L432" s="304" t="s">
        <v>37</v>
      </c>
      <c r="S432" s="272"/>
      <c r="T432" s="278"/>
    </row>
    <row r="433" spans="1:20" ht="15" thickBot="1" x14ac:dyDescent="0.35">
      <c r="A433" s="240" t="s">
        <v>39</v>
      </c>
      <c r="B433" s="241" t="s">
        <v>21</v>
      </c>
      <c r="C433" s="242" t="s">
        <v>20</v>
      </c>
      <c r="D433" s="243"/>
      <c r="E433" s="243"/>
      <c r="F433" s="243"/>
      <c r="G433" s="244"/>
      <c r="H433" s="325" t="s">
        <v>40</v>
      </c>
      <c r="I433" s="326"/>
      <c r="J433" s="327"/>
      <c r="K433" s="242" t="s">
        <v>41</v>
      </c>
      <c r="L433" s="244"/>
      <c r="M433" s="328"/>
      <c r="N433" s="323"/>
      <c r="O433" s="323"/>
      <c r="P433" s="323"/>
      <c r="Q433" s="323"/>
      <c r="R433" s="323"/>
      <c r="S433" s="335"/>
      <c r="T433" s="324"/>
    </row>
    <row r="434" spans="1:20" ht="15" thickBot="1" x14ac:dyDescent="0.35">
      <c r="A434" s="474" t="s">
        <v>2256</v>
      </c>
      <c r="B434" s="249" t="str">
        <f>VLOOKUP(A434,PRESUPUESTO!$A$3:$F$973,5,FALSE)</f>
        <v>m2</v>
      </c>
      <c r="C434" s="42" t="str">
        <f>VLOOKUP(A434,PRESUPUESTO!$A$3:$F$973,4,FALSE)</f>
        <v>Suministro acabados de pintura anticorrosiva</v>
      </c>
      <c r="D434" s="43"/>
      <c r="E434" s="44"/>
      <c r="F434" s="45"/>
      <c r="G434" s="46"/>
      <c r="H434" s="250" t="str">
        <f>VLOOKUP(A434,PRESUPUESTO!$A$3:$F$973,3,FALSE)</f>
        <v>ESTRUCTURAS DE CONTENCIÓN</v>
      </c>
      <c r="I434" s="251"/>
      <c r="J434" s="252"/>
      <c r="K434" s="253">
        <f>ROUND(+L452,2)</f>
        <v>900</v>
      </c>
      <c r="L434" s="306"/>
      <c r="S434" s="272"/>
      <c r="T434" s="278"/>
    </row>
    <row r="435" spans="1:20" ht="15" thickBot="1" x14ac:dyDescent="0.35">
      <c r="A435" s="242" t="s">
        <v>42</v>
      </c>
      <c r="B435" s="243"/>
      <c r="C435" s="243"/>
      <c r="D435" s="243"/>
      <c r="E435" s="243"/>
      <c r="F435" s="244"/>
      <c r="G435" s="580" t="s">
        <v>43</v>
      </c>
      <c r="H435" s="582" t="s">
        <v>44</v>
      </c>
      <c r="I435" s="583"/>
      <c r="J435" s="583"/>
      <c r="K435" s="584"/>
      <c r="L435" s="580" t="s">
        <v>45</v>
      </c>
      <c r="S435" s="272"/>
      <c r="T435" s="278"/>
    </row>
    <row r="436" spans="1:20" ht="15" thickBot="1" x14ac:dyDescent="0.35">
      <c r="A436" s="585" t="e" vm="1">
        <v>#VALUE!</v>
      </c>
      <c r="B436" s="586"/>
      <c r="C436" s="586"/>
      <c r="D436" s="586"/>
      <c r="E436" s="586"/>
      <c r="F436" s="587"/>
      <c r="G436" s="581"/>
      <c r="H436" s="255" t="s">
        <v>46</v>
      </c>
      <c r="I436" s="255" t="s">
        <v>47</v>
      </c>
      <c r="J436" s="255" t="s">
        <v>48</v>
      </c>
      <c r="K436" s="256" t="s">
        <v>49</v>
      </c>
      <c r="L436" s="581"/>
      <c r="S436" s="272"/>
      <c r="T436" s="278"/>
    </row>
    <row r="437" spans="1:20" x14ac:dyDescent="0.3">
      <c r="A437" s="588"/>
      <c r="B437" s="579"/>
      <c r="C437" s="579"/>
      <c r="D437" s="579"/>
      <c r="E437" s="579"/>
      <c r="F437" s="589"/>
      <c r="G437" s="47" t="s">
        <v>2276</v>
      </c>
      <c r="H437" s="257">
        <v>78</v>
      </c>
      <c r="I437" s="257">
        <v>1.8</v>
      </c>
      <c r="J437" s="257"/>
      <c r="K437" s="257">
        <v>2</v>
      </c>
      <c r="L437" s="307">
        <f>+IF(B434="m2",H437*I437*K437,IF(B434="m3",H437*I437*J437*K437,IF(B434="ml",H437*K437,IF(B434="UND",K437,IF(B434="GLOBAL",K437,"")))))</f>
        <v>280.8</v>
      </c>
      <c r="S437" s="272"/>
      <c r="T437" s="278"/>
    </row>
    <row r="438" spans="1:20" x14ac:dyDescent="0.3">
      <c r="A438" s="588"/>
      <c r="B438" s="579"/>
      <c r="C438" s="579"/>
      <c r="D438" s="579"/>
      <c r="E438" s="579"/>
      <c r="F438" s="589"/>
      <c r="G438" s="47" t="s">
        <v>2281</v>
      </c>
      <c r="H438" s="259">
        <v>47</v>
      </c>
      <c r="I438" s="259">
        <v>1.8</v>
      </c>
      <c r="J438" s="259"/>
      <c r="K438" s="259">
        <v>2</v>
      </c>
      <c r="L438" s="308">
        <f>+IF(B434="m2",H438*I438*K438,IF(B434="m3",H438*I438*J438*K438,IF(B434="ml",H438*K438,IF(B434="UND",K438,IF(B434="GLOBAL",K438,"")))))</f>
        <v>169.20000000000002</v>
      </c>
      <c r="S438" s="272"/>
      <c r="T438" s="278"/>
    </row>
    <row r="439" spans="1:20" x14ac:dyDescent="0.3">
      <c r="A439" s="588"/>
      <c r="B439" s="579"/>
      <c r="C439" s="579"/>
      <c r="D439" s="579"/>
      <c r="E439" s="579"/>
      <c r="F439" s="589"/>
      <c r="G439" s="47" t="s">
        <v>2282</v>
      </c>
      <c r="H439" s="259">
        <v>78</v>
      </c>
      <c r="I439" s="259">
        <v>1.8</v>
      </c>
      <c r="J439" s="259"/>
      <c r="K439" s="259">
        <v>2</v>
      </c>
      <c r="L439" s="308">
        <f>+IF(B434="m2",H439*I439*K439,IF(B434="m3",H439*I439*J439*K439,IF(B434="ml",H439*K439,IF(B434="UND",K439,IF(B434="GLOBAL",K439,"")))))</f>
        <v>280.8</v>
      </c>
      <c r="S439" s="272"/>
      <c r="T439" s="278"/>
    </row>
    <row r="440" spans="1:20" x14ac:dyDescent="0.3">
      <c r="A440" s="588"/>
      <c r="B440" s="579"/>
      <c r="C440" s="579"/>
      <c r="D440" s="579"/>
      <c r="E440" s="579"/>
      <c r="F440" s="589"/>
      <c r="G440" s="47" t="s">
        <v>2283</v>
      </c>
      <c r="H440" s="259">
        <v>47</v>
      </c>
      <c r="I440" s="259">
        <v>1.8</v>
      </c>
      <c r="J440" s="259"/>
      <c r="K440" s="259">
        <v>2</v>
      </c>
      <c r="L440" s="308">
        <f>+IF(B434="m2",H440*I440*K440,IF(B434="m3",H440*I440*J440*K440,IF(B434="ml",H440*K440,IF(B434="UND",K440,IF(B434="GLOBAL",K440,"")))))</f>
        <v>169.20000000000002</v>
      </c>
      <c r="S440" s="272"/>
      <c r="T440" s="278"/>
    </row>
    <row r="441" spans="1:20" x14ac:dyDescent="0.3">
      <c r="A441" s="588"/>
      <c r="B441" s="579"/>
      <c r="C441" s="579"/>
      <c r="D441" s="579"/>
      <c r="E441" s="579"/>
      <c r="F441" s="589"/>
      <c r="G441" s="47"/>
      <c r="H441" s="259"/>
      <c r="I441" s="259"/>
      <c r="J441" s="259"/>
      <c r="K441" s="259"/>
      <c r="L441" s="308">
        <f>+IF(B434="m2",H441*I441*K441,IF(B434="m3",H441*I441*J441*K441,IF(B434="ml",H441*K441,IF(B434="UND",K441,IF(B434="GLOBAL",K441,"")))))</f>
        <v>0</v>
      </c>
      <c r="S441" s="272"/>
      <c r="T441" s="278"/>
    </row>
    <row r="442" spans="1:20" x14ac:dyDescent="0.3">
      <c r="A442" s="588"/>
      <c r="B442" s="579"/>
      <c r="C442" s="579"/>
      <c r="D442" s="579"/>
      <c r="E442" s="579"/>
      <c r="F442" s="589"/>
      <c r="G442" s="47"/>
      <c r="H442" s="259"/>
      <c r="I442" s="259"/>
      <c r="J442" s="259"/>
      <c r="K442" s="259"/>
      <c r="L442" s="308">
        <f>+IF(B434="m2",H442*I442*K442,IF(B434="m3",H442*I442*J442*K442,IF(B434="ml",H442*K442,IF(B434="UND",K442,IF(B434="GLOBAL",K442,"")))))</f>
        <v>0</v>
      </c>
      <c r="S442" s="272"/>
      <c r="T442" s="278"/>
    </row>
    <row r="443" spans="1:20" x14ac:dyDescent="0.3">
      <c r="A443" s="588"/>
      <c r="B443" s="579"/>
      <c r="C443" s="579"/>
      <c r="D443" s="579"/>
      <c r="E443" s="579"/>
      <c r="F443" s="589"/>
      <c r="G443" s="47"/>
      <c r="H443" s="259"/>
      <c r="I443" s="259"/>
      <c r="J443" s="259"/>
      <c r="K443" s="259"/>
      <c r="L443" s="308">
        <f>+IF(B434="m2",H443*I443*K443,IF(B434="m3",H443*I443*J443*K443,IF(B434="ml",H443*K443,IF(B434="UND",K443,IF(B434="GLOBAL",K443,"")))))</f>
        <v>0</v>
      </c>
      <c r="S443" s="272"/>
      <c r="T443" s="278"/>
    </row>
    <row r="444" spans="1:20" x14ac:dyDescent="0.3">
      <c r="A444" s="588"/>
      <c r="B444" s="579"/>
      <c r="C444" s="579"/>
      <c r="D444" s="579"/>
      <c r="E444" s="579"/>
      <c r="F444" s="589"/>
      <c r="G444" s="47"/>
      <c r="H444" s="259"/>
      <c r="I444" s="259"/>
      <c r="J444" s="259"/>
      <c r="K444" s="259"/>
      <c r="L444" s="308">
        <f>+IF(B434="m2",H444*I444*K444,IF(B434="m3",H444*I444*J444*K444,IF(B434="ml",H444*K444,IF(B434="UND",K444,IF(B434="GLOBAL",K444,"")))))</f>
        <v>0</v>
      </c>
      <c r="S444" s="272"/>
      <c r="T444" s="278"/>
    </row>
    <row r="445" spans="1:20" x14ac:dyDescent="0.3">
      <c r="A445" s="588"/>
      <c r="B445" s="579"/>
      <c r="C445" s="579"/>
      <c r="D445" s="579"/>
      <c r="E445" s="579"/>
      <c r="F445" s="589"/>
      <c r="G445" s="47"/>
      <c r="H445" s="259"/>
      <c r="I445" s="259"/>
      <c r="J445" s="259"/>
      <c r="K445" s="259"/>
      <c r="L445" s="308">
        <f>+IF(B434="m2",H445*I445*K445,IF(B434="m3",H445*I445*J445*K445,IF(B434="ml",H445*K445,IF(B434="UND",K445,IF(B434="GLOBAL",K445,"")))))</f>
        <v>0</v>
      </c>
      <c r="S445" s="272"/>
      <c r="T445" s="278"/>
    </row>
    <row r="446" spans="1:20" x14ac:dyDescent="0.3">
      <c r="A446" s="588"/>
      <c r="B446" s="579"/>
      <c r="C446" s="579"/>
      <c r="D446" s="579"/>
      <c r="E446" s="579"/>
      <c r="F446" s="589"/>
      <c r="G446" s="47"/>
      <c r="H446" s="259"/>
      <c r="I446" s="259"/>
      <c r="J446" s="259"/>
      <c r="K446" s="259"/>
      <c r="L446" s="308">
        <f>+IF(B434="m2",H446*I446*K446,IF(B434="m3",H446*I446*J446*K446,IF(B434="ml",H446*K446,IF(B434="UND",K446,IF(B434="GLOBAL",K446,"")))))</f>
        <v>0</v>
      </c>
      <c r="S446" s="272"/>
      <c r="T446" s="278"/>
    </row>
    <row r="447" spans="1:20" x14ac:dyDescent="0.3">
      <c r="A447" s="588"/>
      <c r="B447" s="579"/>
      <c r="C447" s="579"/>
      <c r="D447" s="579"/>
      <c r="E447" s="579"/>
      <c r="F447" s="589"/>
      <c r="G447" s="47"/>
      <c r="H447" s="259"/>
      <c r="I447" s="259"/>
      <c r="J447" s="259"/>
      <c r="K447" s="259"/>
      <c r="L447" s="308">
        <f>+IF(B434="m2",H447*I447*K447,IF(B434="m3",H447*I447*J447*K447,IF(B434="ml",H447*K447,IF(B434="UND",K447,IF(B434="GLOBAL",K447,"")))))</f>
        <v>0</v>
      </c>
      <c r="S447" s="272"/>
      <c r="T447" s="278"/>
    </row>
    <row r="448" spans="1:20" x14ac:dyDescent="0.3">
      <c r="A448" s="588"/>
      <c r="B448" s="579"/>
      <c r="C448" s="579"/>
      <c r="D448" s="579"/>
      <c r="E448" s="579"/>
      <c r="F448" s="589"/>
      <c r="G448" s="47"/>
      <c r="H448" s="259"/>
      <c r="I448" s="259"/>
      <c r="J448" s="259"/>
      <c r="K448" s="259"/>
      <c r="L448" s="308">
        <f>+IF(B434="m2",H448*I448*K448,IF(B434="m3",H448*I448*J448*K448,IF(B434="ml",H448*K448,IF(B434="UND",K448,IF(B434="GLOBAL",K448,"")))))</f>
        <v>0</v>
      </c>
      <c r="S448" s="272"/>
      <c r="T448" s="278"/>
    </row>
    <row r="449" spans="1:20" x14ac:dyDescent="0.3">
      <c r="A449" s="588"/>
      <c r="B449" s="579"/>
      <c r="C449" s="579"/>
      <c r="D449" s="579"/>
      <c r="E449" s="579"/>
      <c r="F449" s="589"/>
      <c r="G449" s="47"/>
      <c r="H449" s="259"/>
      <c r="I449" s="259"/>
      <c r="J449" s="259"/>
      <c r="K449" s="259"/>
      <c r="L449" s="308">
        <f>+IF(B434="m2",H449*I449*K449,IF(B434="m3",H449*I449*J449*K449,IF(B434="ml",H449*K449,IF(B434="UND",K449,IF(B434="GLOBAL",K449,"")))))</f>
        <v>0</v>
      </c>
      <c r="S449" s="272"/>
      <c r="T449" s="278"/>
    </row>
    <row r="450" spans="1:20" x14ac:dyDescent="0.3">
      <c r="A450" s="588"/>
      <c r="B450" s="579"/>
      <c r="C450" s="579"/>
      <c r="D450" s="579"/>
      <c r="E450" s="579"/>
      <c r="F450" s="589"/>
      <c r="G450" s="47"/>
      <c r="H450" s="259"/>
      <c r="I450" s="259"/>
      <c r="J450" s="259"/>
      <c r="K450" s="259"/>
      <c r="L450" s="308">
        <f>+IF(B434="m2",H450*I450*K450,IF(B434="m3",H450*I450*J450*K450,IF(B434="ml",H450*K450,IF(B434="UND",K450,IF(B434="GLOBAL",K450,"")))))</f>
        <v>0</v>
      </c>
      <c r="S450" s="272"/>
      <c r="T450" s="278"/>
    </row>
    <row r="451" spans="1:20" x14ac:dyDescent="0.3">
      <c r="A451" s="588"/>
      <c r="B451" s="579"/>
      <c r="C451" s="579"/>
      <c r="D451" s="579"/>
      <c r="E451" s="579"/>
      <c r="F451" s="589"/>
      <c r="G451" s="47"/>
      <c r="H451" s="259"/>
      <c r="I451" s="259"/>
      <c r="J451" s="259"/>
      <c r="K451" s="259"/>
      <c r="L451" s="308">
        <f>+IF(B434="m2",H451*I451*K451,IF(B434="m3",H451*I451*J451*K451,IF(B434="ml",H451*K451,IF(B434="UND",K451,IF(B434="GLOBAL",K451,"")))))</f>
        <v>0</v>
      </c>
      <c r="S451" s="272"/>
      <c r="T451" s="278"/>
    </row>
    <row r="452" spans="1:20" ht="15" thickBot="1" x14ac:dyDescent="0.35">
      <c r="A452" s="590"/>
      <c r="B452" s="591"/>
      <c r="C452" s="591"/>
      <c r="D452" s="591"/>
      <c r="E452" s="591"/>
      <c r="F452" s="592"/>
      <c r="G452" s="261" t="s">
        <v>31</v>
      </c>
      <c r="H452" s="262"/>
      <c r="I452" s="262"/>
      <c r="J452" s="262"/>
      <c r="K452" s="262"/>
      <c r="L452" s="309">
        <f>SUM(L437:L451)</f>
        <v>900</v>
      </c>
      <c r="N452" s="264" t="str">
        <f>+A434</f>
        <v>4,01</v>
      </c>
      <c r="O452" s="331">
        <f>+L452</f>
        <v>900</v>
      </c>
      <c r="S452" s="272"/>
      <c r="T452" s="278"/>
    </row>
    <row r="453" spans="1:20" ht="15" thickBot="1" x14ac:dyDescent="0.35">
      <c r="A453" s="265"/>
      <c r="B453" s="266"/>
      <c r="C453" s="266"/>
      <c r="D453" s="266"/>
      <c r="E453" s="267"/>
      <c r="L453" s="310"/>
      <c r="S453" s="272"/>
      <c r="T453" s="278"/>
    </row>
    <row r="454" spans="1:20" ht="15" thickBot="1" x14ac:dyDescent="0.35">
      <c r="A454" s="269" t="s">
        <v>50</v>
      </c>
      <c r="B454" s="270"/>
      <c r="C454" s="270"/>
      <c r="D454" s="270"/>
      <c r="E454" s="271"/>
      <c r="F454" s="278"/>
      <c r="G454" s="278"/>
      <c r="H454" s="278"/>
      <c r="I454" s="278"/>
      <c r="J454" s="272"/>
      <c r="K454" s="272"/>
      <c r="L454" s="311"/>
      <c r="S454" s="272"/>
      <c r="T454" s="278"/>
    </row>
    <row r="455" spans="1:20" ht="15" thickBot="1" x14ac:dyDescent="0.35">
      <c r="A455" s="274" t="s">
        <v>18</v>
      </c>
      <c r="B455" s="275" t="s">
        <v>51</v>
      </c>
      <c r="C455" s="275" t="s">
        <v>21</v>
      </c>
      <c r="D455" s="275" t="s">
        <v>52</v>
      </c>
      <c r="E455" s="276" t="s">
        <v>22</v>
      </c>
      <c r="F455" s="277"/>
      <c r="G455" s="284"/>
      <c r="H455" s="284"/>
      <c r="I455" s="284"/>
      <c r="J455" s="284"/>
      <c r="K455" s="284"/>
      <c r="L455" s="312"/>
      <c r="S455" s="272"/>
      <c r="T455" s="278"/>
    </row>
    <row r="456" spans="1:20" x14ac:dyDescent="0.3">
      <c r="A456" s="191">
        <f>IFERROR(VLOOKUP(B456,INSUMOS!A:D,4,FALSE),"")</f>
        <v>444</v>
      </c>
      <c r="B456" s="163" t="str">
        <f>+IFERROR(VLOOKUP(N456,APU!J:M,4,FALSE),"")</f>
        <v>Anticorrosivo</v>
      </c>
      <c r="C456" s="163" t="str">
        <f>+IFERROR(VLOOKUP(B456,INSUMOS!A:D,2,FALSE),"")</f>
        <v>Galón</v>
      </c>
      <c r="D456" s="192">
        <f>IFERROR(VLOOKUP(N456,APU!J:N,5,FALSE),"")</f>
        <v>2.06E-2</v>
      </c>
      <c r="E456" s="279">
        <f>IFERROR(D456*K434,"")</f>
        <v>18.54</v>
      </c>
      <c r="F456" s="278"/>
      <c r="G456" s="284"/>
      <c r="H456" s="284"/>
      <c r="I456" s="284"/>
      <c r="J456" s="284"/>
      <c r="K456" s="284"/>
      <c r="L456" s="312"/>
      <c r="N456" s="280" t="str">
        <f>+_xlfn.CONCAT("M",N452,O456)</f>
        <v>M4,011</v>
      </c>
      <c r="O456" s="280">
        <v>1</v>
      </c>
      <c r="P456" s="281">
        <f>+IFERROR(VLOOKUP(B456,INSUMOS!A:D,3,FALSE),"")</f>
        <v>79571.56</v>
      </c>
      <c r="Q456" s="282">
        <f t="shared" ref="Q456:Q466" si="10">IFERROR(E456*P456,"")</f>
        <v>1475256.7223999999</v>
      </c>
      <c r="S456" s="272"/>
      <c r="T456" s="278"/>
    </row>
    <row r="457" spans="1:20" x14ac:dyDescent="0.3">
      <c r="A457" s="191">
        <f>IFERROR(VLOOKUP(B457,INSUMOS!A:D,4,FALSE),"")</f>
        <v>782</v>
      </c>
      <c r="B457" s="163" t="str">
        <f>+IFERROR(VLOOKUP(N457,APU!J:M,4,FALSE),"")</f>
        <v>Esmalte para madera y metal</v>
      </c>
      <c r="C457" s="163" t="str">
        <f>+IFERROR(VLOOKUP(B457,INSUMOS!A:D,2,FALSE),"")</f>
        <v>Galón</v>
      </c>
      <c r="D457" s="192">
        <f>IFERROR(VLOOKUP(N457,APU!J:N,5,FALSE),"")</f>
        <v>2.06E-2</v>
      </c>
      <c r="E457" s="283">
        <f>IFERROR(D457*K434,"")</f>
        <v>18.54</v>
      </c>
      <c r="F457" s="278"/>
      <c r="G457" s="284"/>
      <c r="H457" s="284"/>
      <c r="I457" s="284"/>
      <c r="J457" s="284"/>
      <c r="K457" s="284"/>
      <c r="L457" s="312"/>
      <c r="N457" s="280" t="str">
        <f>+_xlfn.CONCAT("M",N452,O457)</f>
        <v>M4,012</v>
      </c>
      <c r="O457" s="280">
        <v>2</v>
      </c>
      <c r="P457" s="281">
        <f>+IFERROR(VLOOKUP(B457,INSUMOS!A:D,3,FALSE),"")</f>
        <v>105211.44</v>
      </c>
      <c r="Q457" s="282">
        <f t="shared" si="10"/>
        <v>1950620.0976</v>
      </c>
      <c r="S457" s="272"/>
      <c r="T457" s="278"/>
    </row>
    <row r="458" spans="1:20" x14ac:dyDescent="0.3">
      <c r="A458" s="191" t="str">
        <f>IFERROR(VLOOKUP(B458,INSUMOS!A:D,4,FALSE),"")</f>
        <v/>
      </c>
      <c r="B458" s="163">
        <f>+IFERROR(VLOOKUP(N458,APU!J:M,4,FALSE),"")</f>
        <v>0</v>
      </c>
      <c r="C458" s="163" t="str">
        <f>+IFERROR(VLOOKUP(B458,INSUMOS!A:D,2,FALSE),"")</f>
        <v/>
      </c>
      <c r="D458" s="192">
        <f>IFERROR(VLOOKUP(N458,APU!J:N,5,FALSE),"")</f>
        <v>0</v>
      </c>
      <c r="E458" s="283">
        <f>IFERROR(D458*K434,"")</f>
        <v>0</v>
      </c>
      <c r="F458" s="278"/>
      <c r="G458" s="284"/>
      <c r="H458" s="284"/>
      <c r="I458" s="284"/>
      <c r="J458" s="284"/>
      <c r="K458" s="284"/>
      <c r="L458" s="312"/>
      <c r="N458" s="280" t="str">
        <f>+_xlfn.CONCAT("M",N452,O458)</f>
        <v>M4,013</v>
      </c>
      <c r="O458" s="280">
        <v>3</v>
      </c>
      <c r="P458" s="281" t="str">
        <f>+IFERROR(VLOOKUP(B458,INSUMOS!A:D,3,FALSE),"")</f>
        <v/>
      </c>
      <c r="Q458" s="282" t="str">
        <f t="shared" si="10"/>
        <v/>
      </c>
      <c r="S458" s="272"/>
      <c r="T458" s="278"/>
    </row>
    <row r="459" spans="1:20" x14ac:dyDescent="0.3">
      <c r="A459" s="191" t="str">
        <f>IFERROR(VLOOKUP(B459,INSUMOS!A:D,4,FALSE),"")</f>
        <v/>
      </c>
      <c r="B459" s="163">
        <f>+IFERROR(VLOOKUP(N459,APU!J:M,4,FALSE),"")</f>
        <v>0</v>
      </c>
      <c r="C459" s="163" t="str">
        <f>+IFERROR(VLOOKUP(B459,INSUMOS!A:D,2,FALSE),"")</f>
        <v/>
      </c>
      <c r="D459" s="192">
        <f>IFERROR(VLOOKUP(N459,APU!J:N,5,FALSE),"")</f>
        <v>0</v>
      </c>
      <c r="E459" s="283">
        <f>IFERROR(D459*K434,"")</f>
        <v>0</v>
      </c>
      <c r="F459" s="278"/>
      <c r="G459" s="284"/>
      <c r="H459" s="284"/>
      <c r="I459" s="284"/>
      <c r="J459" s="284"/>
      <c r="K459" s="284"/>
      <c r="L459" s="312"/>
      <c r="N459" s="280" t="str">
        <f>+_xlfn.CONCAT("M",N452,O459)</f>
        <v>M4,014</v>
      </c>
      <c r="O459" s="280">
        <v>4</v>
      </c>
      <c r="P459" s="281" t="str">
        <f>+IFERROR(VLOOKUP(B459,INSUMOS!A:D,3,FALSE),"")</f>
        <v/>
      </c>
      <c r="Q459" s="282" t="str">
        <f t="shared" si="10"/>
        <v/>
      </c>
      <c r="S459" s="272"/>
      <c r="T459" s="278"/>
    </row>
    <row r="460" spans="1:20" x14ac:dyDescent="0.3">
      <c r="A460" s="191" t="str">
        <f>IFERROR(VLOOKUP(B460,INSUMOS!A:D,4,FALSE),"")</f>
        <v/>
      </c>
      <c r="B460" s="163">
        <f>+IFERROR(VLOOKUP(N460,APU!J:M,4,FALSE),"")</f>
        <v>0</v>
      </c>
      <c r="C460" s="163" t="str">
        <f>+IFERROR(VLOOKUP(B460,INSUMOS!A:D,2,FALSE),"")</f>
        <v/>
      </c>
      <c r="D460" s="192">
        <f>IFERROR(VLOOKUP(N460,APU!J:N,5,FALSE),"")</f>
        <v>0</v>
      </c>
      <c r="E460" s="283">
        <f>IFERROR(D460*K434,"")</f>
        <v>0</v>
      </c>
      <c r="F460" s="278"/>
      <c r="G460" s="284"/>
      <c r="H460" s="284"/>
      <c r="I460" s="284"/>
      <c r="J460" s="284"/>
      <c r="K460" s="284"/>
      <c r="L460" s="312"/>
      <c r="N460" s="280" t="str">
        <f>+_xlfn.CONCAT("M",N452,O460)</f>
        <v>M4,015</v>
      </c>
      <c r="O460" s="280">
        <v>5</v>
      </c>
      <c r="P460" s="281" t="str">
        <f>+IFERROR(VLOOKUP(B460,INSUMOS!A:D,3,FALSE),"")</f>
        <v/>
      </c>
      <c r="Q460" s="282" t="str">
        <f t="shared" si="10"/>
        <v/>
      </c>
      <c r="S460" s="272"/>
      <c r="T460" s="278"/>
    </row>
    <row r="461" spans="1:20" x14ac:dyDescent="0.3">
      <c r="A461" s="191" t="str">
        <f>IFERROR(VLOOKUP(B461,INSUMOS!A:D,4,FALSE),"")</f>
        <v/>
      </c>
      <c r="B461" s="163">
        <f>+IFERROR(VLOOKUP(N461,APU!J:M,4,FALSE),"")</f>
        <v>0</v>
      </c>
      <c r="C461" s="163" t="str">
        <f>+IFERROR(VLOOKUP(B461,INSUMOS!A:D,2,FALSE),"")</f>
        <v/>
      </c>
      <c r="D461" s="192">
        <f>IFERROR(VLOOKUP(N461,APU!J:N,5,FALSE),"")</f>
        <v>0</v>
      </c>
      <c r="E461" s="285">
        <f>IFERROR(D461*K434,"")</f>
        <v>0</v>
      </c>
      <c r="F461" s="278"/>
      <c r="G461" s="284"/>
      <c r="H461" s="284"/>
      <c r="I461" s="284"/>
      <c r="J461" s="284"/>
      <c r="K461" s="284"/>
      <c r="L461" s="312"/>
      <c r="N461" s="280" t="str">
        <f>+_xlfn.CONCAT("M",N452,O461)</f>
        <v>M4,016</v>
      </c>
      <c r="O461" s="280">
        <v>6</v>
      </c>
      <c r="P461" s="281" t="str">
        <f>+IFERROR(VLOOKUP(B461,INSUMOS!A:D,3,FALSE),"")</f>
        <v/>
      </c>
      <c r="Q461" s="282" t="str">
        <f t="shared" si="10"/>
        <v/>
      </c>
      <c r="S461" s="272"/>
      <c r="T461" s="278"/>
    </row>
    <row r="462" spans="1:20" x14ac:dyDescent="0.3">
      <c r="A462" s="191" t="str">
        <f>IFERROR(VLOOKUP(B462,INSUMOS!A:D,4,FALSE),"")</f>
        <v/>
      </c>
      <c r="B462" s="163">
        <f>+IFERROR(VLOOKUP(N462,APU!J:M,4,FALSE),"")</f>
        <v>0</v>
      </c>
      <c r="C462" s="163" t="str">
        <f>+IFERROR(VLOOKUP(B462,INSUMOS!A:D,2,FALSE),"")</f>
        <v/>
      </c>
      <c r="D462" s="192">
        <f>IFERROR(VLOOKUP(N462,APU!J:N,5,FALSE),"")</f>
        <v>0</v>
      </c>
      <c r="E462" s="285">
        <f>IFERROR(D462*K434,"")</f>
        <v>0</v>
      </c>
      <c r="F462" s="278"/>
      <c r="G462" s="284"/>
      <c r="H462" s="284"/>
      <c r="I462" s="284"/>
      <c r="J462" s="284"/>
      <c r="K462" s="284"/>
      <c r="L462" s="312"/>
      <c r="N462" s="280" t="str">
        <f>+_xlfn.CONCAT("M",N452,O462)</f>
        <v>M4,017</v>
      </c>
      <c r="O462" s="280">
        <v>7</v>
      </c>
      <c r="P462" s="281" t="str">
        <f>+IFERROR(VLOOKUP(B462,INSUMOS!A:D,3,FALSE),"")</f>
        <v/>
      </c>
      <c r="Q462" s="282" t="str">
        <f t="shared" si="10"/>
        <v/>
      </c>
      <c r="S462" s="272"/>
      <c r="T462" s="278"/>
    </row>
    <row r="463" spans="1:20" x14ac:dyDescent="0.3">
      <c r="A463" s="191" t="str">
        <f>IFERROR(VLOOKUP(B463,INSUMOS!A:D,4,FALSE),"")</f>
        <v/>
      </c>
      <c r="B463" s="163">
        <f>+IFERROR(VLOOKUP(N463,APU!J:M,4,FALSE),"")</f>
        <v>0</v>
      </c>
      <c r="C463" s="163" t="str">
        <f>+IFERROR(VLOOKUP(B463,INSUMOS!A:D,2,FALSE),"")</f>
        <v/>
      </c>
      <c r="D463" s="192">
        <f>IFERROR(VLOOKUP(N463,APU!J:N,5,FALSE),"")</f>
        <v>0</v>
      </c>
      <c r="E463" s="285">
        <f>IFERROR(D463*K434,"")</f>
        <v>0</v>
      </c>
      <c r="F463" s="278"/>
      <c r="G463" s="284"/>
      <c r="H463" s="284"/>
      <c r="I463" s="284"/>
      <c r="J463" s="284"/>
      <c r="K463" s="284"/>
      <c r="L463" s="312"/>
      <c r="N463" s="280" t="str">
        <f>+_xlfn.CONCAT("M",N452,O463)</f>
        <v>M4,018</v>
      </c>
      <c r="O463" s="280">
        <v>8</v>
      </c>
      <c r="P463" s="281" t="str">
        <f>+IFERROR(VLOOKUP(B463,INSUMOS!A:D,3,FALSE),"")</f>
        <v/>
      </c>
      <c r="Q463" s="282" t="str">
        <f t="shared" si="10"/>
        <v/>
      </c>
      <c r="S463" s="272"/>
      <c r="T463" s="278"/>
    </row>
    <row r="464" spans="1:20" x14ac:dyDescent="0.3">
      <c r="A464" s="191" t="str">
        <f>IFERROR(VLOOKUP(B464,INSUMOS!A:D,4,FALSE),"")</f>
        <v/>
      </c>
      <c r="B464" s="163">
        <f>+IFERROR(VLOOKUP(N464,APU!J:M,4,FALSE),"")</f>
        <v>0</v>
      </c>
      <c r="C464" s="163" t="str">
        <f>+IFERROR(VLOOKUP(B464,INSUMOS!A:D,2,FALSE),"")</f>
        <v/>
      </c>
      <c r="D464" s="192">
        <f>IFERROR(VLOOKUP(N464,APU!J:N,5,FALSE),"")</f>
        <v>0</v>
      </c>
      <c r="E464" s="285">
        <f>IFERROR(D464*K434,"")</f>
        <v>0</v>
      </c>
      <c r="F464" s="278"/>
      <c r="G464" s="284"/>
      <c r="H464" s="284"/>
      <c r="I464" s="284"/>
      <c r="J464" s="284"/>
      <c r="K464" s="284"/>
      <c r="L464" s="312"/>
      <c r="N464" s="280" t="str">
        <f>+_xlfn.CONCAT("M",N452,O464)</f>
        <v>M4,019</v>
      </c>
      <c r="O464" s="280">
        <v>9</v>
      </c>
      <c r="P464" s="281" t="str">
        <f>+IFERROR(VLOOKUP(B464,INSUMOS!A:D,3,FALSE),"")</f>
        <v/>
      </c>
      <c r="Q464" s="282" t="str">
        <f t="shared" si="10"/>
        <v/>
      </c>
      <c r="S464" s="272"/>
      <c r="T464" s="278"/>
    </row>
    <row r="465" spans="1:20" x14ac:dyDescent="0.3">
      <c r="A465" s="191" t="str">
        <f>IFERROR(VLOOKUP(B465,INSUMOS!A:D,4,FALSE),"")</f>
        <v/>
      </c>
      <c r="B465" s="163">
        <f>+IFERROR(VLOOKUP(N465,APU!J:M,4,FALSE),"")</f>
        <v>0</v>
      </c>
      <c r="C465" s="163" t="str">
        <f>+IFERROR(VLOOKUP(B465,INSUMOS!A:D,2,FALSE),"")</f>
        <v/>
      </c>
      <c r="D465" s="192">
        <f>IFERROR(VLOOKUP(N465,APU!J:N,5,FALSE),"")</f>
        <v>0</v>
      </c>
      <c r="E465" s="285">
        <f>IFERROR(D465*K434,"")</f>
        <v>0</v>
      </c>
      <c r="F465" s="278"/>
      <c r="G465" s="284"/>
      <c r="H465" s="284"/>
      <c r="I465" s="284"/>
      <c r="J465" s="284"/>
      <c r="K465" s="284"/>
      <c r="L465" s="312"/>
      <c r="N465" s="280" t="str">
        <f>+_xlfn.CONCAT("M",N452,O465)</f>
        <v>M4,0110</v>
      </c>
      <c r="O465" s="280">
        <v>10</v>
      </c>
      <c r="P465" s="281" t="str">
        <f>+IFERROR(VLOOKUP(B465,INSUMOS!A:D,3,FALSE),"")</f>
        <v/>
      </c>
      <c r="Q465" s="282" t="str">
        <f t="shared" si="10"/>
        <v/>
      </c>
      <c r="S465" s="272"/>
      <c r="T465" s="278"/>
    </row>
    <row r="466" spans="1:20" ht="15" thickBot="1" x14ac:dyDescent="0.35">
      <c r="A466" s="286" t="str">
        <f>IFERROR(VLOOKUP(B466,INSUMOS!A:D,4,FALSE),"")</f>
        <v/>
      </c>
      <c r="B466" s="287">
        <f>+IFERROR(VLOOKUP(N466,APU!J:M,4,FALSE),"")</f>
        <v>0</v>
      </c>
      <c r="C466" s="287" t="str">
        <f>+IFERROR(VLOOKUP(B466,INSUMOS!A:D,2,FALSE),"")</f>
        <v/>
      </c>
      <c r="D466" s="288">
        <f>IFERROR(VLOOKUP(N466,APU!J:N,5,FALSE),"")</f>
        <v>0</v>
      </c>
      <c r="E466" s="289">
        <f>IFERROR(D466*K434,"")</f>
        <v>0</v>
      </c>
      <c r="F466" s="278"/>
      <c r="G466" s="284"/>
      <c r="H466" s="284"/>
      <c r="I466" s="284"/>
      <c r="J466" s="284"/>
      <c r="K466" s="284"/>
      <c r="L466" s="312"/>
      <c r="N466" s="280" t="str">
        <f>+_xlfn.CONCAT("M",N452,O466)</f>
        <v>M4,0111</v>
      </c>
      <c r="O466" s="280">
        <v>11</v>
      </c>
      <c r="P466" s="281" t="str">
        <f>+IFERROR(VLOOKUP(B466,INSUMOS!A:D,3,FALSE),"")</f>
        <v/>
      </c>
      <c r="Q466" s="282" t="str">
        <f t="shared" si="10"/>
        <v/>
      </c>
      <c r="S466" s="272"/>
      <c r="T466" s="278"/>
    </row>
    <row r="467" spans="1:20" x14ac:dyDescent="0.3">
      <c r="A467" s="471"/>
      <c r="C467" s="290"/>
      <c r="D467" s="290"/>
      <c r="E467" s="290"/>
      <c r="F467" s="278"/>
      <c r="G467" s="291"/>
      <c r="H467" s="473"/>
      <c r="I467" s="284"/>
      <c r="J467" s="272"/>
      <c r="K467" s="284"/>
      <c r="L467" s="312"/>
      <c r="N467" s="280"/>
      <c r="O467" s="280"/>
      <c r="P467" s="313"/>
      <c r="Q467" s="314"/>
      <c r="S467" s="272"/>
      <c r="T467" s="278"/>
    </row>
    <row r="468" spans="1:20" x14ac:dyDescent="0.3">
      <c r="A468" s="471"/>
      <c r="C468" s="290"/>
      <c r="D468" s="290"/>
      <c r="E468" s="290"/>
      <c r="F468" s="278"/>
      <c r="G468" s="291"/>
      <c r="H468" s="473"/>
      <c r="I468" s="284"/>
      <c r="J468" s="272"/>
      <c r="K468" s="284"/>
      <c r="L468" s="312"/>
      <c r="N468" s="280"/>
      <c r="O468" s="280"/>
      <c r="P468" s="313"/>
      <c r="Q468" s="314"/>
      <c r="S468" s="272"/>
      <c r="T468" s="278"/>
    </row>
    <row r="469" spans="1:20" x14ac:dyDescent="0.3">
      <c r="A469" s="471"/>
      <c r="C469" s="293"/>
      <c r="D469" s="293"/>
      <c r="E469" s="294"/>
      <c r="F469" s="278"/>
      <c r="G469" s="234"/>
      <c r="H469" s="234"/>
      <c r="I469" s="284"/>
      <c r="J469" s="272"/>
      <c r="K469" s="284"/>
      <c r="L469" s="312"/>
      <c r="N469" s="280"/>
      <c r="O469" s="280"/>
      <c r="P469" s="315" t="str">
        <f>+A434</f>
        <v>4,01</v>
      </c>
      <c r="Q469" s="314">
        <f>SUM(Q456:Q466)</f>
        <v>3425876.82</v>
      </c>
      <c r="S469" s="272"/>
      <c r="T469" s="278"/>
    </row>
    <row r="470" spans="1:20" x14ac:dyDescent="0.3">
      <c r="A470" s="471"/>
      <c r="C470" s="293"/>
      <c r="D470" s="293"/>
      <c r="E470" s="294"/>
      <c r="F470" s="316"/>
      <c r="G470" s="295"/>
      <c r="H470" s="295"/>
      <c r="I470" s="295"/>
      <c r="J470" s="296"/>
      <c r="K470" s="297"/>
      <c r="L470" s="302"/>
      <c r="S470" s="272"/>
      <c r="T470" s="278"/>
    </row>
    <row r="471" spans="1:20" x14ac:dyDescent="0.3">
      <c r="A471" s="299"/>
      <c r="B471" s="293"/>
      <c r="C471" s="293"/>
      <c r="D471" s="293"/>
      <c r="E471" s="294"/>
      <c r="F471" s="293"/>
      <c r="G471" s="300" t="str">
        <f>+'INF. GENERAL'!$B$19</f>
        <v>JAVIER JOSÉ ROSADO MENDINUETA</v>
      </c>
      <c r="H471" s="301"/>
      <c r="I471" s="301"/>
      <c r="J471" s="301"/>
      <c r="K471" s="297"/>
      <c r="L471" s="302"/>
      <c r="S471" s="272"/>
      <c r="T471" s="278"/>
    </row>
    <row r="472" spans="1:20" x14ac:dyDescent="0.3">
      <c r="A472" s="299"/>
      <c r="B472" s="293"/>
      <c r="C472" s="293"/>
      <c r="D472" s="293"/>
      <c r="E472" s="294"/>
      <c r="F472" s="293"/>
      <c r="G472" s="303" t="str">
        <f>+'INF. GENERAL'!$B$20</f>
        <v>PROFESIONAL APOYO</v>
      </c>
      <c r="H472" s="301"/>
      <c r="I472" s="301"/>
      <c r="J472" s="301"/>
      <c r="K472" s="297"/>
      <c r="L472" s="302"/>
      <c r="S472" s="272"/>
      <c r="T472" s="278"/>
    </row>
    <row r="473" spans="1:20" ht="15" thickBot="1" x14ac:dyDescent="0.35">
      <c r="A473" s="235" t="s">
        <v>37</v>
      </c>
      <c r="B473" s="236"/>
      <c r="C473" s="236"/>
      <c r="D473" s="236"/>
      <c r="E473" s="237"/>
      <c r="F473" s="236"/>
      <c r="G473" s="318" t="str">
        <f>+'INF. GENERAL'!$B$21</f>
        <v>MP: 08700-52350</v>
      </c>
      <c r="H473" s="319"/>
      <c r="I473" s="319"/>
      <c r="J473" s="319"/>
      <c r="K473" s="236"/>
      <c r="L473" s="304" t="s">
        <v>37</v>
      </c>
      <c r="S473" s="272"/>
      <c r="T473" s="278"/>
    </row>
    <row r="474" spans="1:20" ht="18.600000000000001" thickBot="1" x14ac:dyDescent="0.35">
      <c r="A474" s="320" t="s">
        <v>37</v>
      </c>
      <c r="B474" s="201" t="s">
        <v>38</v>
      </c>
      <c r="C474" s="321"/>
      <c r="D474" s="321"/>
      <c r="E474" s="321"/>
      <c r="F474" s="321"/>
      <c r="G474" s="321"/>
      <c r="H474" s="321"/>
      <c r="I474" s="321"/>
      <c r="J474" s="321"/>
      <c r="K474" s="321"/>
      <c r="L474" s="322" t="s">
        <v>37</v>
      </c>
      <c r="S474" s="272"/>
      <c r="T474" s="278"/>
    </row>
    <row r="475" spans="1:20" ht="15" thickBot="1" x14ac:dyDescent="0.35">
      <c r="A475" s="235" t="s">
        <v>37</v>
      </c>
      <c r="B475" s="236"/>
      <c r="C475" s="236"/>
      <c r="D475" s="236"/>
      <c r="E475" s="237"/>
      <c r="F475" s="236"/>
      <c r="G475" s="238"/>
      <c r="H475" s="236"/>
      <c r="I475" s="236"/>
      <c r="J475" s="236"/>
      <c r="K475" s="236"/>
      <c r="L475" s="304" t="s">
        <v>37</v>
      </c>
      <c r="S475" s="272"/>
      <c r="T475" s="278"/>
    </row>
    <row r="476" spans="1:20" ht="15" thickBot="1" x14ac:dyDescent="0.35">
      <c r="A476" s="240" t="s">
        <v>39</v>
      </c>
      <c r="B476" s="241" t="s">
        <v>21</v>
      </c>
      <c r="C476" s="242" t="s">
        <v>20</v>
      </c>
      <c r="D476" s="243"/>
      <c r="E476" s="243"/>
      <c r="F476" s="243"/>
      <c r="G476" s="244"/>
      <c r="H476" s="325" t="s">
        <v>40</v>
      </c>
      <c r="I476" s="326"/>
      <c r="J476" s="327"/>
      <c r="K476" s="242" t="s">
        <v>41</v>
      </c>
      <c r="L476" s="244"/>
      <c r="M476" s="328"/>
      <c r="N476" s="323"/>
      <c r="O476" s="323"/>
      <c r="P476" s="323"/>
      <c r="Q476" s="323"/>
      <c r="R476" s="323"/>
      <c r="S476" s="335"/>
      <c r="T476" s="324"/>
    </row>
    <row r="477" spans="1:20" ht="15" thickBot="1" x14ac:dyDescent="0.35">
      <c r="A477" s="474" t="s">
        <v>2257</v>
      </c>
      <c r="B477" s="249" t="str">
        <f>VLOOKUP(A477,PRESUPUESTO!$A$3:$F$973,5,FALSE)</f>
        <v>und</v>
      </c>
      <c r="C477" s="42" t="str">
        <f>VLOOKUP(A477,PRESUPUESTO!$A$3:$F$973,4,FALSE)</f>
        <v>Suministro e instalacion luminaria</v>
      </c>
      <c r="D477" s="43"/>
      <c r="E477" s="44"/>
      <c r="F477" s="45"/>
      <c r="G477" s="46"/>
      <c r="H477" s="250" t="str">
        <f>VLOOKUP(A477,PRESUPUESTO!$A$3:$F$973,3,FALSE)</f>
        <v>ESTRUCTURAS DE CONTENCIÓN</v>
      </c>
      <c r="I477" s="251"/>
      <c r="J477" s="252"/>
      <c r="K477" s="253">
        <f>ROUND(+L495,2)</f>
        <v>4</v>
      </c>
      <c r="L477" s="306"/>
      <c r="S477" s="272"/>
      <c r="T477" s="278"/>
    </row>
    <row r="478" spans="1:20" ht="15" thickBot="1" x14ac:dyDescent="0.35">
      <c r="A478" s="242" t="s">
        <v>42</v>
      </c>
      <c r="B478" s="243"/>
      <c r="C478" s="243"/>
      <c r="D478" s="243"/>
      <c r="E478" s="243"/>
      <c r="F478" s="244"/>
      <c r="G478" s="580" t="s">
        <v>43</v>
      </c>
      <c r="H478" s="582" t="s">
        <v>44</v>
      </c>
      <c r="I478" s="583"/>
      <c r="J478" s="583"/>
      <c r="K478" s="584"/>
      <c r="L478" s="580" t="s">
        <v>45</v>
      </c>
      <c r="S478" s="272"/>
      <c r="T478" s="278"/>
    </row>
    <row r="479" spans="1:20" ht="15" thickBot="1" x14ac:dyDescent="0.35">
      <c r="A479" s="585" t="e" vm="1">
        <v>#VALUE!</v>
      </c>
      <c r="B479" s="586"/>
      <c r="C479" s="586"/>
      <c r="D479" s="586"/>
      <c r="E479" s="586"/>
      <c r="F479" s="587"/>
      <c r="G479" s="581"/>
      <c r="H479" s="255" t="s">
        <v>46</v>
      </c>
      <c r="I479" s="255" t="s">
        <v>47</v>
      </c>
      <c r="J479" s="255" t="s">
        <v>48</v>
      </c>
      <c r="K479" s="256" t="s">
        <v>49</v>
      </c>
      <c r="L479" s="581"/>
      <c r="S479" s="272"/>
      <c r="T479" s="278"/>
    </row>
    <row r="480" spans="1:20" x14ac:dyDescent="0.3">
      <c r="A480" s="588"/>
      <c r="B480" s="579"/>
      <c r="C480" s="579"/>
      <c r="D480" s="579"/>
      <c r="E480" s="579"/>
      <c r="F480" s="589"/>
      <c r="G480" s="47" t="s">
        <v>2284</v>
      </c>
      <c r="H480" s="257"/>
      <c r="I480" s="257"/>
      <c r="J480" s="257"/>
      <c r="K480" s="257">
        <v>4</v>
      </c>
      <c r="L480" s="307">
        <f>+IF(B477="m2",H480*I480*K480,IF(B477="m3",H480*I480*J480*K480,IF(B477="ml",H480*K480,IF(B477="UND",K480,IF(B477="GLOBAL",K480,"")))))</f>
        <v>4</v>
      </c>
      <c r="S480" s="272"/>
      <c r="T480" s="278"/>
    </row>
    <row r="481" spans="1:20" x14ac:dyDescent="0.3">
      <c r="A481" s="588"/>
      <c r="B481" s="579"/>
      <c r="C481" s="579"/>
      <c r="D481" s="579"/>
      <c r="E481" s="579"/>
      <c r="F481" s="589"/>
      <c r="G481" s="47"/>
      <c r="H481" s="259"/>
      <c r="I481" s="259"/>
      <c r="J481" s="259"/>
      <c r="K481" s="259"/>
      <c r="L481" s="308">
        <f>+IF(B477="m2",H481*I481*K481,IF(B477="m3",H481*I481*J481*K481,IF(B477="ml",H481*K481,IF(B477="UND",K481,IF(B477="GLOBAL",K481,"")))))</f>
        <v>0</v>
      </c>
      <c r="S481" s="272"/>
      <c r="T481" s="278"/>
    </row>
    <row r="482" spans="1:20" x14ac:dyDescent="0.3">
      <c r="A482" s="588"/>
      <c r="B482" s="579"/>
      <c r="C482" s="579"/>
      <c r="D482" s="579"/>
      <c r="E482" s="579"/>
      <c r="F482" s="589"/>
      <c r="G482" s="47"/>
      <c r="H482" s="259"/>
      <c r="I482" s="259"/>
      <c r="J482" s="259"/>
      <c r="K482" s="259"/>
      <c r="L482" s="308">
        <f>+IF(B477="m2",H482*I482*K482,IF(B477="m3",H482*I482*J482*K482,IF(B477="ml",H482*K482,IF(B477="UND",K482,IF(B477="GLOBAL",K482,"")))))</f>
        <v>0</v>
      </c>
      <c r="S482" s="272"/>
      <c r="T482" s="278"/>
    </row>
    <row r="483" spans="1:20" x14ac:dyDescent="0.3">
      <c r="A483" s="588"/>
      <c r="B483" s="579"/>
      <c r="C483" s="579"/>
      <c r="D483" s="579"/>
      <c r="E483" s="579"/>
      <c r="F483" s="589"/>
      <c r="G483" s="47"/>
      <c r="H483" s="259"/>
      <c r="I483" s="259"/>
      <c r="J483" s="259"/>
      <c r="K483" s="259"/>
      <c r="L483" s="308">
        <f>+IF(B477="m2",H483*I483*K483,IF(B477="m3",H483*I483*J483*K483,IF(B477="ml",H483*K483,IF(B477="UND",K483,IF(B477="GLOBAL",K483,"")))))</f>
        <v>0</v>
      </c>
      <c r="S483" s="272"/>
      <c r="T483" s="278"/>
    </row>
    <row r="484" spans="1:20" x14ac:dyDescent="0.3">
      <c r="A484" s="588"/>
      <c r="B484" s="579"/>
      <c r="C484" s="579"/>
      <c r="D484" s="579"/>
      <c r="E484" s="579"/>
      <c r="F484" s="589"/>
      <c r="G484" s="47"/>
      <c r="H484" s="259"/>
      <c r="I484" s="259"/>
      <c r="J484" s="259"/>
      <c r="K484" s="259"/>
      <c r="L484" s="308">
        <f>+IF(B477="m2",H484*I484*K484,IF(B477="m3",H484*I484*J484*K484,IF(B477="ml",H484*K484,IF(B477="UND",K484,IF(B477="GLOBAL",K484,"")))))</f>
        <v>0</v>
      </c>
      <c r="S484" s="272"/>
      <c r="T484" s="278"/>
    </row>
    <row r="485" spans="1:20" x14ac:dyDescent="0.3">
      <c r="A485" s="588"/>
      <c r="B485" s="579"/>
      <c r="C485" s="579"/>
      <c r="D485" s="579"/>
      <c r="E485" s="579"/>
      <c r="F485" s="589"/>
      <c r="G485" s="47"/>
      <c r="H485" s="259"/>
      <c r="I485" s="259"/>
      <c r="J485" s="259"/>
      <c r="K485" s="259"/>
      <c r="L485" s="308">
        <f>+IF(B477="m2",H485*I485*K485,IF(B477="m3",H485*I485*J485*K485,IF(B477="ml",H485*K485,IF(B477="UND",K485,IF(B477="GLOBAL",K485,"")))))</f>
        <v>0</v>
      </c>
      <c r="S485" s="272"/>
      <c r="T485" s="278"/>
    </row>
    <row r="486" spans="1:20" x14ac:dyDescent="0.3">
      <c r="A486" s="588"/>
      <c r="B486" s="579"/>
      <c r="C486" s="579"/>
      <c r="D486" s="579"/>
      <c r="E486" s="579"/>
      <c r="F486" s="589"/>
      <c r="G486" s="47"/>
      <c r="H486" s="259"/>
      <c r="I486" s="259"/>
      <c r="J486" s="259"/>
      <c r="K486" s="259"/>
      <c r="L486" s="308">
        <f>+IF(B477="m2",H486*I486*K486,IF(B477="m3",H486*I486*J486*K486,IF(B477="ml",H486*K486,IF(B477="UND",K486,IF(B477="GLOBAL",K486,"")))))</f>
        <v>0</v>
      </c>
      <c r="S486" s="272"/>
      <c r="T486" s="278"/>
    </row>
    <row r="487" spans="1:20" x14ac:dyDescent="0.3">
      <c r="A487" s="588"/>
      <c r="B487" s="579"/>
      <c r="C487" s="579"/>
      <c r="D487" s="579"/>
      <c r="E487" s="579"/>
      <c r="F487" s="589"/>
      <c r="G487" s="47"/>
      <c r="H487" s="259"/>
      <c r="I487" s="259"/>
      <c r="J487" s="259"/>
      <c r="K487" s="259"/>
      <c r="L487" s="308">
        <f>+IF(B477="m2",H487*I487*K487,IF(B477="m3",H487*I487*J487*K487,IF(B477="ml",H487*K487,IF(B477="UND",K487,IF(B477="GLOBAL",K487,"")))))</f>
        <v>0</v>
      </c>
      <c r="S487" s="272"/>
      <c r="T487" s="278"/>
    </row>
    <row r="488" spans="1:20" x14ac:dyDescent="0.3">
      <c r="A488" s="588"/>
      <c r="B488" s="579"/>
      <c r="C488" s="579"/>
      <c r="D488" s="579"/>
      <c r="E488" s="579"/>
      <c r="F488" s="589"/>
      <c r="G488" s="47"/>
      <c r="H488" s="259"/>
      <c r="I488" s="259"/>
      <c r="J488" s="259"/>
      <c r="K488" s="259"/>
      <c r="L488" s="308">
        <f>+IF(B477="m2",H488*I488*K488,IF(B477="m3",H488*I488*J488*K488,IF(B477="ml",H488*K488,IF(B477="UND",K488,IF(B477="GLOBAL",K488,"")))))</f>
        <v>0</v>
      </c>
      <c r="S488" s="272"/>
      <c r="T488" s="278"/>
    </row>
    <row r="489" spans="1:20" x14ac:dyDescent="0.3">
      <c r="A489" s="588"/>
      <c r="B489" s="579"/>
      <c r="C489" s="579"/>
      <c r="D489" s="579"/>
      <c r="E489" s="579"/>
      <c r="F489" s="589"/>
      <c r="G489" s="47"/>
      <c r="H489" s="259"/>
      <c r="I489" s="259"/>
      <c r="J489" s="259"/>
      <c r="K489" s="259"/>
      <c r="L489" s="308">
        <f>+IF(B477="m2",H489*I489*K489,IF(B477="m3",H489*I489*J489*K489,IF(B477="ml",H489*K489,IF(B477="UND",K489,IF(B477="GLOBAL",K489,"")))))</f>
        <v>0</v>
      </c>
      <c r="S489" s="272"/>
      <c r="T489" s="278"/>
    </row>
    <row r="490" spans="1:20" x14ac:dyDescent="0.3">
      <c r="A490" s="588"/>
      <c r="B490" s="579"/>
      <c r="C490" s="579"/>
      <c r="D490" s="579"/>
      <c r="E490" s="579"/>
      <c r="F490" s="589"/>
      <c r="G490" s="47"/>
      <c r="H490" s="259"/>
      <c r="I490" s="259"/>
      <c r="J490" s="259"/>
      <c r="K490" s="259"/>
      <c r="L490" s="308">
        <f>+IF(B477="m2",H490*I490*K490,IF(B477="m3",H490*I490*J490*K490,IF(B477="ml",H490*K490,IF(B477="UND",K490,IF(B477="GLOBAL",K490,"")))))</f>
        <v>0</v>
      </c>
      <c r="S490" s="272"/>
      <c r="T490" s="278"/>
    </row>
    <row r="491" spans="1:20" x14ac:dyDescent="0.3">
      <c r="A491" s="588"/>
      <c r="B491" s="579"/>
      <c r="C491" s="579"/>
      <c r="D491" s="579"/>
      <c r="E491" s="579"/>
      <c r="F491" s="589"/>
      <c r="G491" s="47"/>
      <c r="H491" s="259"/>
      <c r="I491" s="259"/>
      <c r="J491" s="259"/>
      <c r="K491" s="259"/>
      <c r="L491" s="308">
        <f>+IF(B477="m2",H491*I491*K491,IF(B477="m3",H491*I491*J491*K491,IF(B477="ml",H491*K491,IF(B477="UND",K491,IF(B477="GLOBAL",K491,"")))))</f>
        <v>0</v>
      </c>
      <c r="S491" s="272"/>
      <c r="T491" s="278"/>
    </row>
    <row r="492" spans="1:20" x14ac:dyDescent="0.3">
      <c r="A492" s="588"/>
      <c r="B492" s="579"/>
      <c r="C492" s="579"/>
      <c r="D492" s="579"/>
      <c r="E492" s="579"/>
      <c r="F492" s="589"/>
      <c r="G492" s="47"/>
      <c r="H492" s="259"/>
      <c r="I492" s="259"/>
      <c r="J492" s="259"/>
      <c r="K492" s="259"/>
      <c r="L492" s="308">
        <f>+IF(B477="m2",H492*I492*K492,IF(B477="m3",H492*I492*J492*K492,IF(B477="ml",H492*K492,IF(B477="UND",K492,IF(B477="GLOBAL",K492,"")))))</f>
        <v>0</v>
      </c>
      <c r="S492" s="272"/>
      <c r="T492" s="278"/>
    </row>
    <row r="493" spans="1:20" x14ac:dyDescent="0.3">
      <c r="A493" s="588"/>
      <c r="B493" s="579"/>
      <c r="C493" s="579"/>
      <c r="D493" s="579"/>
      <c r="E493" s="579"/>
      <c r="F493" s="589"/>
      <c r="G493" s="47"/>
      <c r="H493" s="259"/>
      <c r="I493" s="259"/>
      <c r="J493" s="259"/>
      <c r="K493" s="259"/>
      <c r="L493" s="308">
        <f>+IF(B477="m2",H493*I493*K493,IF(B477="m3",H493*I493*J493*K493,IF(B477="ml",H493*K493,IF(B477="UND",K493,IF(B477="GLOBAL",K493,"")))))</f>
        <v>0</v>
      </c>
      <c r="S493" s="272"/>
      <c r="T493" s="278"/>
    </row>
    <row r="494" spans="1:20" x14ac:dyDescent="0.3">
      <c r="A494" s="588"/>
      <c r="B494" s="579"/>
      <c r="C494" s="579"/>
      <c r="D494" s="579"/>
      <c r="E494" s="579"/>
      <c r="F494" s="589"/>
      <c r="G494" s="47"/>
      <c r="H494" s="259"/>
      <c r="I494" s="259"/>
      <c r="J494" s="259"/>
      <c r="K494" s="259"/>
      <c r="L494" s="308">
        <f>+IF(B477="m2",H494*I494*K494,IF(B477="m3",H494*I494*J494*K494,IF(B477="ml",H494*K494,IF(B477="UND",K494,IF(B477="GLOBAL",K494,"")))))</f>
        <v>0</v>
      </c>
      <c r="S494" s="272"/>
      <c r="T494" s="278"/>
    </row>
    <row r="495" spans="1:20" ht="15" thickBot="1" x14ac:dyDescent="0.35">
      <c r="A495" s="590"/>
      <c r="B495" s="591"/>
      <c r="C495" s="591"/>
      <c r="D495" s="591"/>
      <c r="E495" s="591"/>
      <c r="F495" s="592"/>
      <c r="G495" s="261" t="s">
        <v>31</v>
      </c>
      <c r="H495" s="262"/>
      <c r="I495" s="262"/>
      <c r="J495" s="262"/>
      <c r="K495" s="262"/>
      <c r="L495" s="309">
        <f>SUM(L480:L494)</f>
        <v>4</v>
      </c>
      <c r="N495" s="264" t="str">
        <f>+A477</f>
        <v>4,02</v>
      </c>
      <c r="O495" s="331">
        <f>+L495</f>
        <v>4</v>
      </c>
      <c r="S495" s="272"/>
      <c r="T495" s="278"/>
    </row>
    <row r="496" spans="1:20" ht="15" thickBot="1" x14ac:dyDescent="0.35">
      <c r="A496" s="265"/>
      <c r="B496" s="266"/>
      <c r="C496" s="266"/>
      <c r="D496" s="266"/>
      <c r="E496" s="267"/>
      <c r="L496" s="310"/>
      <c r="S496" s="272"/>
      <c r="T496" s="278"/>
    </row>
    <row r="497" spans="1:20" ht="15" thickBot="1" x14ac:dyDescent="0.35">
      <c r="A497" s="269" t="s">
        <v>50</v>
      </c>
      <c r="B497" s="270"/>
      <c r="C497" s="270"/>
      <c r="D497" s="270"/>
      <c r="E497" s="271"/>
      <c r="F497" s="278"/>
      <c r="G497" s="278"/>
      <c r="H497" s="278"/>
      <c r="I497" s="278"/>
      <c r="J497" s="272"/>
      <c r="K497" s="272"/>
      <c r="L497" s="311"/>
      <c r="S497" s="272"/>
      <c r="T497" s="278"/>
    </row>
    <row r="498" spans="1:20" ht="15" thickBot="1" x14ac:dyDescent="0.35">
      <c r="A498" s="274" t="s">
        <v>18</v>
      </c>
      <c r="B498" s="275" t="s">
        <v>51</v>
      </c>
      <c r="C498" s="275" t="s">
        <v>21</v>
      </c>
      <c r="D498" s="275" t="s">
        <v>52</v>
      </c>
      <c r="E498" s="276" t="s">
        <v>22</v>
      </c>
      <c r="F498" s="277"/>
      <c r="G498" s="284"/>
      <c r="H498" s="284"/>
      <c r="I498" s="284"/>
      <c r="J498" s="284"/>
      <c r="K498" s="284"/>
      <c r="L498" s="312"/>
      <c r="S498" s="272"/>
      <c r="T498" s="278"/>
    </row>
    <row r="499" spans="1:20" ht="27.6" x14ac:dyDescent="0.3">
      <c r="A499" s="191">
        <f>IFERROR(VLOOKUP(B499,INSUMOS!A:D,4,FALSE),"")</f>
        <v>308</v>
      </c>
      <c r="B499" s="163" t="str">
        <f>+IFERROR(VLOOKUP(N499,APU!J:M,4,FALSE),"")</f>
        <v>Reflector Flood Light De 500w Halógena</v>
      </c>
      <c r="C499" s="163" t="str">
        <f>+IFERROR(VLOOKUP(B499,INSUMOS!A:D,2,FALSE),"")</f>
        <v>Unidad</v>
      </c>
      <c r="D499" s="192">
        <f>IFERROR(VLOOKUP(N499,APU!J:N,5,FALSE),"")</f>
        <v>2</v>
      </c>
      <c r="E499" s="279">
        <f>IFERROR(D499*K477,"")</f>
        <v>8</v>
      </c>
      <c r="F499" s="278"/>
      <c r="G499" s="284"/>
      <c r="H499" s="284"/>
      <c r="I499" s="284"/>
      <c r="J499" s="284"/>
      <c r="K499" s="284"/>
      <c r="L499" s="312"/>
      <c r="N499" s="280" t="str">
        <f>+_xlfn.CONCAT("M",N495,O499)</f>
        <v>M4,021</v>
      </c>
      <c r="O499" s="280">
        <v>1</v>
      </c>
      <c r="P499" s="281">
        <f>+IFERROR(VLOOKUP(B499,INSUMOS!A:D,3,FALSE),"")</f>
        <v>534936.47</v>
      </c>
      <c r="Q499" s="282">
        <f t="shared" ref="Q499:Q509" si="11">IFERROR(E499*P499,"")</f>
        <v>4279491.76</v>
      </c>
      <c r="S499" s="272"/>
      <c r="T499" s="278"/>
    </row>
    <row r="500" spans="1:20" x14ac:dyDescent="0.3">
      <c r="A500" s="191">
        <f>IFERROR(VLOOKUP(B500,INSUMOS!A:D,4,FALSE),"")</f>
        <v>275</v>
      </c>
      <c r="B500" s="163" t="str">
        <f>+IFERROR(VLOOKUP(N500,APU!J:M,4,FALSE),"")</f>
        <v>Caja Conduit PVC 5800 (2x4)</v>
      </c>
      <c r="C500" s="163" t="str">
        <f>+IFERROR(VLOOKUP(B500,INSUMOS!A:D,2,FALSE),"")</f>
        <v>Unidad</v>
      </c>
      <c r="D500" s="192">
        <f>IFERROR(VLOOKUP(N500,APU!J:N,5,FALSE),"")</f>
        <v>1.03</v>
      </c>
      <c r="E500" s="283">
        <f>IFERROR(D500*K477,"")</f>
        <v>4.12</v>
      </c>
      <c r="F500" s="278"/>
      <c r="G500" s="284"/>
      <c r="H500" s="284"/>
      <c r="I500" s="284"/>
      <c r="J500" s="284"/>
      <c r="K500" s="284"/>
      <c r="L500" s="312"/>
      <c r="N500" s="280" t="str">
        <f>+_xlfn.CONCAT("M",N495,O500)</f>
        <v>M4,022</v>
      </c>
      <c r="O500" s="280">
        <v>2</v>
      </c>
      <c r="P500" s="281">
        <f>+IFERROR(VLOOKUP(B500,INSUMOS!A:D,3,FALSE),"")</f>
        <v>3033.89</v>
      </c>
      <c r="Q500" s="282">
        <f t="shared" si="11"/>
        <v>12499.6268</v>
      </c>
      <c r="S500" s="272"/>
      <c r="T500" s="278"/>
    </row>
    <row r="501" spans="1:20" ht="27.6" x14ac:dyDescent="0.3">
      <c r="A501" s="191">
        <f>IFERROR(VLOOKUP(B501,INSUMOS!A:D,4,FALSE),"")</f>
        <v>241</v>
      </c>
      <c r="B501" s="163" t="str">
        <f>+IFERROR(VLOOKUP(N501,APU!J:M,4,FALSE),"")</f>
        <v>Cable de cobre aislado AWG-THW N° 12</v>
      </c>
      <c r="C501" s="163" t="str">
        <f>+IFERROR(VLOOKUP(B501,INSUMOS!A:D,2,FALSE),"")</f>
        <v>Metro Lineal</v>
      </c>
      <c r="D501" s="192">
        <f>IFERROR(VLOOKUP(N501,APU!J:N,5,FALSE),"")</f>
        <v>35.020000000000003</v>
      </c>
      <c r="E501" s="283">
        <f>IFERROR(D501*K477,"")</f>
        <v>140.08000000000001</v>
      </c>
      <c r="F501" s="278"/>
      <c r="G501" s="284"/>
      <c r="H501" s="284"/>
      <c r="I501" s="284"/>
      <c r="J501" s="284"/>
      <c r="K501" s="284"/>
      <c r="L501" s="312"/>
      <c r="N501" s="280" t="str">
        <f>+_xlfn.CONCAT("M",N495,O501)</f>
        <v>M4,023</v>
      </c>
      <c r="O501" s="280">
        <v>3</v>
      </c>
      <c r="P501" s="281">
        <f>+IFERROR(VLOOKUP(B501,INSUMOS!A:D,3,FALSE),"")</f>
        <v>2922.72</v>
      </c>
      <c r="Q501" s="282">
        <f t="shared" si="11"/>
        <v>409414.6176</v>
      </c>
      <c r="S501" s="272"/>
      <c r="T501" s="278"/>
    </row>
    <row r="502" spans="1:20" x14ac:dyDescent="0.3">
      <c r="A502" s="191">
        <f>IFERROR(VLOOKUP(B502,INSUMOS!A:D,4,FALSE),"")</f>
        <v>302</v>
      </c>
      <c r="B502" s="163" t="str">
        <f>+IFERROR(VLOOKUP(N502,APU!J:M,4,FALSE),"")</f>
        <v>Interruptor sencillo</v>
      </c>
      <c r="C502" s="163" t="str">
        <f>+IFERROR(VLOOKUP(B502,INSUMOS!A:D,2,FALSE),"")</f>
        <v>Unidad</v>
      </c>
      <c r="D502" s="192">
        <f>IFERROR(VLOOKUP(N502,APU!J:N,5,FALSE),"")</f>
        <v>1.03</v>
      </c>
      <c r="E502" s="283">
        <f>IFERROR(D502*K477,"")</f>
        <v>4.12</v>
      </c>
      <c r="F502" s="278"/>
      <c r="G502" s="284"/>
      <c r="H502" s="284"/>
      <c r="I502" s="284"/>
      <c r="J502" s="284"/>
      <c r="K502" s="284"/>
      <c r="L502" s="312"/>
      <c r="N502" s="280" t="str">
        <f>+_xlfn.CONCAT("M",N495,O502)</f>
        <v>M4,024</v>
      </c>
      <c r="O502" s="280">
        <v>4</v>
      </c>
      <c r="P502" s="281">
        <f>+IFERROR(VLOOKUP(B502,INSUMOS!A:D,3,FALSE),"")</f>
        <v>10737.05</v>
      </c>
      <c r="Q502" s="282">
        <f t="shared" si="11"/>
        <v>44236.646000000001</v>
      </c>
      <c r="S502" s="272"/>
      <c r="T502" s="278"/>
    </row>
    <row r="503" spans="1:20" ht="55.2" x14ac:dyDescent="0.3">
      <c r="A503" s="191">
        <f>IFERROR(VLOOKUP(B503,INSUMOS!A:D,4,FALSE),"")</f>
        <v>306</v>
      </c>
      <c r="B503" s="163" t="str">
        <f>+IFERROR(VLOOKUP(N503,APU!J:M,4,FALSE),"")</f>
        <v>Poste para redes electricas, de alumbrado o telefonicas pretensado vibrado en concreto de 10 metros</v>
      </c>
      <c r="C503" s="163" t="str">
        <f>+IFERROR(VLOOKUP(B503,INSUMOS!A:D,2,FALSE),"")</f>
        <v>Unidad</v>
      </c>
      <c r="D503" s="192">
        <f>IFERROR(VLOOKUP(N503,APU!J:N,5,FALSE),"")</f>
        <v>1</v>
      </c>
      <c r="E503" s="283">
        <f>IFERROR(D503*K477,"")</f>
        <v>4</v>
      </c>
      <c r="F503" s="278"/>
      <c r="G503" s="284"/>
      <c r="H503" s="284"/>
      <c r="I503" s="284"/>
      <c r="J503" s="284"/>
      <c r="K503" s="284"/>
      <c r="L503" s="312"/>
      <c r="N503" s="280" t="str">
        <f>+_xlfn.CONCAT("M",N495,O503)</f>
        <v>M4,025</v>
      </c>
      <c r="O503" s="280">
        <v>5</v>
      </c>
      <c r="P503" s="281">
        <f>+IFERROR(VLOOKUP(B503,INSUMOS!A:D,3,FALSE),"")</f>
        <v>1269058.6399999999</v>
      </c>
      <c r="Q503" s="282">
        <f t="shared" si="11"/>
        <v>5076234.5599999996</v>
      </c>
      <c r="S503" s="272"/>
      <c r="T503" s="278"/>
    </row>
    <row r="504" spans="1:20" ht="27.6" x14ac:dyDescent="0.3">
      <c r="A504" s="191">
        <f>IFERROR(VLOOKUP(B504,INSUMOS!A:D,4,FALSE),"")</f>
        <v>471</v>
      </c>
      <c r="B504" s="163" t="str">
        <f>+IFERROR(VLOOKUP(N504,APU!J:M,4,FALSE),"")</f>
        <v>Cemento gris bulto x 50 kilogramos</v>
      </c>
      <c r="C504" s="163" t="str">
        <f>+IFERROR(VLOOKUP(B504,INSUMOS!A:D,2,FALSE),"")</f>
        <v>Bulto</v>
      </c>
      <c r="D504" s="192">
        <f>IFERROR(VLOOKUP(N504,APU!J:N,5,FALSE),"")</f>
        <v>1.4528000000000001</v>
      </c>
      <c r="E504" s="285">
        <f>IFERROR(D504*K477,"")</f>
        <v>5.8112000000000004</v>
      </c>
      <c r="F504" s="278"/>
      <c r="G504" s="284"/>
      <c r="H504" s="284"/>
      <c r="I504" s="284"/>
      <c r="J504" s="284"/>
      <c r="K504" s="284"/>
      <c r="L504" s="312"/>
      <c r="N504" s="280" t="str">
        <f>+_xlfn.CONCAT("M",N495,O504)</f>
        <v>M4,026</v>
      </c>
      <c r="O504" s="280">
        <v>6</v>
      </c>
      <c r="P504" s="281">
        <f>+IFERROR(VLOOKUP(B504,INSUMOS!A:D,3,FALSE),"")</f>
        <v>50453.95</v>
      </c>
      <c r="Q504" s="282">
        <f t="shared" si="11"/>
        <v>293197.99424000003</v>
      </c>
      <c r="S504" s="272"/>
      <c r="T504" s="278"/>
    </row>
    <row r="505" spans="1:20" ht="27.6" x14ac:dyDescent="0.3">
      <c r="A505" s="191">
        <f>IFERROR(VLOOKUP(B505,INSUMOS!A:D,4,FALSE),"")</f>
        <v>66</v>
      </c>
      <c r="B505" s="163" t="str">
        <f>+IFERROR(VLOOKUP(N505,APU!J:M,4,FALSE),"")</f>
        <v>Arena de río</v>
      </c>
      <c r="C505" s="163" t="str">
        <f>+IFERROR(VLOOKUP(B505,INSUMOS!A:D,2,FALSE),"")</f>
        <v>Metro cubico</v>
      </c>
      <c r="D505" s="192">
        <f>IFERROR(VLOOKUP(N505,APU!J:N,5,FALSE),"")</f>
        <v>0.11804000000000001</v>
      </c>
      <c r="E505" s="285">
        <f>IFERROR(D505*K477,"")</f>
        <v>0.47216000000000002</v>
      </c>
      <c r="F505" s="278"/>
      <c r="G505" s="284"/>
      <c r="H505" s="284"/>
      <c r="I505" s="284"/>
      <c r="J505" s="284"/>
      <c r="K505" s="284"/>
      <c r="L505" s="312"/>
      <c r="N505" s="280" t="str">
        <f>+_xlfn.CONCAT("M",N495,O505)</f>
        <v>M4,027</v>
      </c>
      <c r="O505" s="280">
        <v>7</v>
      </c>
      <c r="P505" s="281">
        <f>+IFERROR(VLOOKUP(B505,INSUMOS!A:D,3,FALSE),"")</f>
        <v>243964.03</v>
      </c>
      <c r="Q505" s="282">
        <f t="shared" si="11"/>
        <v>115190.05640480001</v>
      </c>
      <c r="S505" s="272"/>
      <c r="T505" s="278"/>
    </row>
    <row r="506" spans="1:20" ht="27.6" x14ac:dyDescent="0.3">
      <c r="A506" s="191">
        <f>IFERROR(VLOOKUP(B506,INSUMOS!A:D,4,FALSE),"")</f>
        <v>71</v>
      </c>
      <c r="B506" s="163" t="str">
        <f>+IFERROR(VLOOKUP(N506,APU!J:M,4,FALSE),"")</f>
        <v>Grava triturada 3/4"</v>
      </c>
      <c r="C506" s="163" t="str">
        <f>+IFERROR(VLOOKUP(B506,INSUMOS!A:D,2,FALSE),"")</f>
        <v>Metro cubico</v>
      </c>
      <c r="D506" s="192">
        <f>IFERROR(VLOOKUP(N506,APU!J:N,5,FALSE),"")</f>
        <v>0.20430000000000001</v>
      </c>
      <c r="E506" s="285">
        <f>IFERROR(D506*K477,"")</f>
        <v>0.81720000000000004</v>
      </c>
      <c r="F506" s="278"/>
      <c r="G506" s="284"/>
      <c r="H506" s="284"/>
      <c r="I506" s="284"/>
      <c r="J506" s="284"/>
      <c r="K506" s="284"/>
      <c r="L506" s="312"/>
      <c r="N506" s="280" t="str">
        <f>+_xlfn.CONCAT("M",N495,O506)</f>
        <v>M4,028</v>
      </c>
      <c r="O506" s="280">
        <v>8</v>
      </c>
      <c r="P506" s="281">
        <f>+IFERROR(VLOOKUP(B506,INSUMOS!A:D,3,FALSE),"")</f>
        <v>288567.81</v>
      </c>
      <c r="Q506" s="282">
        <f t="shared" si="11"/>
        <v>235817.614332</v>
      </c>
      <c r="S506" s="272"/>
      <c r="T506" s="278"/>
    </row>
    <row r="507" spans="1:20" x14ac:dyDescent="0.3">
      <c r="A507" s="191" t="str">
        <f>IFERROR(VLOOKUP(B507,INSUMOS!A:D,4,FALSE),"")</f>
        <v/>
      </c>
      <c r="B507" s="163">
        <f>+IFERROR(VLOOKUP(N507,APU!J:M,4,FALSE),"")</f>
        <v>0</v>
      </c>
      <c r="C507" s="163" t="str">
        <f>+IFERROR(VLOOKUP(B507,INSUMOS!A:D,2,FALSE),"")</f>
        <v/>
      </c>
      <c r="D507" s="192">
        <f>IFERROR(VLOOKUP(N507,APU!J:N,5,FALSE),"")</f>
        <v>0</v>
      </c>
      <c r="E507" s="285">
        <f>IFERROR(D507*K477,"")</f>
        <v>0</v>
      </c>
      <c r="F507" s="278"/>
      <c r="G507" s="284"/>
      <c r="H507" s="284"/>
      <c r="I507" s="284"/>
      <c r="J507" s="284"/>
      <c r="K507" s="284"/>
      <c r="L507" s="312"/>
      <c r="N507" s="280" t="str">
        <f>+_xlfn.CONCAT("M",N495,O507)</f>
        <v>M4,029</v>
      </c>
      <c r="O507" s="280">
        <v>9</v>
      </c>
      <c r="P507" s="281" t="str">
        <f>+IFERROR(VLOOKUP(B507,INSUMOS!A:D,3,FALSE),"")</f>
        <v/>
      </c>
      <c r="Q507" s="282" t="str">
        <f t="shared" si="11"/>
        <v/>
      </c>
      <c r="S507" s="272"/>
      <c r="T507" s="278"/>
    </row>
    <row r="508" spans="1:20" x14ac:dyDescent="0.3">
      <c r="A508" s="191" t="str">
        <f>IFERROR(VLOOKUP(B508,INSUMOS!A:D,4,FALSE),"")</f>
        <v/>
      </c>
      <c r="B508" s="163">
        <f>+IFERROR(VLOOKUP(N508,APU!J:M,4,FALSE),"")</f>
        <v>0</v>
      </c>
      <c r="C508" s="163" t="str">
        <f>+IFERROR(VLOOKUP(B508,INSUMOS!A:D,2,FALSE),"")</f>
        <v/>
      </c>
      <c r="D508" s="192">
        <f>IFERROR(VLOOKUP(N508,APU!J:N,5,FALSE),"")</f>
        <v>0</v>
      </c>
      <c r="E508" s="285">
        <f>IFERROR(D508*K477,"")</f>
        <v>0</v>
      </c>
      <c r="F508" s="278"/>
      <c r="G508" s="284"/>
      <c r="H508" s="284"/>
      <c r="I508" s="284"/>
      <c r="J508" s="284"/>
      <c r="K508" s="284"/>
      <c r="L508" s="312"/>
      <c r="N508" s="280" t="str">
        <f>+_xlfn.CONCAT("M",N495,O508)</f>
        <v>M4,0210</v>
      </c>
      <c r="O508" s="280">
        <v>10</v>
      </c>
      <c r="P508" s="281" t="str">
        <f>+IFERROR(VLOOKUP(B508,INSUMOS!A:D,3,FALSE),"")</f>
        <v/>
      </c>
      <c r="Q508" s="282" t="str">
        <f t="shared" si="11"/>
        <v/>
      </c>
      <c r="S508" s="272"/>
      <c r="T508" s="278"/>
    </row>
    <row r="509" spans="1:20" ht="15" thickBot="1" x14ac:dyDescent="0.35">
      <c r="A509" s="286" t="str">
        <f>IFERROR(VLOOKUP(B509,INSUMOS!A:D,4,FALSE),"")</f>
        <v/>
      </c>
      <c r="B509" s="287">
        <f>+IFERROR(VLOOKUP(N509,APU!J:M,4,FALSE),"")</f>
        <v>0</v>
      </c>
      <c r="C509" s="287" t="str">
        <f>+IFERROR(VLOOKUP(B509,INSUMOS!A:D,2,FALSE),"")</f>
        <v/>
      </c>
      <c r="D509" s="288">
        <f>IFERROR(VLOOKUP(N509,APU!J:N,5,FALSE),"")</f>
        <v>0</v>
      </c>
      <c r="E509" s="289">
        <f>IFERROR(D509*K477,"")</f>
        <v>0</v>
      </c>
      <c r="F509" s="278"/>
      <c r="G509" s="284"/>
      <c r="H509" s="284"/>
      <c r="I509" s="284"/>
      <c r="J509" s="284"/>
      <c r="K509" s="284"/>
      <c r="L509" s="312"/>
      <c r="N509" s="280" t="str">
        <f>+_xlfn.CONCAT("M",N495,O509)</f>
        <v>M4,0211</v>
      </c>
      <c r="O509" s="280">
        <v>11</v>
      </c>
      <c r="P509" s="281" t="str">
        <f>+IFERROR(VLOOKUP(B509,INSUMOS!A:D,3,FALSE),"")</f>
        <v/>
      </c>
      <c r="Q509" s="282" t="str">
        <f t="shared" si="11"/>
        <v/>
      </c>
      <c r="S509" s="272"/>
      <c r="T509" s="278"/>
    </row>
    <row r="510" spans="1:20" x14ac:dyDescent="0.3">
      <c r="A510" s="471"/>
      <c r="C510" s="290"/>
      <c r="D510" s="290"/>
      <c r="E510" s="290"/>
      <c r="F510" s="278"/>
      <c r="G510" s="291"/>
      <c r="H510" s="473"/>
      <c r="I510" s="284"/>
      <c r="J510" s="272"/>
      <c r="K510" s="284"/>
      <c r="L510" s="312"/>
      <c r="N510" s="280"/>
      <c r="O510" s="280"/>
      <c r="P510" s="313"/>
      <c r="Q510" s="314"/>
      <c r="S510" s="272"/>
      <c r="T510" s="278"/>
    </row>
    <row r="511" spans="1:20" x14ac:dyDescent="0.3">
      <c r="A511" s="471"/>
      <c r="C511" s="290"/>
      <c r="D511" s="290"/>
      <c r="E511" s="290"/>
      <c r="F511" s="278"/>
      <c r="G511" s="291"/>
      <c r="H511" s="473"/>
      <c r="I511" s="284"/>
      <c r="J511" s="272"/>
      <c r="K511" s="284"/>
      <c r="L511" s="312"/>
      <c r="N511" s="280"/>
      <c r="O511" s="280"/>
      <c r="P511" s="313"/>
      <c r="Q511" s="314"/>
      <c r="S511" s="272"/>
      <c r="T511" s="278"/>
    </row>
    <row r="512" spans="1:20" x14ac:dyDescent="0.3">
      <c r="A512" s="471"/>
      <c r="C512" s="293"/>
      <c r="D512" s="293"/>
      <c r="E512" s="294"/>
      <c r="F512" s="278"/>
      <c r="G512" s="234"/>
      <c r="H512" s="234"/>
      <c r="I512" s="284"/>
      <c r="J512" s="272"/>
      <c r="K512" s="284"/>
      <c r="L512" s="312"/>
      <c r="N512" s="280"/>
      <c r="O512" s="280"/>
      <c r="P512" s="315" t="str">
        <f>+A477</f>
        <v>4,02</v>
      </c>
      <c r="Q512" s="314">
        <f>SUM(Q499:Q509)</f>
        <v>10466082.8753768</v>
      </c>
      <c r="S512" s="272"/>
      <c r="T512" s="278"/>
    </row>
    <row r="513" spans="1:20" x14ac:dyDescent="0.3">
      <c r="A513" s="471"/>
      <c r="C513" s="293"/>
      <c r="D513" s="293"/>
      <c r="E513" s="294"/>
      <c r="F513" s="316"/>
      <c r="G513" s="295"/>
      <c r="H513" s="295"/>
      <c r="I513" s="295"/>
      <c r="J513" s="296"/>
      <c r="K513" s="297"/>
      <c r="L513" s="302"/>
      <c r="S513" s="272"/>
      <c r="T513" s="278"/>
    </row>
    <row r="514" spans="1:20" x14ac:dyDescent="0.3">
      <c r="A514" s="299"/>
      <c r="B514" s="293"/>
      <c r="C514" s="293"/>
      <c r="D514" s="293"/>
      <c r="E514" s="294"/>
      <c r="F514" s="293"/>
      <c r="G514" s="300" t="str">
        <f>+'INF. GENERAL'!$B$19</f>
        <v>JAVIER JOSÉ ROSADO MENDINUETA</v>
      </c>
      <c r="H514" s="301"/>
      <c r="I514" s="301"/>
      <c r="J514" s="301"/>
      <c r="K514" s="297"/>
      <c r="L514" s="302"/>
      <c r="S514" s="272"/>
      <c r="T514" s="278"/>
    </row>
    <row r="515" spans="1:20" x14ac:dyDescent="0.3">
      <c r="A515" s="299"/>
      <c r="B515" s="293"/>
      <c r="C515" s="293"/>
      <c r="D515" s="293"/>
      <c r="E515" s="294"/>
      <c r="F515" s="293"/>
      <c r="G515" s="303" t="str">
        <f>+'INF. GENERAL'!$B$20</f>
        <v>PROFESIONAL APOYO</v>
      </c>
      <c r="H515" s="301"/>
      <c r="I515" s="301"/>
      <c r="J515" s="301"/>
      <c r="K515" s="297"/>
      <c r="L515" s="302"/>
      <c r="S515" s="272"/>
      <c r="T515" s="278"/>
    </row>
    <row r="516" spans="1:20" ht="15" thickBot="1" x14ac:dyDescent="0.35">
      <c r="A516" s="235" t="s">
        <v>37</v>
      </c>
      <c r="B516" s="236"/>
      <c r="C516" s="236"/>
      <c r="D516" s="236"/>
      <c r="E516" s="237"/>
      <c r="F516" s="236"/>
      <c r="G516" s="318" t="str">
        <f>+'INF. GENERAL'!$B$21</f>
        <v>MP: 08700-52350</v>
      </c>
      <c r="H516" s="319"/>
      <c r="I516" s="319"/>
      <c r="J516" s="319"/>
      <c r="K516" s="236"/>
      <c r="L516" s="304" t="s">
        <v>37</v>
      </c>
      <c r="S516" s="272"/>
      <c r="T516" s="278"/>
    </row>
  </sheetData>
  <mergeCells count="51">
    <mergeCell ref="G48:G49"/>
    <mergeCell ref="H48:K48"/>
    <mergeCell ref="L48:L49"/>
    <mergeCell ref="A49:F65"/>
    <mergeCell ref="A5:F5"/>
    <mergeCell ref="G5:G6"/>
    <mergeCell ref="H5:K5"/>
    <mergeCell ref="L5:L6"/>
    <mergeCell ref="A6:F22"/>
    <mergeCell ref="G91:G92"/>
    <mergeCell ref="H91:K91"/>
    <mergeCell ref="L91:L92"/>
    <mergeCell ref="A92:F108"/>
    <mergeCell ref="G134:G135"/>
    <mergeCell ref="H134:K134"/>
    <mergeCell ref="L134:L135"/>
    <mergeCell ref="A135:F151"/>
    <mergeCell ref="G177:G178"/>
    <mergeCell ref="H177:K177"/>
    <mergeCell ref="L177:L178"/>
    <mergeCell ref="A178:F194"/>
    <mergeCell ref="G306:G307"/>
    <mergeCell ref="H306:K306"/>
    <mergeCell ref="L306:L307"/>
    <mergeCell ref="A307:F323"/>
    <mergeCell ref="G220:G221"/>
    <mergeCell ref="H220:K220"/>
    <mergeCell ref="L220:L221"/>
    <mergeCell ref="A221:F237"/>
    <mergeCell ref="G263:G264"/>
    <mergeCell ref="H263:K263"/>
    <mergeCell ref="L263:L264"/>
    <mergeCell ref="A264:F280"/>
    <mergeCell ref="A350:F366"/>
    <mergeCell ref="G392:G393"/>
    <mergeCell ref="H392:K392"/>
    <mergeCell ref="L392:L393"/>
    <mergeCell ref="A393:F409"/>
    <mergeCell ref="A436:F452"/>
    <mergeCell ref="G478:G479"/>
    <mergeCell ref="H478:K478"/>
    <mergeCell ref="L478:L479"/>
    <mergeCell ref="A479:F495"/>
    <mergeCell ref="G325:J326"/>
    <mergeCell ref="G369:J370"/>
    <mergeCell ref="G435:G436"/>
    <mergeCell ref="H435:K435"/>
    <mergeCell ref="L435:L436"/>
    <mergeCell ref="G349:G350"/>
    <mergeCell ref="H349:K349"/>
    <mergeCell ref="L349:L350"/>
  </mergeCells>
  <printOptions horizontalCentered="1"/>
  <pageMargins left="0.70866141732283472" right="0.70866141732283472" top="1.3385826771653544" bottom="0.74803149606299213" header="0.31496062992125984" footer="0.31496062992125984"/>
  <pageSetup scale="56" fitToWidth="0" fitToHeight="0" orientation="landscape" r:id="rId1"/>
  <headerFooter>
    <oddHeader>&amp;C&amp;G</oddHeader>
  </headerFooter>
  <rowBreaks count="11" manualBreakCount="11">
    <brk id="43" min="1" max="11" man="1"/>
    <brk id="86" min="1" max="11" man="1"/>
    <brk id="129" min="1" max="11" man="1"/>
    <brk id="172" min="1" max="11" man="1"/>
    <brk id="215" max="11" man="1"/>
    <brk id="258" min="1" max="11" man="1"/>
    <brk id="301" min="1" max="11" man="1"/>
    <brk id="344" min="1" max="11" man="1"/>
    <brk id="387" min="1" max="11" man="1"/>
    <brk id="430" min="1" max="11" man="1"/>
    <brk id="473" min="1" max="11" man="1"/>
  </rowBreaks>
  <drawing r:id="rId2"/>
  <legacyDrawingHF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02ACF2-109C-4924-88CD-9026F710BEF2}">
  <sheetPr codeName="Sheet7"/>
  <dimension ref="A1:T43"/>
  <sheetViews>
    <sheetView topLeftCell="A16" workbookViewId="0"/>
  </sheetViews>
  <sheetFormatPr baseColWidth="10" defaultColWidth="8.88671875" defaultRowHeight="14.4" x14ac:dyDescent="0.3"/>
  <cols>
    <col min="1" max="1" width="8.6640625" style="199" customWidth="1"/>
    <col min="2" max="2" width="22.6640625" style="199" customWidth="1"/>
    <col min="3" max="3" width="9.5546875" style="199" customWidth="1"/>
    <col min="4" max="4" width="14.6640625" style="199" customWidth="1"/>
    <col min="5" max="5" width="12.6640625" style="199" customWidth="1"/>
    <col min="6" max="6" width="19.88671875" style="199" customWidth="1"/>
    <col min="7" max="7" width="39.5546875" style="199" customWidth="1"/>
    <col min="8" max="8" width="14.109375" style="199" customWidth="1"/>
    <col min="9" max="11" width="11.5546875" style="199" customWidth="1"/>
    <col min="12" max="12" width="11.88671875" style="199" customWidth="1"/>
    <col min="13" max="13" width="8.88671875" style="233"/>
    <col min="14" max="14" width="8.88671875" style="232"/>
    <col min="15" max="15" width="9" style="232" bestFit="1" customWidth="1"/>
    <col min="16" max="16" width="11.88671875" style="232" bestFit="1" customWidth="1"/>
    <col min="17" max="17" width="11.5546875" style="232" bestFit="1" customWidth="1"/>
    <col min="18" max="18" width="8.88671875" style="232"/>
    <col min="19" max="19" width="8.88671875" style="272"/>
    <col min="20" max="20" width="8.88671875" style="278"/>
    <col min="21" max="16384" width="8.88671875" style="199"/>
  </cols>
  <sheetData>
    <row r="1" spans="1:20" ht="18.600000000000001" thickBot="1" x14ac:dyDescent="0.35">
      <c r="A1" s="320" t="s">
        <v>37</v>
      </c>
      <c r="B1" s="201" t="s">
        <v>38</v>
      </c>
      <c r="C1" s="321"/>
      <c r="D1" s="321"/>
      <c r="E1" s="321"/>
      <c r="F1" s="321"/>
      <c r="G1" s="321"/>
      <c r="H1" s="321"/>
      <c r="I1" s="321"/>
      <c r="J1" s="321"/>
      <c r="K1" s="321"/>
      <c r="L1" s="322" t="s">
        <v>37</v>
      </c>
    </row>
    <row r="2" spans="1:20" ht="15" thickBot="1" x14ac:dyDescent="0.35">
      <c r="A2" s="235" t="s">
        <v>37</v>
      </c>
      <c r="B2" s="236"/>
      <c r="C2" s="236"/>
      <c r="D2" s="236"/>
      <c r="E2" s="237"/>
      <c r="F2" s="236"/>
      <c r="G2" s="238"/>
      <c r="H2" s="236"/>
      <c r="I2" s="236"/>
      <c r="J2" s="236"/>
      <c r="K2" s="236"/>
      <c r="L2" s="304" t="s">
        <v>37</v>
      </c>
    </row>
    <row r="3" spans="1:20" s="193" customFormat="1" ht="15" thickBot="1" x14ac:dyDescent="0.35">
      <c r="A3" s="240" t="s">
        <v>39</v>
      </c>
      <c r="B3" s="241" t="s">
        <v>21</v>
      </c>
      <c r="C3" s="242" t="s">
        <v>20</v>
      </c>
      <c r="D3" s="243"/>
      <c r="E3" s="243"/>
      <c r="F3" s="243"/>
      <c r="G3" s="244"/>
      <c r="H3" s="325" t="s">
        <v>40</v>
      </c>
      <c r="I3" s="326"/>
      <c r="J3" s="327"/>
      <c r="K3" s="242" t="s">
        <v>41</v>
      </c>
      <c r="L3" s="244"/>
      <c r="M3" s="328"/>
      <c r="N3" s="323"/>
      <c r="O3" s="323"/>
      <c r="P3" s="323"/>
      <c r="Q3" s="323"/>
      <c r="R3" s="323"/>
      <c r="S3" s="335"/>
      <c r="T3" s="324"/>
    </row>
    <row r="4" spans="1:20" ht="28.8" thickBot="1" x14ac:dyDescent="0.35">
      <c r="A4" s="305" t="s">
        <v>2247</v>
      </c>
      <c r="B4" s="249" t="str">
        <f>VLOOKUP(A4,PRESUPUESTO!$A$3:$F$973,5,FALSE)</f>
        <v>und</v>
      </c>
      <c r="C4" s="42" t="str">
        <f>VLOOKUP(A4,PRESUPUESTO!$A$3:$F$973,4,FALSE)</f>
        <v>Manhole</v>
      </c>
      <c r="D4" s="43"/>
      <c r="E4" s="44"/>
      <c r="F4" s="45"/>
      <c r="G4" s="46"/>
      <c r="H4" s="250" t="str">
        <f>VLOOKUP(A4,PRESUPUESTO!$A$3:$F$973,3,FALSE)</f>
        <v>EXCAVACIONES, RELLENOS Y SISTEMA DE DRENAJE</v>
      </c>
      <c r="I4" s="251"/>
      <c r="J4" s="252"/>
      <c r="K4" s="253">
        <f>ROUND(+L22,2)</f>
        <v>1</v>
      </c>
      <c r="L4" s="306"/>
    </row>
    <row r="5" spans="1:20" ht="15" thickBot="1" x14ac:dyDescent="0.35">
      <c r="A5" s="242" t="s">
        <v>42</v>
      </c>
      <c r="B5" s="243"/>
      <c r="C5" s="243"/>
      <c r="D5" s="243"/>
      <c r="E5" s="243"/>
      <c r="F5" s="244"/>
      <c r="G5" s="580" t="s">
        <v>43</v>
      </c>
      <c r="H5" s="582" t="s">
        <v>44</v>
      </c>
      <c r="I5" s="583"/>
      <c r="J5" s="583"/>
      <c r="K5" s="584"/>
      <c r="L5" s="580" t="s">
        <v>45</v>
      </c>
    </row>
    <row r="6" spans="1:20" ht="15" thickBot="1" x14ac:dyDescent="0.35">
      <c r="A6" s="585"/>
      <c r="B6" s="586"/>
      <c r="C6" s="586"/>
      <c r="D6" s="586"/>
      <c r="E6" s="586"/>
      <c r="F6" s="587"/>
      <c r="G6" s="581"/>
      <c r="H6" s="255" t="s">
        <v>46</v>
      </c>
      <c r="I6" s="255" t="s">
        <v>47</v>
      </c>
      <c r="J6" s="255" t="s">
        <v>48</v>
      </c>
      <c r="K6" s="256" t="s">
        <v>49</v>
      </c>
      <c r="L6" s="581"/>
    </row>
    <row r="7" spans="1:20" x14ac:dyDescent="0.3">
      <c r="A7" s="588"/>
      <c r="B7" s="579"/>
      <c r="C7" s="579"/>
      <c r="D7" s="579"/>
      <c r="E7" s="579"/>
      <c r="F7" s="589"/>
      <c r="G7" s="47" t="str">
        <f>+C4</f>
        <v>Manhole</v>
      </c>
      <c r="H7" s="257">
        <v>51</v>
      </c>
      <c r="I7" s="257">
        <v>28.5</v>
      </c>
      <c r="J7" s="257"/>
      <c r="K7" s="257">
        <v>1</v>
      </c>
      <c r="L7" s="307">
        <f>+IF(B4="m2",H7*I7*K7,IF(B4="m3",H7*I7*J7*K7,IF(B4="ml",H7*K7,IF(B4="UND",K7,IF(B4="GLOBAL",K7,"")))))</f>
        <v>1</v>
      </c>
    </row>
    <row r="8" spans="1:20" x14ac:dyDescent="0.3">
      <c r="A8" s="588"/>
      <c r="B8" s="579"/>
      <c r="C8" s="579"/>
      <c r="D8" s="579"/>
      <c r="E8" s="579"/>
      <c r="F8" s="589"/>
      <c r="G8" s="47"/>
      <c r="H8" s="259"/>
      <c r="I8" s="259"/>
      <c r="J8" s="259"/>
      <c r="K8" s="259"/>
      <c r="L8" s="308">
        <f>+IF(B4="m2",H8*I8*K8,IF(B4="m3",H8*I8*J8*K8,IF(B4="ml",H8*K8,IF(B4="UND",K8,IF(B4="GLOBAL",K8,"")))))</f>
        <v>0</v>
      </c>
    </row>
    <row r="9" spans="1:20" x14ac:dyDescent="0.3">
      <c r="A9" s="588"/>
      <c r="B9" s="579"/>
      <c r="C9" s="579"/>
      <c r="D9" s="579"/>
      <c r="E9" s="579"/>
      <c r="F9" s="589"/>
      <c r="G9" s="47"/>
      <c r="H9" s="259"/>
      <c r="I9" s="259"/>
      <c r="J9" s="259"/>
      <c r="K9" s="259"/>
      <c r="L9" s="308">
        <f>+IF(B4="m2",H9*I9*K9,IF(B4="m3",H9*I9*J9*K9,IF(B4="ml",H9*K9,IF(B4="UND",K9,IF(B4="GLOBAL",K9,"")))))</f>
        <v>0</v>
      </c>
    </row>
    <row r="10" spans="1:20" x14ac:dyDescent="0.3">
      <c r="A10" s="588"/>
      <c r="B10" s="579"/>
      <c r="C10" s="579"/>
      <c r="D10" s="579"/>
      <c r="E10" s="579"/>
      <c r="F10" s="589"/>
      <c r="G10" s="47"/>
      <c r="H10" s="259"/>
      <c r="I10" s="259"/>
      <c r="J10" s="259"/>
      <c r="K10" s="259"/>
      <c r="L10" s="308">
        <f>+IF(B4="m2",H10*I10*K10,IF(B4="m3",H10*I10*J10*K10,IF(B4="ml",H10*K10,IF(B4="UND",K10,IF(B4="GLOBAL",K10,"")))))</f>
        <v>0</v>
      </c>
    </row>
    <row r="11" spans="1:20" x14ac:dyDescent="0.3">
      <c r="A11" s="588"/>
      <c r="B11" s="579"/>
      <c r="C11" s="579"/>
      <c r="D11" s="579"/>
      <c r="E11" s="579"/>
      <c r="F11" s="589"/>
      <c r="G11" s="47"/>
      <c r="H11" s="259"/>
      <c r="I11" s="259"/>
      <c r="J11" s="259"/>
      <c r="K11" s="259"/>
      <c r="L11" s="308">
        <f>+IF(B4="m2",H11*I11*K11,IF(B4="m3",H11*I11*J11*K11,IF(B4="ml",H11*K11,IF(B4="UND",K11,IF(B4="GLOBAL",K11,"")))))</f>
        <v>0</v>
      </c>
    </row>
    <row r="12" spans="1:20" x14ac:dyDescent="0.3">
      <c r="A12" s="588"/>
      <c r="B12" s="579"/>
      <c r="C12" s="579"/>
      <c r="D12" s="579"/>
      <c r="E12" s="579"/>
      <c r="F12" s="589"/>
      <c r="G12" s="47"/>
      <c r="H12" s="259"/>
      <c r="I12" s="259"/>
      <c r="J12" s="259"/>
      <c r="K12" s="259"/>
      <c r="L12" s="308">
        <f>+IF(B4="m2",H12*I12*K12,IF(B4="m3",H12*I12*J12*K12,IF(B4="ml",H12*K12,IF(B4="UND",K12,IF(B4="GLOBAL",K12,"")))))</f>
        <v>0</v>
      </c>
    </row>
    <row r="13" spans="1:20" x14ac:dyDescent="0.3">
      <c r="A13" s="588"/>
      <c r="B13" s="579"/>
      <c r="C13" s="579"/>
      <c r="D13" s="579"/>
      <c r="E13" s="579"/>
      <c r="F13" s="589"/>
      <c r="G13" s="47"/>
      <c r="H13" s="259"/>
      <c r="I13" s="259"/>
      <c r="J13" s="259"/>
      <c r="K13" s="259"/>
      <c r="L13" s="308">
        <f>+IF(B4="m2",H13*I13*K13,IF(B4="m3",H13*I13*J13*K13,IF(B4="ml",H13*K13,IF(B4="UND",K13,IF(B4="GLOBAL",K13,"")))))</f>
        <v>0</v>
      </c>
    </row>
    <row r="14" spans="1:20" x14ac:dyDescent="0.3">
      <c r="A14" s="588"/>
      <c r="B14" s="579"/>
      <c r="C14" s="579"/>
      <c r="D14" s="579"/>
      <c r="E14" s="579"/>
      <c r="F14" s="589"/>
      <c r="G14" s="47"/>
      <c r="H14" s="259"/>
      <c r="I14" s="259"/>
      <c r="J14" s="259"/>
      <c r="K14" s="259"/>
      <c r="L14" s="308">
        <f>+IF(B4="m2",H14*I14*K14,IF(B4="m3",H14*I14*J14*K14,IF(B4="ml",H14*K14,IF(B4="UND",K14,IF(B4="GLOBAL",K14,"")))))</f>
        <v>0</v>
      </c>
    </row>
    <row r="15" spans="1:20" x14ac:dyDescent="0.3">
      <c r="A15" s="588"/>
      <c r="B15" s="579"/>
      <c r="C15" s="579"/>
      <c r="D15" s="579"/>
      <c r="E15" s="579"/>
      <c r="F15" s="589"/>
      <c r="G15" s="47"/>
      <c r="H15" s="259"/>
      <c r="I15" s="259"/>
      <c r="J15" s="259"/>
      <c r="K15" s="259"/>
      <c r="L15" s="308">
        <f>+IF(B4="m2",H15*I15*K15,IF(B4="m3",H15*I15*J15*K15,IF(B4="ml",H15*K15,IF(B4="UND",K15,IF(B4="GLOBAL",K15,"")))))</f>
        <v>0</v>
      </c>
    </row>
    <row r="16" spans="1:20" x14ac:dyDescent="0.3">
      <c r="A16" s="588"/>
      <c r="B16" s="579"/>
      <c r="C16" s="579"/>
      <c r="D16" s="579"/>
      <c r="E16" s="579"/>
      <c r="F16" s="589"/>
      <c r="G16" s="47"/>
      <c r="H16" s="259"/>
      <c r="I16" s="259"/>
      <c r="J16" s="259"/>
      <c r="K16" s="259"/>
      <c r="L16" s="308">
        <f>+IF(B4="m2",H16*I16*K16,IF(B4="m3",H16*I16*J16*K16,IF(B4="ml",H16*K16,IF(B4="UND",K16,IF(B4="GLOBAL",K16,"")))))</f>
        <v>0</v>
      </c>
    </row>
    <row r="17" spans="1:17" x14ac:dyDescent="0.3">
      <c r="A17" s="588"/>
      <c r="B17" s="579"/>
      <c r="C17" s="579"/>
      <c r="D17" s="579"/>
      <c r="E17" s="579"/>
      <c r="F17" s="589"/>
      <c r="G17" s="47"/>
      <c r="H17" s="259"/>
      <c r="I17" s="259"/>
      <c r="J17" s="259"/>
      <c r="K17" s="259"/>
      <c r="L17" s="308">
        <f>+IF(B4="m2",H17*I17*K17,IF(B4="m3",H17*I17*J17*K17,IF(B4="ml",H17*K17,IF(B4="UND",K17,IF(B4="GLOBAL",K17,"")))))</f>
        <v>0</v>
      </c>
    </row>
    <row r="18" spans="1:17" x14ac:dyDescent="0.3">
      <c r="A18" s="588"/>
      <c r="B18" s="579"/>
      <c r="C18" s="579"/>
      <c r="D18" s="579"/>
      <c r="E18" s="579"/>
      <c r="F18" s="589"/>
      <c r="G18" s="47"/>
      <c r="H18" s="259"/>
      <c r="I18" s="259"/>
      <c r="J18" s="259"/>
      <c r="K18" s="259"/>
      <c r="L18" s="308">
        <f>+IF(B4="m2",H18*I18*K18,IF(B4="m3",H18*I18*J18*K18,IF(B4="ml",H18*K18,IF(B4="UND",K18,IF(B4="GLOBAL",K18,"")))))</f>
        <v>0</v>
      </c>
    </row>
    <row r="19" spans="1:17" x14ac:dyDescent="0.3">
      <c r="A19" s="588"/>
      <c r="B19" s="579"/>
      <c r="C19" s="579"/>
      <c r="D19" s="579"/>
      <c r="E19" s="579"/>
      <c r="F19" s="589"/>
      <c r="G19" s="47"/>
      <c r="H19" s="259"/>
      <c r="I19" s="259"/>
      <c r="J19" s="259"/>
      <c r="K19" s="259"/>
      <c r="L19" s="308">
        <f>+IF(B4="m2",H19*I19*K19,IF(B4="m3",H19*I19*J19*K19,IF(B4="ml",H19*K19,IF(B4="UND",K19,IF(B4="GLOBAL",K19,"")))))</f>
        <v>0</v>
      </c>
    </row>
    <row r="20" spans="1:17" x14ac:dyDescent="0.3">
      <c r="A20" s="588"/>
      <c r="B20" s="579"/>
      <c r="C20" s="579"/>
      <c r="D20" s="579"/>
      <c r="E20" s="579"/>
      <c r="F20" s="589"/>
      <c r="G20" s="47"/>
      <c r="H20" s="259"/>
      <c r="I20" s="259"/>
      <c r="J20" s="259"/>
      <c r="K20" s="259"/>
      <c r="L20" s="308">
        <f>+IF(B4="m2",H20*I20*K20,IF(B4="m3",H20*I20*J20*K20,IF(B4="ml",H20*K20,IF(B4="UND",K20,IF(B4="GLOBAL",K20,"")))))</f>
        <v>0</v>
      </c>
    </row>
    <row r="21" spans="1:17" x14ac:dyDescent="0.3">
      <c r="A21" s="588"/>
      <c r="B21" s="579"/>
      <c r="C21" s="579"/>
      <c r="D21" s="579"/>
      <c r="E21" s="579"/>
      <c r="F21" s="589"/>
      <c r="G21" s="47"/>
      <c r="H21" s="259"/>
      <c r="I21" s="259"/>
      <c r="J21" s="259"/>
      <c r="K21" s="259"/>
      <c r="L21" s="308">
        <f>+IF(B4="m2",H21*I21*K21,IF(B4="m3",H21*I21*J21*K21,IF(B4="ml",H21*K21,IF(B4="UND",K21,IF(B4="GLOBAL",K21,"")))))</f>
        <v>0</v>
      </c>
    </row>
    <row r="22" spans="1:17" ht="15" thickBot="1" x14ac:dyDescent="0.35">
      <c r="A22" s="590"/>
      <c r="B22" s="591"/>
      <c r="C22" s="591"/>
      <c r="D22" s="591"/>
      <c r="E22" s="591"/>
      <c r="F22" s="592"/>
      <c r="G22" s="261" t="s">
        <v>31</v>
      </c>
      <c r="H22" s="262"/>
      <c r="I22" s="262"/>
      <c r="J22" s="262"/>
      <c r="K22" s="262"/>
      <c r="L22" s="309">
        <f>SUM(L7:L21)</f>
        <v>1</v>
      </c>
      <c r="N22" s="264" t="str">
        <f>+A4</f>
        <v>2,05</v>
      </c>
      <c r="O22" s="331">
        <f>+L22</f>
        <v>1</v>
      </c>
    </row>
    <row r="23" spans="1:17" ht="15" thickBot="1" x14ac:dyDescent="0.35">
      <c r="A23" s="265"/>
      <c r="B23" s="266"/>
      <c r="C23" s="266"/>
      <c r="D23" s="266"/>
      <c r="E23" s="267"/>
      <c r="L23" s="310"/>
    </row>
    <row r="24" spans="1:17" ht="15" thickBot="1" x14ac:dyDescent="0.35">
      <c r="A24" s="269" t="s">
        <v>50</v>
      </c>
      <c r="B24" s="270"/>
      <c r="C24" s="270"/>
      <c r="D24" s="270"/>
      <c r="E24" s="271"/>
      <c r="F24" s="278"/>
      <c r="G24" s="278"/>
      <c r="H24" s="278"/>
      <c r="I24" s="278"/>
      <c r="J24" s="272"/>
      <c r="K24" s="272"/>
      <c r="L24" s="311"/>
    </row>
    <row r="25" spans="1:17" ht="15" thickBot="1" x14ac:dyDescent="0.35">
      <c r="A25" s="274" t="s">
        <v>18</v>
      </c>
      <c r="B25" s="275" t="s">
        <v>51</v>
      </c>
      <c r="C25" s="275" t="s">
        <v>21</v>
      </c>
      <c r="D25" s="275" t="s">
        <v>52</v>
      </c>
      <c r="E25" s="276" t="s">
        <v>22</v>
      </c>
      <c r="F25" s="277"/>
      <c r="G25" s="284"/>
      <c r="H25" s="284"/>
      <c r="I25" s="284"/>
      <c r="J25" s="284"/>
      <c r="K25" s="284"/>
      <c r="L25" s="312"/>
    </row>
    <row r="26" spans="1:17" ht="41.4" x14ac:dyDescent="0.3">
      <c r="A26" s="191">
        <f>IFERROR(VLOOKUP(B26,INSUMOS!A:D,4,FALSE),"")</f>
        <v>38</v>
      </c>
      <c r="B26" s="163" t="str">
        <f>+IFERROR(VLOOKUP(N26,APU!J:M,4,FALSE),"")</f>
        <v>Acero de refuerzo. Varilla corrugada w60 x 6m. Diámetro de 1/2”</v>
      </c>
      <c r="C26" s="163" t="str">
        <f>+IFERROR(VLOOKUP(B26,INSUMOS!A:D,2,FALSE),"")</f>
        <v>Unidad</v>
      </c>
      <c r="D26" s="192">
        <f>IFERROR(VLOOKUP(N26,APU!J:N,5,FALSE),"")</f>
        <v>8.8065000000000015</v>
      </c>
      <c r="E26" s="279">
        <f>IFERROR(D26*K4,"")</f>
        <v>8.8065000000000015</v>
      </c>
      <c r="F26" s="278"/>
      <c r="G26" s="284"/>
      <c r="H26" s="284"/>
      <c r="I26" s="284"/>
      <c r="J26" s="284"/>
      <c r="K26" s="284"/>
      <c r="L26" s="312"/>
      <c r="N26" s="280" t="str">
        <f>+_xlfn.CONCAT("M",N22,O26)</f>
        <v>M2,051</v>
      </c>
      <c r="O26" s="280">
        <v>1</v>
      </c>
      <c r="P26" s="281">
        <f>+IFERROR(VLOOKUP(B26,INSUMOS!A:D,3,FALSE),"")</f>
        <v>39832.25</v>
      </c>
      <c r="Q26" s="282">
        <f t="shared" ref="Q26:Q36" si="0">IFERROR(E26*P26,"")</f>
        <v>350782.70962500008</v>
      </c>
    </row>
    <row r="27" spans="1:17" x14ac:dyDescent="0.3">
      <c r="A27" s="191">
        <f>IFERROR(VLOOKUP(B27,INSUMOS!A:D,4,FALSE),"")</f>
        <v>437</v>
      </c>
      <c r="B27" s="163" t="str">
        <f>+IFERROR(VLOOKUP(N27,APU!J:M,4,FALSE),"")</f>
        <v>Alambre galvanizado No. 18</v>
      </c>
      <c r="C27" s="163" t="str">
        <f>+IFERROR(VLOOKUP(B27,INSUMOS!A:D,2,FALSE),"")</f>
        <v>Kilogramo</v>
      </c>
      <c r="D27" s="192">
        <f>IFERROR(VLOOKUP(N27,APU!J:N,5,FALSE),"")</f>
        <v>3.09</v>
      </c>
      <c r="E27" s="283">
        <f>IFERROR(D27*K4,"")</f>
        <v>3.09</v>
      </c>
      <c r="F27" s="278"/>
      <c r="G27" s="284"/>
      <c r="H27" s="284"/>
      <c r="I27" s="284"/>
      <c r="J27" s="284"/>
      <c r="K27" s="284"/>
      <c r="L27" s="312"/>
      <c r="N27" s="280" t="str">
        <f>+_xlfn.CONCAT("M",N22,O27)</f>
        <v>M2,052</v>
      </c>
      <c r="O27" s="280">
        <v>2</v>
      </c>
      <c r="P27" s="281">
        <f>+IFERROR(VLOOKUP(B27,INSUMOS!A:D,3,FALSE),"")</f>
        <v>15126.22</v>
      </c>
      <c r="Q27" s="282">
        <f t="shared" si="0"/>
        <v>46740.019799999995</v>
      </c>
    </row>
    <row r="28" spans="1:17" ht="27.6" x14ac:dyDescent="0.3">
      <c r="A28" s="191">
        <f>IFERROR(VLOOKUP(B28,INSUMOS!A:D,4,FALSE),"")</f>
        <v>605</v>
      </c>
      <c r="B28" s="163" t="str">
        <f>+IFERROR(VLOOKUP(N28,APU!J:M,4,FALSE),"")</f>
        <v>Puntilla con cabeza de 2" caja x 500 gr</v>
      </c>
      <c r="C28" s="163" t="str">
        <f>+IFERROR(VLOOKUP(B28,INSUMOS!A:D,2,FALSE),"")</f>
        <v>Unidad</v>
      </c>
      <c r="D28" s="192">
        <f>IFERROR(VLOOKUP(N28,APU!J:N,5,FALSE),"")</f>
        <v>2.06</v>
      </c>
      <c r="E28" s="283">
        <f>IFERROR(D28*K4,"")</f>
        <v>2.06</v>
      </c>
      <c r="F28" s="278"/>
      <c r="G28" s="284"/>
      <c r="H28" s="284"/>
      <c r="I28" s="284"/>
      <c r="J28" s="284"/>
      <c r="K28" s="284"/>
      <c r="L28" s="312"/>
      <c r="N28" s="280" t="str">
        <f>+_xlfn.CONCAT("M",N22,O28)</f>
        <v>M2,053</v>
      </c>
      <c r="O28" s="280">
        <v>3</v>
      </c>
      <c r="P28" s="281">
        <f>+IFERROR(VLOOKUP(B28,INSUMOS!A:D,3,FALSE),"")</f>
        <v>10330.58</v>
      </c>
      <c r="Q28" s="282">
        <f t="shared" si="0"/>
        <v>21280.9948</v>
      </c>
    </row>
    <row r="29" spans="1:17" ht="27.6" x14ac:dyDescent="0.3">
      <c r="A29" s="191">
        <f>IFERROR(VLOOKUP(B29,INSUMOS!A:D,4,FALSE),"")</f>
        <v>471</v>
      </c>
      <c r="B29" s="163" t="str">
        <f>+IFERROR(VLOOKUP(N29,APU!J:M,4,FALSE),"")</f>
        <v>Cemento gris bulto x 50 kilogramos</v>
      </c>
      <c r="C29" s="163" t="str">
        <f>+IFERROR(VLOOKUP(B29,INSUMOS!A:D,2,FALSE),"")</f>
        <v>Bulto</v>
      </c>
      <c r="D29" s="192">
        <f>IFERROR(VLOOKUP(N29,APU!J:N,5,FALSE),"")</f>
        <v>15.886720000000002</v>
      </c>
      <c r="E29" s="283">
        <f>IFERROR(D29*K4,"")</f>
        <v>15.886720000000002</v>
      </c>
      <c r="F29" s="278"/>
      <c r="G29" s="284"/>
      <c r="H29" s="284"/>
      <c r="I29" s="284"/>
      <c r="J29" s="284"/>
      <c r="K29" s="284"/>
      <c r="L29" s="312"/>
      <c r="N29" s="280" t="str">
        <f>+_xlfn.CONCAT("M",N22,O29)</f>
        <v>M2,054</v>
      </c>
      <c r="O29" s="280">
        <v>4</v>
      </c>
      <c r="P29" s="281">
        <f>+IFERROR(VLOOKUP(B29,INSUMOS!A:D,3,FALSE),"")</f>
        <v>50453.95</v>
      </c>
      <c r="Q29" s="282">
        <f t="shared" si="0"/>
        <v>801547.77654400002</v>
      </c>
    </row>
    <row r="30" spans="1:17" ht="27.6" x14ac:dyDescent="0.3">
      <c r="A30" s="191">
        <f>IFERROR(VLOOKUP(B30,INSUMOS!A:D,4,FALSE),"")</f>
        <v>66</v>
      </c>
      <c r="B30" s="163" t="str">
        <f>+IFERROR(VLOOKUP(N30,APU!J:M,4,FALSE),"")</f>
        <v>Arena de río</v>
      </c>
      <c r="C30" s="163" t="str">
        <f>+IFERROR(VLOOKUP(B30,INSUMOS!A:D,2,FALSE),"")</f>
        <v>Metro cubico</v>
      </c>
      <c r="D30" s="192">
        <f>IFERROR(VLOOKUP(N30,APU!J:N,5,FALSE),"")</f>
        <v>1.2532000000000001</v>
      </c>
      <c r="E30" s="283">
        <f>IFERROR(D30*K4,"")</f>
        <v>1.2532000000000001</v>
      </c>
      <c r="F30" s="278"/>
      <c r="G30" s="284"/>
      <c r="H30" s="284"/>
      <c r="I30" s="284"/>
      <c r="J30" s="284"/>
      <c r="K30" s="284"/>
      <c r="L30" s="312"/>
      <c r="N30" s="280" t="str">
        <f>+_xlfn.CONCAT("M",N22,O30)</f>
        <v>M2,055</v>
      </c>
      <c r="O30" s="280">
        <v>5</v>
      </c>
      <c r="P30" s="281">
        <f>+IFERROR(VLOOKUP(B30,INSUMOS!A:D,3,FALSE),"")</f>
        <v>243964.03</v>
      </c>
      <c r="Q30" s="282">
        <f t="shared" si="0"/>
        <v>305735.722396</v>
      </c>
    </row>
    <row r="31" spans="1:17" ht="27.6" x14ac:dyDescent="0.3">
      <c r="A31" s="191">
        <f>IFERROR(VLOOKUP(B31,INSUMOS!A:D,4,FALSE),"")</f>
        <v>71</v>
      </c>
      <c r="B31" s="163" t="str">
        <f>+IFERROR(VLOOKUP(N31,APU!J:M,4,FALSE),"")</f>
        <v>Grava triturada 3/4"</v>
      </c>
      <c r="C31" s="163" t="str">
        <f>+IFERROR(VLOOKUP(B31,INSUMOS!A:D,2,FALSE),"")</f>
        <v>Metro cubico</v>
      </c>
      <c r="D31" s="192">
        <f>IFERROR(VLOOKUP(N31,APU!J:N,5,FALSE),"")</f>
        <v>2.169</v>
      </c>
      <c r="E31" s="285">
        <f>IFERROR(D31*K4,"")</f>
        <v>2.169</v>
      </c>
      <c r="F31" s="278"/>
      <c r="G31" s="284"/>
      <c r="H31" s="284"/>
      <c r="I31" s="284"/>
      <c r="J31" s="284"/>
      <c r="K31" s="284"/>
      <c r="L31" s="312"/>
      <c r="N31" s="280" t="str">
        <f>+_xlfn.CONCAT("M",N22,O31)</f>
        <v>M2,056</v>
      </c>
      <c r="O31" s="280">
        <v>6</v>
      </c>
      <c r="P31" s="281">
        <f>+IFERROR(VLOOKUP(B31,INSUMOS!A:D,3,FALSE),"")</f>
        <v>288567.81</v>
      </c>
      <c r="Q31" s="282">
        <f t="shared" si="0"/>
        <v>625903.57989000005</v>
      </c>
    </row>
    <row r="32" spans="1:17" ht="27.6" x14ac:dyDescent="0.3">
      <c r="A32" s="191" t="str">
        <f>IFERROR(VLOOKUP(B32,INSUMOS!A:D,4,FALSE),"")</f>
        <v/>
      </c>
      <c r="B32" s="163" t="str">
        <f>+IFERROR(VLOOKUP(N32,APU!J:M,4,FALSE),"")</f>
        <v>Concreto 3000 psi APORTE ALCALDIA</v>
      </c>
      <c r="C32" s="163" t="str">
        <f>+IFERROR(VLOOKUP(B32,INSUMOS!A:D,2,FALSE),"")</f>
        <v/>
      </c>
      <c r="D32" s="192">
        <f>IFERROR(VLOOKUP(N32,APU!J:N,5,FALSE),"")</f>
        <v>2.4823000000000004</v>
      </c>
      <c r="E32" s="285">
        <f>IFERROR(D32*K4,"")</f>
        <v>2.4823000000000004</v>
      </c>
      <c r="F32" s="278"/>
      <c r="G32" s="284"/>
      <c r="H32" s="284"/>
      <c r="I32" s="284"/>
      <c r="J32" s="284"/>
      <c r="K32" s="284"/>
      <c r="L32" s="312"/>
      <c r="N32" s="280" t="str">
        <f>+_xlfn.CONCAT("M",N22,O32)</f>
        <v>M2,057</v>
      </c>
      <c r="O32" s="280">
        <v>7</v>
      </c>
      <c r="P32" s="281" t="str">
        <f>+IFERROR(VLOOKUP(B32,INSUMOS!A:D,3,FALSE),"")</f>
        <v/>
      </c>
      <c r="Q32" s="282" t="str">
        <f t="shared" si="0"/>
        <v/>
      </c>
    </row>
    <row r="33" spans="1:17" ht="27.6" x14ac:dyDescent="0.3">
      <c r="A33" s="191">
        <f>IFERROR(VLOOKUP(B33,INSUMOS!A:D,4,FALSE),"")</f>
        <v>384</v>
      </c>
      <c r="B33" s="163" t="str">
        <f>+IFERROR(VLOOKUP(N33,APU!J:M,4,FALSE),"")</f>
        <v>Cuartón en madera Otobo 2" x 4"</v>
      </c>
      <c r="C33" s="163" t="str">
        <f>+IFERROR(VLOOKUP(B33,INSUMOS!A:D,2,FALSE),"")</f>
        <v>Metro Lineal</v>
      </c>
      <c r="D33" s="192">
        <f>IFERROR(VLOOKUP(N33,APU!J:N,5,FALSE),"")</f>
        <v>9.27</v>
      </c>
      <c r="E33" s="285">
        <f>IFERROR(D33*K4,"")</f>
        <v>9.27</v>
      </c>
      <c r="F33" s="278"/>
      <c r="G33" s="284"/>
      <c r="H33" s="284"/>
      <c r="I33" s="284"/>
      <c r="J33" s="284"/>
      <c r="K33" s="284"/>
      <c r="L33" s="312"/>
      <c r="N33" s="280" t="str">
        <f>+_xlfn.CONCAT("M",N22,O33)</f>
        <v>M2,058</v>
      </c>
      <c r="O33" s="280">
        <v>8</v>
      </c>
      <c r="P33" s="281">
        <f>+IFERROR(VLOOKUP(B33,INSUMOS!A:D,3,FALSE),"")</f>
        <v>15821.64</v>
      </c>
      <c r="Q33" s="282">
        <f t="shared" si="0"/>
        <v>146666.60279999999</v>
      </c>
    </row>
    <row r="34" spans="1:17" ht="27.6" x14ac:dyDescent="0.3">
      <c r="A34" s="191">
        <f>IFERROR(VLOOKUP(B34,INSUMOS!A:D,4,FALSE),"")</f>
        <v>386</v>
      </c>
      <c r="B34" s="163" t="str">
        <f>+IFERROR(VLOOKUP(N34,APU!J:M,4,FALSE),"")</f>
        <v>Guadua rolliza diámetro 12 cm x 5 m</v>
      </c>
      <c r="C34" s="163" t="str">
        <f>+IFERROR(VLOOKUP(B34,INSUMOS!A:D,2,FALSE),"")</f>
        <v>Unidad</v>
      </c>
      <c r="D34" s="192">
        <f>IFERROR(VLOOKUP(N34,APU!J:N,5,FALSE),"")</f>
        <v>3.09</v>
      </c>
      <c r="E34" s="285">
        <f>IFERROR(D34*K4,"")</f>
        <v>3.09</v>
      </c>
      <c r="F34" s="278"/>
      <c r="G34" s="284"/>
      <c r="H34" s="284"/>
      <c r="I34" s="284"/>
      <c r="J34" s="284"/>
      <c r="K34" s="284"/>
      <c r="L34" s="312"/>
      <c r="N34" s="280" t="str">
        <f>+_xlfn.CONCAT("M",N22,O34)</f>
        <v>M2,059</v>
      </c>
      <c r="O34" s="280">
        <v>9</v>
      </c>
      <c r="P34" s="281">
        <f>+IFERROR(VLOOKUP(B34,INSUMOS!A:D,3,FALSE),"")</f>
        <v>54637.62</v>
      </c>
      <c r="Q34" s="282">
        <f t="shared" si="0"/>
        <v>168830.2458</v>
      </c>
    </row>
    <row r="35" spans="1:17" ht="27.6" x14ac:dyDescent="0.3">
      <c r="A35" s="191">
        <f>IFERROR(VLOOKUP(B35,INSUMOS!A:D,4,FALSE),"")</f>
        <v>410</v>
      </c>
      <c r="B35" s="163" t="str">
        <f>+IFERROR(VLOOKUP(N35,APU!J:M,4,FALSE),"")</f>
        <v>Tabla madera canteada (0,25 x 0,0025 x 3ml)</v>
      </c>
      <c r="C35" s="163" t="str">
        <f>+IFERROR(VLOOKUP(B35,INSUMOS!A:D,2,FALSE),"")</f>
        <v>Unidad</v>
      </c>
      <c r="D35" s="192">
        <f>IFERROR(VLOOKUP(N35,APU!J:N,5,FALSE),"")</f>
        <v>3.09</v>
      </c>
      <c r="E35" s="285">
        <f>IFERROR(D35*K4,"")</f>
        <v>3.09</v>
      </c>
      <c r="F35" s="278"/>
      <c r="G35" s="284"/>
      <c r="H35" s="284"/>
      <c r="I35" s="284"/>
      <c r="J35" s="284"/>
      <c r="K35" s="284"/>
      <c r="L35" s="312"/>
      <c r="N35" s="280" t="str">
        <f>+_xlfn.CONCAT("M",N22,O35)</f>
        <v>M2,0510</v>
      </c>
      <c r="O35" s="280">
        <v>10</v>
      </c>
      <c r="P35" s="281">
        <f>+IFERROR(VLOOKUP(B35,INSUMOS!A:D,3,FALSE),"")</f>
        <v>69470.600000000006</v>
      </c>
      <c r="Q35" s="282">
        <f t="shared" si="0"/>
        <v>214664.15400000001</v>
      </c>
    </row>
    <row r="36" spans="1:17" ht="42" thickBot="1" x14ac:dyDescent="0.35">
      <c r="A36" s="286">
        <f>IFERROR(VLOOKUP(B36,INSUMOS!A:D,4,FALSE),"")</f>
        <v>42</v>
      </c>
      <c r="B36" s="287" t="str">
        <f>+IFERROR(VLOOKUP(N36,APU!J:M,4,FALSE),"")</f>
        <v>Acero de refuerzo. Varilla corrugada w60 x 6m. Diámetro de 3/8”</v>
      </c>
      <c r="C36" s="287" t="str">
        <f>+IFERROR(VLOOKUP(B36,INSUMOS!A:D,2,FALSE),"")</f>
        <v>Unidad</v>
      </c>
      <c r="D36" s="288">
        <f>IFERROR(VLOOKUP(N36,APU!J:N,5,FALSE),"")</f>
        <v>2.2248000000000001</v>
      </c>
      <c r="E36" s="289">
        <f>IFERROR(D36*K4,"")</f>
        <v>2.2248000000000001</v>
      </c>
      <c r="F36" s="278"/>
      <c r="G36" s="284"/>
      <c r="H36" s="284"/>
      <c r="I36" s="284"/>
      <c r="J36" s="284"/>
      <c r="K36" s="284"/>
      <c r="L36" s="312"/>
      <c r="N36" s="280" t="str">
        <f>+_xlfn.CONCAT("M",N22,O36)</f>
        <v>M2,0511</v>
      </c>
      <c r="O36" s="280">
        <v>11</v>
      </c>
      <c r="P36" s="281">
        <f>+IFERROR(VLOOKUP(B36,INSUMOS!A:D,3,FALSE),"")</f>
        <v>23015.19</v>
      </c>
      <c r="Q36" s="282">
        <f t="shared" si="0"/>
        <v>51204.194711999997</v>
      </c>
    </row>
    <row r="37" spans="1:17" x14ac:dyDescent="0.3">
      <c r="C37" s="290"/>
      <c r="D37" s="290"/>
      <c r="E37" s="290"/>
      <c r="F37" s="278"/>
      <c r="G37" s="284"/>
      <c r="H37" s="284"/>
      <c r="I37" s="284"/>
      <c r="J37" s="284"/>
      <c r="K37" s="284"/>
      <c r="L37" s="312"/>
      <c r="N37" s="280"/>
      <c r="O37" s="280"/>
      <c r="P37" s="313"/>
      <c r="Q37" s="314"/>
    </row>
    <row r="38" spans="1:17" x14ac:dyDescent="0.3">
      <c r="C38" s="290"/>
      <c r="D38" s="290"/>
      <c r="E38" s="290"/>
      <c r="F38" s="278"/>
      <c r="G38" s="284"/>
      <c r="H38" s="284"/>
      <c r="I38" s="284"/>
      <c r="J38" s="284"/>
      <c r="K38" s="284"/>
      <c r="L38" s="312"/>
      <c r="N38" s="280"/>
      <c r="O38" s="280"/>
      <c r="P38" s="313"/>
      <c r="Q38" s="314"/>
    </row>
    <row r="39" spans="1:17" x14ac:dyDescent="0.3">
      <c r="C39" s="293"/>
      <c r="D39" s="293"/>
      <c r="E39" s="294"/>
      <c r="F39" s="278"/>
      <c r="G39" s="284"/>
      <c r="H39" s="284"/>
      <c r="I39" s="284"/>
      <c r="J39" s="284"/>
      <c r="K39" s="284"/>
      <c r="L39" s="312"/>
      <c r="N39" s="280"/>
      <c r="O39" s="280"/>
      <c r="P39" s="315" t="str">
        <f>+A4</f>
        <v>2,05</v>
      </c>
      <c r="Q39" s="314">
        <f>SUM(Q26:Q36)</f>
        <v>2733356.0003670002</v>
      </c>
    </row>
    <row r="40" spans="1:17" x14ac:dyDescent="0.3">
      <c r="C40" s="293"/>
      <c r="D40" s="293"/>
      <c r="E40" s="294"/>
      <c r="F40" s="316"/>
      <c r="G40" s="317"/>
      <c r="H40" s="317"/>
      <c r="I40" s="317"/>
      <c r="J40" s="296"/>
      <c r="K40" s="297"/>
      <c r="L40" s="302"/>
    </row>
    <row r="41" spans="1:17" x14ac:dyDescent="0.3">
      <c r="A41" s="299"/>
      <c r="B41" s="293"/>
      <c r="C41" s="293"/>
      <c r="D41" s="293"/>
      <c r="E41" s="294"/>
      <c r="F41" s="293"/>
      <c r="G41" s="300" t="str">
        <f>+'INF. GENERAL'!$B$19</f>
        <v>JAVIER JOSÉ ROSADO MENDINUETA</v>
      </c>
      <c r="H41" s="301"/>
      <c r="I41" s="301"/>
      <c r="J41" s="301"/>
      <c r="K41" s="297"/>
      <c r="L41" s="302"/>
    </row>
    <row r="42" spans="1:17" x14ac:dyDescent="0.3">
      <c r="A42" s="299"/>
      <c r="B42" s="293"/>
      <c r="C42" s="293"/>
      <c r="D42" s="293"/>
      <c r="E42" s="294"/>
      <c r="F42" s="293"/>
      <c r="G42" s="303" t="str">
        <f>+'INF. GENERAL'!$B$20</f>
        <v>PROFESIONAL APOYO</v>
      </c>
      <c r="H42" s="301"/>
      <c r="I42" s="301"/>
      <c r="J42" s="301"/>
      <c r="K42" s="297"/>
      <c r="L42" s="302"/>
    </row>
    <row r="43" spans="1:17" ht="15" thickBot="1" x14ac:dyDescent="0.35">
      <c r="A43" s="235" t="s">
        <v>37</v>
      </c>
      <c r="B43" s="236"/>
      <c r="C43" s="236"/>
      <c r="D43" s="236"/>
      <c r="E43" s="237"/>
      <c r="F43" s="236"/>
      <c r="G43" s="318" t="str">
        <f>+'INF. GENERAL'!$B$21</f>
        <v>MP: 08700-52350</v>
      </c>
      <c r="H43" s="319"/>
      <c r="I43" s="319"/>
      <c r="J43" s="319"/>
      <c r="K43" s="236"/>
      <c r="L43" s="304" t="s">
        <v>37</v>
      </c>
    </row>
  </sheetData>
  <mergeCells count="4">
    <mergeCell ref="G5:G6"/>
    <mergeCell ref="H5:K5"/>
    <mergeCell ref="L5:L6"/>
    <mergeCell ref="A6:F22"/>
  </mergeCells>
  <printOptions horizontalCentered="1"/>
  <pageMargins left="0.70866141732283472" right="0.70866141732283472" top="1.2204724409448819" bottom="0.74803149606299213" header="0.31496062992125984" footer="0.31496062992125984"/>
  <pageSetup scale="6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FD90EC-1424-41A6-9927-22ABAA1724E2}">
  <sheetPr codeName="Sheet4"/>
  <dimension ref="A1:R603"/>
  <sheetViews>
    <sheetView view="pageBreakPreview" topLeftCell="A7" zoomScale="115" zoomScaleNormal="100" zoomScaleSheetLayoutView="115" workbookViewId="0">
      <selection activeCell="H7" sqref="H7"/>
    </sheetView>
  </sheetViews>
  <sheetFormatPr baseColWidth="10" defaultColWidth="9.109375" defaultRowHeight="14.4" x14ac:dyDescent="0.3"/>
  <cols>
    <col min="1" max="1" width="27.88671875" customWidth="1"/>
    <col min="2" max="2" width="9.44140625" customWidth="1"/>
    <col min="3" max="3" width="12.33203125" customWidth="1"/>
    <col min="4" max="4" width="13" customWidth="1"/>
    <col min="5" max="5" width="12.33203125" customWidth="1"/>
    <col min="6" max="6" width="11.6640625" customWidth="1"/>
    <col min="7" max="7" width="11.6640625" style="227" customWidth="1"/>
    <col min="8" max="8" width="13.6640625" customWidth="1"/>
    <col min="9" max="9" width="13.6640625" style="52" customWidth="1"/>
    <col min="10" max="10" width="13.6640625" style="48" customWidth="1"/>
    <col min="11" max="11" width="8.88671875" style="48"/>
    <col min="12" max="12" width="15.6640625" style="48" bestFit="1" customWidth="1"/>
    <col min="13" max="13" width="14.109375" style="48" bestFit="1" customWidth="1"/>
    <col min="14" max="14" width="11" style="48" bestFit="1" customWidth="1"/>
    <col min="15" max="16" width="8.88671875" style="52"/>
    <col min="17" max="18" width="9.109375" style="52"/>
  </cols>
  <sheetData>
    <row r="1" spans="1:11" x14ac:dyDescent="0.3">
      <c r="A1" s="63" t="str">
        <f>+'INF. GENERAL'!$B$13</f>
        <v>REPUBLICA DE COLOMBIA</v>
      </c>
      <c r="B1" s="64"/>
      <c r="C1" s="64"/>
      <c r="D1" s="64"/>
      <c r="E1" s="64"/>
      <c r="F1" s="65"/>
      <c r="G1" s="337"/>
      <c r="H1" s="67"/>
    </row>
    <row r="2" spans="1:11" x14ac:dyDescent="0.3">
      <c r="A2" s="68" t="str">
        <f>+'INF. GENERAL'!$B$14</f>
        <v>FUNDACIÓN</v>
      </c>
      <c r="B2" s="69"/>
      <c r="C2" s="69"/>
      <c r="D2" s="69"/>
      <c r="E2" s="69"/>
      <c r="F2" s="70"/>
      <c r="G2" s="338"/>
      <c r="H2" s="72"/>
    </row>
    <row r="3" spans="1:11" ht="15" thickBot="1" x14ac:dyDescent="0.35">
      <c r="A3" s="73" t="str">
        <f>+'INF. GENERAL'!$B$15</f>
        <v>MAGDALENA</v>
      </c>
      <c r="B3" s="74"/>
      <c r="C3" s="74"/>
      <c r="D3" s="74"/>
      <c r="E3" s="74"/>
      <c r="F3" s="75"/>
      <c r="G3" s="338"/>
      <c r="H3" s="72"/>
    </row>
    <row r="4" spans="1:11" ht="28.2" thickBot="1" x14ac:dyDescent="0.35">
      <c r="A4" s="202" t="str">
        <f>+CONCATENATE('INF. GENERAL'!$A$4,'INF. GENERAL'!$B$4)</f>
        <v>OBJETO: ACTIVIDADES ADICIONALES A LA ADECUACIÓN DE LA CANCHA DE FÚTBOL (ID 2615), VEREDA COMUNIDAD CRISTALINA BAJA (ID 200), MUNICIPIO DE FUNDACION, MAGDALENA</v>
      </c>
      <c r="B4" s="203"/>
      <c r="C4" s="203"/>
      <c r="D4" s="203"/>
      <c r="E4" s="203"/>
      <c r="F4" s="204"/>
      <c r="G4" s="338"/>
      <c r="H4" s="72"/>
    </row>
    <row r="5" spans="1:11" ht="15" thickBot="1" x14ac:dyDescent="0.35">
      <c r="A5" s="76" t="s">
        <v>53</v>
      </c>
      <c r="B5" s="77"/>
      <c r="C5" s="77"/>
      <c r="D5" s="77"/>
      <c r="E5" s="77"/>
      <c r="F5" s="78"/>
      <c r="G5" s="339" t="s">
        <v>49</v>
      </c>
      <c r="H5" s="80">
        <f>+VLOOKUP(H7,PRESUPUESTO!$A$1:$F$973,6,FALSE)</f>
        <v>272</v>
      </c>
    </row>
    <row r="6" spans="1:11" x14ac:dyDescent="0.3">
      <c r="A6" s="81" t="s">
        <v>54</v>
      </c>
      <c r="B6" s="82" t="str">
        <f>VLOOKUP(H7,PRESUPUESTO!$A$3:$F$973,3,FALSE)</f>
        <v>PRELIMINARES</v>
      </c>
      <c r="C6" s="83"/>
      <c r="D6" s="83"/>
      <c r="E6" s="84" t="s">
        <v>55</v>
      </c>
      <c r="F6" s="85" t="str">
        <f>+VLOOKUP(H7,PRESUPUESTO!$A$1:$F$973,5,FALSE)</f>
        <v>ml</v>
      </c>
      <c r="G6" s="340" t="s">
        <v>56</v>
      </c>
      <c r="H6" s="87"/>
    </row>
    <row r="7" spans="1:11" ht="15" thickBot="1" x14ac:dyDescent="0.35">
      <c r="A7" s="88" t="s">
        <v>20</v>
      </c>
      <c r="B7" s="89" t="str">
        <f>+VLOOKUP(H7,PRESUPUESTO!$A$1:$F$973,4,FALSE)</f>
        <v>Cerramiento en lona verde incluye estructura</v>
      </c>
      <c r="C7" s="89"/>
      <c r="D7" s="89"/>
      <c r="E7" s="89"/>
      <c r="F7" s="89"/>
      <c r="G7" s="341" t="s">
        <v>18</v>
      </c>
      <c r="H7" s="194" t="s">
        <v>33</v>
      </c>
    </row>
    <row r="8" spans="1:11" ht="15" thickBot="1" x14ac:dyDescent="0.35">
      <c r="A8" s="91" t="s">
        <v>24</v>
      </c>
      <c r="B8" s="92"/>
      <c r="C8" s="92"/>
      <c r="D8" s="92"/>
      <c r="E8" s="93"/>
      <c r="F8" s="92"/>
      <c r="G8" s="342"/>
      <c r="H8" s="95"/>
    </row>
    <row r="9" spans="1:11" x14ac:dyDescent="0.3">
      <c r="A9" s="205" t="s">
        <v>57</v>
      </c>
      <c r="B9" s="216" t="s">
        <v>58</v>
      </c>
      <c r="C9" s="216" t="s">
        <v>59</v>
      </c>
      <c r="D9" s="216" t="s">
        <v>60</v>
      </c>
      <c r="E9" s="206" t="s">
        <v>61</v>
      </c>
      <c r="F9" s="207" t="s">
        <v>62</v>
      </c>
      <c r="G9" s="343" t="s">
        <v>63</v>
      </c>
      <c r="H9" s="209"/>
    </row>
    <row r="10" spans="1:11" x14ac:dyDescent="0.3">
      <c r="A10" s="96" t="s">
        <v>2286</v>
      </c>
      <c r="B10" s="96"/>
      <c r="C10" s="96"/>
      <c r="D10" s="97"/>
      <c r="E10" s="98"/>
      <c r="F10" s="99"/>
      <c r="G10" s="344">
        <f>1.0953*761.61795</f>
        <v>834.20014063499991</v>
      </c>
      <c r="H10" s="100"/>
    </row>
    <row r="11" spans="1:11" x14ac:dyDescent="0.3">
      <c r="A11" s="96" t="s">
        <v>2287</v>
      </c>
      <c r="B11" s="96"/>
      <c r="C11" s="96"/>
      <c r="D11" s="97"/>
      <c r="E11" s="98"/>
      <c r="F11" s="99"/>
      <c r="G11" s="344">
        <f>507.7453*1.0953</f>
        <v>556.13342708999994</v>
      </c>
      <c r="H11" s="100"/>
    </row>
    <row r="12" spans="1:11" x14ac:dyDescent="0.3">
      <c r="A12" s="96"/>
      <c r="B12" s="96"/>
      <c r="C12" s="96"/>
      <c r="D12" s="97"/>
      <c r="E12" s="98"/>
      <c r="F12" s="101"/>
      <c r="G12" s="345"/>
      <c r="H12" s="102"/>
    </row>
    <row r="13" spans="1:11" x14ac:dyDescent="0.3">
      <c r="A13" s="173"/>
      <c r="B13" s="173"/>
      <c r="C13" s="173"/>
      <c r="D13" s="174"/>
      <c r="E13" s="123"/>
      <c r="F13" s="175"/>
      <c r="G13" s="346"/>
      <c r="H13" s="103"/>
    </row>
    <row r="14" spans="1:11" x14ac:dyDescent="0.3">
      <c r="A14" s="104" t="s">
        <v>65</v>
      </c>
      <c r="B14" s="105"/>
      <c r="C14" s="105"/>
      <c r="D14" s="105"/>
      <c r="E14" s="105"/>
      <c r="F14" s="105"/>
      <c r="G14" s="347"/>
      <c r="H14" s="190">
        <f>SUM(G10:G13)</f>
        <v>1390.3335677249997</v>
      </c>
      <c r="J14" s="189" t="str">
        <f>+H7</f>
        <v>1.01</v>
      </c>
      <c r="K14" s="330">
        <f>+H14</f>
        <v>1390.3335677249997</v>
      </c>
    </row>
    <row r="15" spans="1:11" x14ac:dyDescent="0.3">
      <c r="A15" s="108" t="s">
        <v>25</v>
      </c>
      <c r="B15" s="109"/>
      <c r="C15" s="110"/>
      <c r="D15" s="110"/>
      <c r="E15" s="111"/>
      <c r="F15" s="109"/>
      <c r="G15" s="348"/>
      <c r="H15" s="113"/>
    </row>
    <row r="16" spans="1:11" x14ac:dyDescent="0.3">
      <c r="A16" s="210" t="s">
        <v>66</v>
      </c>
      <c r="B16" s="217" t="s">
        <v>67</v>
      </c>
      <c r="C16" s="216" t="s">
        <v>68</v>
      </c>
      <c r="D16" s="211" t="s">
        <v>69</v>
      </c>
      <c r="E16" s="212" t="s">
        <v>70</v>
      </c>
      <c r="F16" s="211" t="s">
        <v>49</v>
      </c>
      <c r="G16" s="349" t="s">
        <v>71</v>
      </c>
      <c r="H16" s="214"/>
    </row>
    <row r="17" spans="1:14" x14ac:dyDescent="0.3">
      <c r="A17" s="114" t="s">
        <v>599</v>
      </c>
      <c r="B17" s="115"/>
      <c r="C17" s="115"/>
      <c r="D17" s="121" t="str">
        <f>IFERROR(VLOOKUP(MATERIALES_1[[#This Row],[Descripcion]],INSUM_[#All],2,FALSE),"")</f>
        <v>Unidad</v>
      </c>
      <c r="E17" s="170">
        <f>IFERROR(VLOOKUP(MATERIALES_1[[#This Row],[Descripcion]],INSUM_[#All],3,FALSE),"")</f>
        <v>13755.21</v>
      </c>
      <c r="F17" s="116">
        <v>0.5</v>
      </c>
      <c r="G17" s="350">
        <f t="shared" ref="G17:G27" si="0">+IFERROR(E17*F17,"")</f>
        <v>6877.6049999999996</v>
      </c>
      <c r="H17" s="100"/>
      <c r="J17" s="48" t="str">
        <f>+_xlfn.CONCAT("M",J14,K17)</f>
        <v>M1.011</v>
      </c>
      <c r="K17" s="48">
        <v>1</v>
      </c>
      <c r="L17" s="197">
        <f>+IFERROR(G17*H5,"")</f>
        <v>1870708.5599999998</v>
      </c>
      <c r="M17" s="48" t="str">
        <f>+A17</f>
        <v>Guadua rolliza diámetro 10 cm x 3 m</v>
      </c>
      <c r="N17" s="332">
        <f>+F17</f>
        <v>0.5</v>
      </c>
    </row>
    <row r="18" spans="1:14" x14ac:dyDescent="0.3">
      <c r="A18" s="114" t="s">
        <v>1050</v>
      </c>
      <c r="B18" s="118"/>
      <c r="C18" s="118"/>
      <c r="D18" s="121" t="str">
        <f>IFERROR(VLOOKUP(MATERIALES_1[[#This Row],[Descripcion]],INSUM_[#All],2,FALSE),"")</f>
        <v>Metro Lineal</v>
      </c>
      <c r="E18" s="170">
        <f>IFERROR(VLOOKUP(MATERIALES_1[[#This Row],[Descripcion]],INSUM_[#All],3,FALSE),"")</f>
        <v>9322.89</v>
      </c>
      <c r="F18" s="116">
        <v>1.03</v>
      </c>
      <c r="G18" s="350">
        <f t="shared" si="0"/>
        <v>9602.5766999999996</v>
      </c>
      <c r="H18" s="102"/>
      <c r="J18" s="48" t="str">
        <f>+_xlfn.CONCAT("M",J14,K18)</f>
        <v>M1.012</v>
      </c>
      <c r="K18" s="48">
        <v>2</v>
      </c>
      <c r="L18" s="197">
        <f>+IFERROR(G18*H5,"")</f>
        <v>2611900.8624</v>
      </c>
      <c r="M18" s="48" t="str">
        <f t="shared" ref="M18:M27" si="1">+A18</f>
        <v>Tela plástica para cerramiento (polisombra) altura 2,10 m cualquier color</v>
      </c>
      <c r="N18" s="332">
        <f t="shared" ref="N18:N27" si="2">+F18</f>
        <v>1.03</v>
      </c>
    </row>
    <row r="19" spans="1:14" x14ac:dyDescent="0.3">
      <c r="A19" s="114"/>
      <c r="B19" s="118"/>
      <c r="C19" s="118"/>
      <c r="D19" s="121" t="str">
        <f>IFERROR(VLOOKUP(MATERIALES_1[[#This Row],[Descripcion]],INSUM_[#All],2,FALSE),"")</f>
        <v/>
      </c>
      <c r="E19" s="170" t="str">
        <f>IFERROR(VLOOKUP(MATERIALES_1[[#This Row],[Descripcion]],INSUM_[#All],3,FALSE),"")</f>
        <v/>
      </c>
      <c r="F19" s="116"/>
      <c r="G19" s="350" t="str">
        <f t="shared" si="0"/>
        <v/>
      </c>
      <c r="H19" s="102"/>
      <c r="J19" s="48" t="str">
        <f>+_xlfn.CONCAT("M",J14,K19)</f>
        <v>M1.013</v>
      </c>
      <c r="K19" s="48">
        <v>3</v>
      </c>
      <c r="L19" s="197" t="str">
        <f>+IFERROR(G19*H5,"")</f>
        <v/>
      </c>
      <c r="M19" s="48">
        <f t="shared" si="1"/>
        <v>0</v>
      </c>
      <c r="N19" s="332">
        <f t="shared" si="2"/>
        <v>0</v>
      </c>
    </row>
    <row r="20" spans="1:14" x14ac:dyDescent="0.3">
      <c r="A20" s="119"/>
      <c r="B20" s="120"/>
      <c r="C20" s="120"/>
      <c r="D20" s="121" t="str">
        <f>IFERROR(VLOOKUP(MATERIALES_1[[#This Row],[Descripcion]],INSUM_[#All],2,FALSE),"")</f>
        <v/>
      </c>
      <c r="E20" s="170" t="str">
        <f>IFERROR(VLOOKUP(MATERIALES_1[[#This Row],[Descripcion]],INSUM_[#All],3,FALSE),"")</f>
        <v/>
      </c>
      <c r="F20" s="121"/>
      <c r="G20" s="350" t="str">
        <f t="shared" si="0"/>
        <v/>
      </c>
      <c r="H20" s="102"/>
      <c r="J20" s="48" t="str">
        <f>+_xlfn.CONCAT("M",J14,K20)</f>
        <v>M1.014</v>
      </c>
      <c r="K20" s="48">
        <v>4</v>
      </c>
      <c r="L20" s="197" t="str">
        <f>+IFERROR(G20*H5,"")</f>
        <v/>
      </c>
      <c r="M20" s="48">
        <f t="shared" si="1"/>
        <v>0</v>
      </c>
      <c r="N20" s="332">
        <f t="shared" si="2"/>
        <v>0</v>
      </c>
    </row>
    <row r="21" spans="1:14" x14ac:dyDescent="0.3">
      <c r="A21" s="119"/>
      <c r="B21" s="120"/>
      <c r="C21" s="120"/>
      <c r="D21" s="121" t="str">
        <f>IFERROR(VLOOKUP(MATERIALES_1[[#This Row],[Descripcion]],INSUM_[#All],2,FALSE),"")</f>
        <v/>
      </c>
      <c r="E21" s="170" t="str">
        <f>IFERROR(VLOOKUP(MATERIALES_1[[#This Row],[Descripcion]],INSUM_[#All],3,FALSE),"")</f>
        <v/>
      </c>
      <c r="F21" s="121"/>
      <c r="G21" s="350" t="str">
        <f t="shared" si="0"/>
        <v/>
      </c>
      <c r="H21" s="102"/>
      <c r="J21" s="48" t="str">
        <f>+_xlfn.CONCAT("M",J14,K21)</f>
        <v>M1.015</v>
      </c>
      <c r="K21" s="48">
        <v>5</v>
      </c>
      <c r="L21" s="197" t="str">
        <f>+IFERROR(G21*H5,"")</f>
        <v/>
      </c>
      <c r="M21" s="48">
        <f t="shared" si="1"/>
        <v>0</v>
      </c>
      <c r="N21" s="332">
        <f t="shared" si="2"/>
        <v>0</v>
      </c>
    </row>
    <row r="22" spans="1:14" x14ac:dyDescent="0.3">
      <c r="A22" s="155"/>
      <c r="B22" s="118"/>
      <c r="C22" s="118"/>
      <c r="D22" s="121" t="str">
        <f>IFERROR(VLOOKUP(MATERIALES_1[[#This Row],[Descripcion]],INSUM_[#All],2,FALSE),"")</f>
        <v/>
      </c>
      <c r="E22" s="170" t="str">
        <f>IFERROR(VLOOKUP(MATERIALES_1[[#This Row],[Descripcion]],INSUM_[#All],3,FALSE),"")</f>
        <v/>
      </c>
      <c r="F22" s="116"/>
      <c r="G22" s="350" t="str">
        <f t="shared" si="0"/>
        <v/>
      </c>
      <c r="H22" s="102"/>
      <c r="J22" s="48" t="str">
        <f>+_xlfn.CONCAT("M",J14,K22)</f>
        <v>M1.016</v>
      </c>
      <c r="K22" s="48">
        <v>6</v>
      </c>
      <c r="L22" s="197" t="str">
        <f>+IFERROR(G22*H5,"")</f>
        <v/>
      </c>
      <c r="M22" s="48">
        <f t="shared" si="1"/>
        <v>0</v>
      </c>
      <c r="N22" s="332">
        <f t="shared" si="2"/>
        <v>0</v>
      </c>
    </row>
    <row r="23" spans="1:14" x14ac:dyDescent="0.3">
      <c r="A23" s="156"/>
      <c r="B23" s="120"/>
      <c r="C23" s="120"/>
      <c r="D23" s="121" t="str">
        <f>IFERROR(VLOOKUP(MATERIALES_1[[#This Row],[Descripcion]],INSUM_[#All],2,FALSE),"")</f>
        <v/>
      </c>
      <c r="E23" s="170" t="str">
        <f>IFERROR(VLOOKUP(MATERIALES_1[[#This Row],[Descripcion]],INSUM_[#All],3,FALSE),"")</f>
        <v/>
      </c>
      <c r="F23" s="121"/>
      <c r="G23" s="350" t="str">
        <f t="shared" si="0"/>
        <v/>
      </c>
      <c r="H23" s="102"/>
      <c r="J23" s="48" t="str">
        <f>+_xlfn.CONCAT("M",J14,K23)</f>
        <v>M1.017</v>
      </c>
      <c r="K23" s="48">
        <v>7</v>
      </c>
      <c r="L23" s="197" t="str">
        <f>+IFERROR(G23*H5,"")</f>
        <v/>
      </c>
      <c r="M23" s="48">
        <f t="shared" si="1"/>
        <v>0</v>
      </c>
      <c r="N23" s="332">
        <f t="shared" si="2"/>
        <v>0</v>
      </c>
    </row>
    <row r="24" spans="1:14" x14ac:dyDescent="0.3">
      <c r="A24" s="156"/>
      <c r="B24" s="120"/>
      <c r="C24" s="120"/>
      <c r="D24" s="121" t="str">
        <f>IFERROR(VLOOKUP(MATERIALES_1[[#This Row],[Descripcion]],INSUM_[#All],2,FALSE),"")</f>
        <v/>
      </c>
      <c r="E24" s="170" t="str">
        <f>IFERROR(VLOOKUP(MATERIALES_1[[#This Row],[Descripcion]],INSUM_[#All],3,FALSE),"")</f>
        <v/>
      </c>
      <c r="F24" s="121"/>
      <c r="G24" s="350" t="str">
        <f t="shared" si="0"/>
        <v/>
      </c>
      <c r="H24" s="102"/>
      <c r="J24" s="48" t="str">
        <f>+_xlfn.CONCAT("M",J14,K24)</f>
        <v>M1.018</v>
      </c>
      <c r="K24" s="48">
        <v>8</v>
      </c>
      <c r="L24" s="197" t="str">
        <f>+IFERROR(G24*H5,"")</f>
        <v/>
      </c>
      <c r="M24" s="48">
        <f t="shared" si="1"/>
        <v>0</v>
      </c>
      <c r="N24" s="332">
        <f t="shared" si="2"/>
        <v>0</v>
      </c>
    </row>
    <row r="25" spans="1:14" x14ac:dyDescent="0.3">
      <c r="A25" s="156"/>
      <c r="B25" s="120"/>
      <c r="C25" s="120"/>
      <c r="D25" s="121" t="str">
        <f>IFERROR(VLOOKUP(MATERIALES_1[[#This Row],[Descripcion]],INSUM_[#All],2,FALSE),"")</f>
        <v/>
      </c>
      <c r="E25" s="170" t="str">
        <f>IFERROR(VLOOKUP(MATERIALES_1[[#This Row],[Descripcion]],INSUM_[#All],3,FALSE),"")</f>
        <v/>
      </c>
      <c r="F25" s="121"/>
      <c r="G25" s="350" t="str">
        <f t="shared" si="0"/>
        <v/>
      </c>
      <c r="H25" s="102"/>
      <c r="J25" s="48" t="str">
        <f>+_xlfn.CONCAT("M",J14,K25)</f>
        <v>M1.019</v>
      </c>
      <c r="K25" s="48">
        <v>9</v>
      </c>
      <c r="L25" s="197" t="str">
        <f>+IFERROR(G25*H5,"")</f>
        <v/>
      </c>
      <c r="M25" s="48">
        <f t="shared" si="1"/>
        <v>0</v>
      </c>
      <c r="N25" s="332">
        <f t="shared" si="2"/>
        <v>0</v>
      </c>
    </row>
    <row r="26" spans="1:14" x14ac:dyDescent="0.3">
      <c r="A26" s="156"/>
      <c r="B26" s="120"/>
      <c r="C26" s="120"/>
      <c r="D26" s="121" t="str">
        <f>IFERROR(VLOOKUP(MATERIALES_1[[#This Row],[Descripcion]],INSUM_[#All],2,FALSE),"")</f>
        <v/>
      </c>
      <c r="E26" s="170" t="str">
        <f>IFERROR(VLOOKUP(MATERIALES_1[[#This Row],[Descripcion]],INSUM_[#All],3,FALSE),"")</f>
        <v/>
      </c>
      <c r="F26" s="121"/>
      <c r="G26" s="350" t="str">
        <f t="shared" si="0"/>
        <v/>
      </c>
      <c r="H26" s="102"/>
      <c r="J26" s="48" t="str">
        <f>+_xlfn.CONCAT("M",J14,K26)</f>
        <v>M1.0110</v>
      </c>
      <c r="K26" s="48">
        <v>10</v>
      </c>
      <c r="L26" s="197" t="str">
        <f>+IFERROR(G26*H5,"")</f>
        <v/>
      </c>
      <c r="M26" s="48">
        <f t="shared" si="1"/>
        <v>0</v>
      </c>
      <c r="N26" s="332">
        <f t="shared" si="2"/>
        <v>0</v>
      </c>
    </row>
    <row r="27" spans="1:14" x14ac:dyDescent="0.3">
      <c r="A27" s="156"/>
      <c r="B27" s="120"/>
      <c r="C27" s="120"/>
      <c r="D27" s="121" t="str">
        <f>IFERROR(VLOOKUP(MATERIALES_1[[#This Row],[Descripcion]],INSUM_[#All],2,FALSE),"")</f>
        <v/>
      </c>
      <c r="E27" s="170" t="str">
        <f>IFERROR(VLOOKUP(MATERIALES_1[[#This Row],[Descripcion]],INSUM_[#All],3,FALSE),"")</f>
        <v/>
      </c>
      <c r="F27" s="121"/>
      <c r="G27" s="350" t="str">
        <f t="shared" si="0"/>
        <v/>
      </c>
      <c r="H27" s="102"/>
      <c r="J27" s="48" t="str">
        <f>+_xlfn.CONCAT("M",J14,K27)</f>
        <v>M1.0111</v>
      </c>
      <c r="K27" s="48">
        <v>11</v>
      </c>
      <c r="L27" s="197" t="str">
        <f>+IFERROR(G27*H5,"")</f>
        <v/>
      </c>
      <c r="M27" s="48">
        <f t="shared" si="1"/>
        <v>0</v>
      </c>
      <c r="N27" s="332">
        <f t="shared" si="2"/>
        <v>0</v>
      </c>
    </row>
    <row r="28" spans="1:14" x14ac:dyDescent="0.3">
      <c r="A28" s="104" t="s">
        <v>81</v>
      </c>
      <c r="B28" s="105"/>
      <c r="C28" s="105"/>
      <c r="D28" s="105"/>
      <c r="E28" s="105"/>
      <c r="F28" s="105"/>
      <c r="G28" s="347"/>
      <c r="H28" s="190">
        <f>SUM(G17:G27)</f>
        <v>16480.181700000001</v>
      </c>
      <c r="K28" s="189" t="str">
        <f>+H7</f>
        <v>1.01</v>
      </c>
      <c r="L28" s="169">
        <f>SUM(L17:L27)</f>
        <v>4482609.4223999996</v>
      </c>
      <c r="M28" s="334">
        <f>+TR1.1</f>
        <v>16480.181700000001</v>
      </c>
    </row>
    <row r="29" spans="1:14" x14ac:dyDescent="0.3">
      <c r="A29" s="91" t="s">
        <v>26</v>
      </c>
      <c r="B29" s="124"/>
      <c r="C29" s="125"/>
      <c r="D29" s="125"/>
      <c r="E29" s="126"/>
      <c r="F29" s="124"/>
      <c r="G29" s="351"/>
      <c r="H29" s="113"/>
    </row>
    <row r="30" spans="1:14" x14ac:dyDescent="0.3">
      <c r="A30" s="205" t="s">
        <v>57</v>
      </c>
      <c r="B30" s="217" t="s">
        <v>67</v>
      </c>
      <c r="C30" s="211" t="s">
        <v>82</v>
      </c>
      <c r="D30" s="211" t="s">
        <v>83</v>
      </c>
      <c r="E30" s="212" t="s">
        <v>61</v>
      </c>
      <c r="F30" s="207" t="s">
        <v>49</v>
      </c>
      <c r="G30" s="343" t="s">
        <v>71</v>
      </c>
      <c r="H30" s="215"/>
    </row>
    <row r="31" spans="1:14" x14ac:dyDescent="0.3">
      <c r="A31" s="155" t="s">
        <v>2285</v>
      </c>
      <c r="B31" s="115"/>
      <c r="C31" s="115">
        <v>1</v>
      </c>
      <c r="D31" s="127">
        <v>1</v>
      </c>
      <c r="E31" s="98">
        <f t="shared" ref="E31" si="3">1.0953*500</f>
        <v>547.65</v>
      </c>
      <c r="F31" s="128">
        <v>1</v>
      </c>
      <c r="G31" s="345">
        <f>E31*F31*D31</f>
        <v>547.65</v>
      </c>
      <c r="H31" s="102"/>
    </row>
    <row r="32" spans="1:14" x14ac:dyDescent="0.3">
      <c r="A32" s="156"/>
      <c r="B32" s="178"/>
      <c r="C32" s="178"/>
      <c r="D32" s="122"/>
      <c r="E32" s="123"/>
      <c r="F32" s="179"/>
      <c r="G32" s="346">
        <f>E32*F32*D32</f>
        <v>0</v>
      </c>
      <c r="H32" s="102"/>
    </row>
    <row r="33" spans="1:14" x14ac:dyDescent="0.3">
      <c r="A33" s="104" t="s">
        <v>84</v>
      </c>
      <c r="B33" s="105"/>
      <c r="C33" s="105"/>
      <c r="D33" s="105"/>
      <c r="E33" s="105"/>
      <c r="F33" s="105"/>
      <c r="G33" s="347"/>
      <c r="H33" s="107">
        <f>G31+G32</f>
        <v>547.65</v>
      </c>
      <c r="L33" s="189" t="str">
        <f>+H7</f>
        <v>1.01</v>
      </c>
      <c r="M33" s="48">
        <f>+MO1.1</f>
        <v>547.65</v>
      </c>
    </row>
    <row r="34" spans="1:14" x14ac:dyDescent="0.3">
      <c r="A34" s="130" t="s">
        <v>85</v>
      </c>
      <c r="B34" s="124"/>
      <c r="C34" s="124"/>
      <c r="D34" s="125"/>
      <c r="E34" s="126"/>
      <c r="F34" s="124"/>
      <c r="G34" s="351"/>
      <c r="H34" s="113"/>
    </row>
    <row r="35" spans="1:14" x14ac:dyDescent="0.3">
      <c r="A35" s="218" t="s">
        <v>57</v>
      </c>
      <c r="B35" s="211" t="s">
        <v>86</v>
      </c>
      <c r="C35" s="211" t="s">
        <v>87</v>
      </c>
      <c r="D35" s="211" t="s">
        <v>88</v>
      </c>
      <c r="E35" s="212" t="s">
        <v>89</v>
      </c>
      <c r="F35" s="207" t="s">
        <v>62</v>
      </c>
      <c r="G35" s="343" t="s">
        <v>63</v>
      </c>
      <c r="H35" s="215"/>
    </row>
    <row r="36" spans="1:14" x14ac:dyDescent="0.3">
      <c r="A36" s="181" t="s">
        <v>90</v>
      </c>
      <c r="B36" s="129">
        <v>1</v>
      </c>
      <c r="C36" s="131">
        <f>1.0953*1800000/30</f>
        <v>65718</v>
      </c>
      <c r="D36" s="132">
        <v>1.75</v>
      </c>
      <c r="E36" s="133">
        <f>B36*C36*(D36)</f>
        <v>115006.5</v>
      </c>
      <c r="F36" s="134">
        <v>3.428571428571428E-2</v>
      </c>
      <c r="G36" s="350">
        <f>E36*F36</f>
        <v>3943.0799999999995</v>
      </c>
      <c r="H36" s="100"/>
    </row>
    <row r="37" spans="1:14" x14ac:dyDescent="0.3">
      <c r="A37" s="183" t="s">
        <v>91</v>
      </c>
      <c r="B37" s="122">
        <v>1</v>
      </c>
      <c r="C37" s="184">
        <f>1.0953*2600000/30</f>
        <v>94926</v>
      </c>
      <c r="D37" s="185">
        <v>1.68</v>
      </c>
      <c r="E37" s="186">
        <f>B37*C37*(D37)</f>
        <v>159475.68</v>
      </c>
      <c r="F37" s="187">
        <f>+F36</f>
        <v>3.428571428571428E-2</v>
      </c>
      <c r="G37" s="352">
        <f>E37*F37</f>
        <v>5467.7375999999986</v>
      </c>
      <c r="H37" s="102"/>
    </row>
    <row r="38" spans="1:14" x14ac:dyDescent="0.3">
      <c r="A38" s="135" t="s">
        <v>92</v>
      </c>
      <c r="B38" s="136"/>
      <c r="C38" s="136"/>
      <c r="D38" s="136"/>
      <c r="E38" s="136"/>
      <c r="F38" s="136"/>
      <c r="G38" s="353"/>
      <c r="H38" s="190">
        <f>SUM(G36:G37)</f>
        <v>9410.8175999999985</v>
      </c>
      <c r="M38" s="189" t="str">
        <f>+H7</f>
        <v>1.01</v>
      </c>
      <c r="N38" s="330">
        <f>+H38</f>
        <v>9410.8175999999985</v>
      </c>
    </row>
    <row r="39" spans="1:14" x14ac:dyDescent="0.3">
      <c r="A39" s="130" t="s">
        <v>93</v>
      </c>
      <c r="B39" s="138"/>
      <c r="C39" s="138"/>
      <c r="D39" s="138"/>
      <c r="E39" s="138"/>
      <c r="F39" s="138"/>
      <c r="G39" s="354"/>
      <c r="H39" s="139"/>
    </row>
    <row r="40" spans="1:14" x14ac:dyDescent="0.3">
      <c r="A40" s="219" t="s">
        <v>94</v>
      </c>
      <c r="B40" s="220"/>
      <c r="C40" s="220"/>
      <c r="D40" s="220"/>
      <c r="E40" s="220"/>
      <c r="F40" s="220"/>
      <c r="G40" s="355"/>
      <c r="H40" s="222">
        <f>H38+H33+H28+H14</f>
        <v>27828.982867724997</v>
      </c>
    </row>
    <row r="41" spans="1:14" x14ac:dyDescent="0.3">
      <c r="A41" s="140"/>
      <c r="B41" s="92"/>
      <c r="C41" s="141"/>
      <c r="D41" s="141"/>
      <c r="E41" s="93"/>
      <c r="F41" s="92"/>
      <c r="G41" s="356"/>
      <c r="H41" s="142"/>
    </row>
    <row r="42" spans="1:14" x14ac:dyDescent="0.3">
      <c r="A42" s="140"/>
      <c r="B42" s="92"/>
      <c r="C42" s="141"/>
      <c r="D42" s="143" t="s">
        <v>95</v>
      </c>
      <c r="E42" s="144"/>
      <c r="F42" s="144"/>
      <c r="G42" s="357"/>
      <c r="H42" s="146">
        <f>H40</f>
        <v>27828.982867724997</v>
      </c>
    </row>
    <row r="43" spans="1:14" x14ac:dyDescent="0.3">
      <c r="A43" s="140"/>
      <c r="B43" s="92"/>
      <c r="C43" s="141"/>
      <c r="D43" s="141"/>
      <c r="E43" s="93"/>
      <c r="F43" s="92"/>
      <c r="G43" s="356"/>
      <c r="H43" s="139"/>
    </row>
    <row r="44" spans="1:14" x14ac:dyDescent="0.3">
      <c r="A44" s="147" t="s">
        <v>96</v>
      </c>
      <c r="B44" s="92"/>
      <c r="C44" s="141"/>
      <c r="D44" s="141"/>
      <c r="E44" s="93"/>
      <c r="F44" s="92"/>
      <c r="G44" s="356"/>
      <c r="H44" s="139"/>
    </row>
    <row r="45" spans="1:14" x14ac:dyDescent="0.3">
      <c r="A45" s="148"/>
      <c r="B45" s="124"/>
      <c r="C45" s="125"/>
      <c r="D45" s="141"/>
      <c r="E45" s="157" t="s">
        <v>97</v>
      </c>
      <c r="F45" s="157"/>
      <c r="G45" s="358"/>
      <c r="H45" s="139"/>
    </row>
    <row r="46" spans="1:14" x14ac:dyDescent="0.3">
      <c r="A46" s="148"/>
      <c r="B46" s="124"/>
      <c r="C46" s="125"/>
      <c r="D46" s="141"/>
      <c r="E46" s="149" t="str">
        <f>IF('INF. GENERAL'!$B$19=0," ",'INF. GENERAL'!$B$19)</f>
        <v>JAVIER JOSÉ ROSADO MENDINUETA</v>
      </c>
      <c r="F46" s="150"/>
      <c r="G46" s="359"/>
      <c r="H46" s="139"/>
    </row>
    <row r="47" spans="1:14" x14ac:dyDescent="0.3">
      <c r="A47" s="148"/>
      <c r="B47" s="124"/>
      <c r="C47" s="125"/>
      <c r="D47" s="141"/>
      <c r="E47" s="160" t="str">
        <f>IF('INF. GENERAL'!$B$20=0," ",'INF. GENERAL'!$B$20)</f>
        <v>PROFESIONAL APOYO</v>
      </c>
      <c r="F47" s="158"/>
      <c r="G47" s="360"/>
      <c r="H47" s="139"/>
    </row>
    <row r="48" spans="1:14" x14ac:dyDescent="0.3">
      <c r="A48" s="148"/>
      <c r="B48" s="124"/>
      <c r="C48" s="125"/>
      <c r="D48" s="141"/>
      <c r="E48" s="160" t="str">
        <f>IF('INF. GENERAL'!$B$18=0," ",'INF. GENERAL'!$B$18)</f>
        <v>ALCALDÍA MUNICIPAL DE FUNDACIÓN - MAGDALENA</v>
      </c>
      <c r="F48" s="159"/>
      <c r="G48" s="361"/>
      <c r="H48" s="139"/>
    </row>
    <row r="49" spans="1:13" x14ac:dyDescent="0.3">
      <c r="A49" s="140"/>
      <c r="B49" s="92"/>
      <c r="C49" s="141"/>
      <c r="D49" s="141"/>
      <c r="E49" s="154" t="str">
        <f>IF('INF. GENERAL'!$B$21=0," ",'INF. GENERAL'!$B$21)</f>
        <v>MP: 08700-52350</v>
      </c>
      <c r="F49" s="152"/>
      <c r="G49" s="362"/>
      <c r="H49" s="139"/>
    </row>
    <row r="50" spans="1:13" ht="15" thickBot="1" x14ac:dyDescent="0.35">
      <c r="A50" s="164" t="s">
        <v>37</v>
      </c>
      <c r="B50" s="165"/>
      <c r="C50" s="166"/>
      <c r="D50" s="166"/>
      <c r="E50" s="167"/>
      <c r="F50" s="167"/>
      <c r="G50" s="363"/>
      <c r="H50" s="168" t="s">
        <v>37</v>
      </c>
    </row>
    <row r="51" spans="1:13" x14ac:dyDescent="0.3">
      <c r="A51" s="63" t="str">
        <f>+'INF. GENERAL'!$B$13</f>
        <v>REPUBLICA DE COLOMBIA</v>
      </c>
      <c r="B51" s="64"/>
      <c r="C51" s="64"/>
      <c r="D51" s="64"/>
      <c r="E51" s="64"/>
      <c r="F51" s="65"/>
      <c r="G51" s="337"/>
      <c r="H51" s="67"/>
      <c r="I51" s="329"/>
      <c r="J51" s="195"/>
      <c r="K51" s="195"/>
      <c r="L51" s="195"/>
      <c r="M51" s="195"/>
    </row>
    <row r="52" spans="1:13" x14ac:dyDescent="0.3">
      <c r="A52" s="68" t="str">
        <f>+'INF. GENERAL'!$B$14</f>
        <v>FUNDACIÓN</v>
      </c>
      <c r="B52" s="69"/>
      <c r="C52" s="69"/>
      <c r="D52" s="69"/>
      <c r="E52" s="69"/>
      <c r="F52" s="70"/>
      <c r="G52" s="338"/>
      <c r="H52" s="72"/>
      <c r="I52" s="329"/>
      <c r="J52" s="195"/>
      <c r="K52" s="195"/>
      <c r="L52" s="195"/>
      <c r="M52" s="195"/>
    </row>
    <row r="53" spans="1:13" ht="15" thickBot="1" x14ac:dyDescent="0.35">
      <c r="A53" s="73" t="str">
        <f>+'INF. GENERAL'!$B$15</f>
        <v>MAGDALENA</v>
      </c>
      <c r="B53" s="74"/>
      <c r="C53" s="74"/>
      <c r="D53" s="74"/>
      <c r="E53" s="74"/>
      <c r="F53" s="75"/>
      <c r="G53" s="338"/>
      <c r="H53" s="72"/>
      <c r="I53" s="329"/>
      <c r="J53" s="195"/>
      <c r="K53" s="195"/>
      <c r="L53" s="195"/>
      <c r="M53" s="195"/>
    </row>
    <row r="54" spans="1:13" ht="28.2" thickBot="1" x14ac:dyDescent="0.35">
      <c r="A54" s="202" t="str">
        <f>+CONCATENATE('INF. GENERAL'!$A$4,'INF. GENERAL'!$B$4)</f>
        <v>OBJETO: ACTIVIDADES ADICIONALES A LA ADECUACIÓN DE LA CANCHA DE FÚTBOL (ID 2615), VEREDA COMUNIDAD CRISTALINA BAJA (ID 200), MUNICIPIO DE FUNDACION, MAGDALENA</v>
      </c>
      <c r="B54" s="203"/>
      <c r="C54" s="203"/>
      <c r="D54" s="203"/>
      <c r="E54" s="203"/>
      <c r="F54" s="204"/>
      <c r="G54" s="338"/>
      <c r="H54" s="72"/>
      <c r="I54" s="329"/>
      <c r="J54" s="195"/>
      <c r="K54" s="195"/>
      <c r="L54" s="195"/>
      <c r="M54" s="195"/>
    </row>
    <row r="55" spans="1:13" ht="15" thickBot="1" x14ac:dyDescent="0.35">
      <c r="A55" s="76" t="s">
        <v>53</v>
      </c>
      <c r="B55" s="77"/>
      <c r="C55" s="77"/>
      <c r="D55" s="77"/>
      <c r="E55" s="77"/>
      <c r="F55" s="78"/>
      <c r="G55" s="339" t="s">
        <v>49</v>
      </c>
      <c r="H55" s="80">
        <f>+VLOOKUP(H57,PRESUPUESTO!$A$1:$F$973,6,FALSE)</f>
        <v>292.39999999999998</v>
      </c>
      <c r="I55" s="329"/>
      <c r="J55" s="195"/>
      <c r="K55" s="195"/>
      <c r="L55" s="195"/>
      <c r="M55" s="195"/>
    </row>
    <row r="56" spans="1:13" x14ac:dyDescent="0.3">
      <c r="A56" s="81" t="s">
        <v>54</v>
      </c>
      <c r="B56" s="82" t="str">
        <f>VLOOKUP(H57,PRESUPUESTO!$A$3:$F$973,3,FALSE)</f>
        <v>PRELIMINARES</v>
      </c>
      <c r="C56" s="83"/>
      <c r="D56" s="83"/>
      <c r="E56" s="84" t="s">
        <v>55</v>
      </c>
      <c r="F56" s="85" t="str">
        <f>+VLOOKUP(H57,PRESUPUESTO!$A$1:$F$973,5,FALSE)</f>
        <v>m2</v>
      </c>
      <c r="G56" s="340" t="s">
        <v>56</v>
      </c>
      <c r="H56" s="87"/>
      <c r="I56" s="329"/>
      <c r="J56" s="195"/>
      <c r="K56" s="195"/>
      <c r="L56" s="195"/>
      <c r="M56" s="195"/>
    </row>
    <row r="57" spans="1:13" ht="15" thickBot="1" x14ac:dyDescent="0.35">
      <c r="A57" s="88" t="s">
        <v>20</v>
      </c>
      <c r="B57" s="89" t="str">
        <f>+VLOOKUP(H57,PRESUPUESTO!$A$1:$F$973,4,FALSE)</f>
        <v>Trazado y replanteo</v>
      </c>
      <c r="C57" s="89"/>
      <c r="D57" s="89"/>
      <c r="E57" s="89"/>
      <c r="F57" s="89"/>
      <c r="G57" s="341" t="s">
        <v>18</v>
      </c>
      <c r="H57" s="194" t="s">
        <v>36</v>
      </c>
      <c r="I57" s="329"/>
      <c r="J57" s="195"/>
      <c r="K57" s="195"/>
      <c r="L57" s="195"/>
      <c r="M57" s="195"/>
    </row>
    <row r="58" spans="1:13" ht="15" thickBot="1" x14ac:dyDescent="0.35">
      <c r="A58" s="91" t="s">
        <v>24</v>
      </c>
      <c r="B58" s="92"/>
      <c r="C58" s="92"/>
      <c r="D58" s="92"/>
      <c r="E58" s="93"/>
      <c r="F58" s="92"/>
      <c r="G58" s="342"/>
      <c r="H58" s="95"/>
      <c r="I58" s="329"/>
      <c r="J58" s="195"/>
      <c r="K58" s="195"/>
      <c r="L58" s="195"/>
      <c r="M58" s="195"/>
    </row>
    <row r="59" spans="1:13" x14ac:dyDescent="0.3">
      <c r="A59" s="205" t="s">
        <v>57</v>
      </c>
      <c r="B59" s="216" t="s">
        <v>58</v>
      </c>
      <c r="C59" s="216" t="s">
        <v>59</v>
      </c>
      <c r="D59" s="216" t="s">
        <v>60</v>
      </c>
      <c r="E59" s="206" t="s">
        <v>61</v>
      </c>
      <c r="F59" s="207" t="s">
        <v>62</v>
      </c>
      <c r="G59" s="343" t="s">
        <v>63</v>
      </c>
      <c r="H59" s="209"/>
      <c r="I59" s="329"/>
      <c r="J59" s="195"/>
      <c r="K59" s="195"/>
      <c r="L59" s="195"/>
      <c r="M59" s="195"/>
    </row>
    <row r="60" spans="1:13" x14ac:dyDescent="0.3">
      <c r="A60" s="96" t="s">
        <v>2286</v>
      </c>
      <c r="B60" s="96"/>
      <c r="C60" s="96"/>
      <c r="D60" s="97"/>
      <c r="E60" s="98"/>
      <c r="F60" s="99"/>
      <c r="G60" s="344">
        <f>1.0953*231.341325</f>
        <v>253.38815327250001</v>
      </c>
      <c r="H60" s="100"/>
      <c r="I60" s="329"/>
      <c r="J60" s="195"/>
      <c r="K60" s="195"/>
      <c r="L60" s="195"/>
      <c r="M60" s="195"/>
    </row>
    <row r="61" spans="1:13" x14ac:dyDescent="0.3">
      <c r="A61" s="96" t="s">
        <v>2287</v>
      </c>
      <c r="B61" s="96"/>
      <c r="C61" s="96"/>
      <c r="D61" s="97"/>
      <c r="E61" s="98"/>
      <c r="F61" s="99"/>
      <c r="G61" s="344">
        <f>1.0953*771.13775</f>
        <v>844.62717757499991</v>
      </c>
      <c r="H61" s="100"/>
      <c r="I61" s="329"/>
      <c r="J61" s="195"/>
      <c r="K61" s="195"/>
      <c r="L61" s="195"/>
      <c r="M61" s="195"/>
    </row>
    <row r="62" spans="1:13" x14ac:dyDescent="0.3">
      <c r="A62" s="96"/>
      <c r="B62" s="96"/>
      <c r="C62" s="96"/>
      <c r="D62" s="97"/>
      <c r="E62" s="98"/>
      <c r="F62" s="101"/>
      <c r="G62" s="345"/>
      <c r="H62" s="102"/>
      <c r="I62" s="329"/>
      <c r="J62" s="195"/>
      <c r="K62" s="195"/>
      <c r="L62" s="195"/>
      <c r="M62" s="195"/>
    </row>
    <row r="63" spans="1:13" x14ac:dyDescent="0.3">
      <c r="A63" s="173"/>
      <c r="B63" s="173"/>
      <c r="C63" s="173"/>
      <c r="D63" s="174"/>
      <c r="E63" s="123"/>
      <c r="F63" s="175"/>
      <c r="G63" s="346"/>
      <c r="H63" s="103"/>
      <c r="I63" s="329"/>
      <c r="J63" s="195"/>
      <c r="K63" s="195"/>
      <c r="L63" s="195"/>
      <c r="M63" s="195"/>
    </row>
    <row r="64" spans="1:13" x14ac:dyDescent="0.3">
      <c r="A64" s="104" t="s">
        <v>65</v>
      </c>
      <c r="B64" s="105"/>
      <c r="C64" s="105"/>
      <c r="D64" s="105"/>
      <c r="E64" s="105"/>
      <c r="F64" s="105"/>
      <c r="G64" s="347"/>
      <c r="H64" s="190">
        <f>SUM(G60:G63)</f>
        <v>1098.0153308474999</v>
      </c>
      <c r="I64" s="329"/>
      <c r="J64" s="196" t="str">
        <f>+H57</f>
        <v>1.02</v>
      </c>
      <c r="K64" s="330">
        <f>+H64</f>
        <v>1098.0153308474999</v>
      </c>
      <c r="L64" s="195"/>
      <c r="M64" s="195"/>
    </row>
    <row r="65" spans="1:14" x14ac:dyDescent="0.3">
      <c r="A65" s="108" t="s">
        <v>25</v>
      </c>
      <c r="B65" s="109"/>
      <c r="C65" s="110"/>
      <c r="D65" s="110"/>
      <c r="E65" s="111"/>
      <c r="F65" s="109"/>
      <c r="G65" s="348"/>
      <c r="H65" s="113"/>
      <c r="I65" s="329"/>
      <c r="J65" s="195"/>
      <c r="K65" s="195"/>
      <c r="L65" s="195"/>
      <c r="M65" s="195"/>
    </row>
    <row r="66" spans="1:14" x14ac:dyDescent="0.3">
      <c r="A66" s="210" t="s">
        <v>66</v>
      </c>
      <c r="B66" s="217" t="s">
        <v>67</v>
      </c>
      <c r="C66" s="216" t="s">
        <v>68</v>
      </c>
      <c r="D66" s="211" t="s">
        <v>69</v>
      </c>
      <c r="E66" s="212" t="s">
        <v>70</v>
      </c>
      <c r="F66" s="211" t="s">
        <v>49</v>
      </c>
      <c r="G66" s="349" t="s">
        <v>71</v>
      </c>
      <c r="H66" s="214"/>
      <c r="I66" s="329"/>
      <c r="J66" s="195"/>
      <c r="K66" s="195"/>
      <c r="L66" s="195"/>
      <c r="M66" s="195"/>
    </row>
    <row r="67" spans="1:14" x14ac:dyDescent="0.3">
      <c r="A67" s="114" t="s">
        <v>72</v>
      </c>
      <c r="B67" s="115"/>
      <c r="C67" s="115"/>
      <c r="D67" s="121" t="str">
        <f>IFERROR(VLOOKUP(MATERIALES_03522[[#This Row],[Descripcion]],INSUM_[#All],2,FALSE),"")</f>
        <v>Unidad</v>
      </c>
      <c r="E67" s="170">
        <f>IFERROR(VLOOKUP(MATERIALES_03522[[#This Row],[Descripcion]],INSUM_[#All],3,FALSE),"")</f>
        <v>10330.58</v>
      </c>
      <c r="F67" s="116">
        <v>0.02</v>
      </c>
      <c r="G67" s="350">
        <f t="shared" ref="G67:G77" si="4">+IFERROR(E67*F67,"")</f>
        <v>206.61160000000001</v>
      </c>
      <c r="H67" s="100"/>
      <c r="I67" s="329"/>
      <c r="J67" s="195" t="str">
        <f>+_xlfn.CONCAT("M",J64,K67)</f>
        <v>M1.021</v>
      </c>
      <c r="K67" s="195">
        <v>1</v>
      </c>
      <c r="L67" s="197">
        <f>+IFERROR(G67*H55,"")</f>
        <v>60413.23184</v>
      </c>
      <c r="M67" s="48" t="str">
        <f>+A67</f>
        <v>Puntilla con cabeza de 2" caja x 500 gr</v>
      </c>
      <c r="N67" s="332">
        <f>+F67</f>
        <v>0.02</v>
      </c>
    </row>
    <row r="68" spans="1:14" x14ac:dyDescent="0.3">
      <c r="A68" s="114" t="s">
        <v>73</v>
      </c>
      <c r="B68" s="118"/>
      <c r="C68" s="118"/>
      <c r="D68" s="121" t="str">
        <f>IFERROR(VLOOKUP(MATERIALES_03522[[#This Row],[Descripcion]],INSUM_[#All],2,FALSE),"")</f>
        <v>Unidad</v>
      </c>
      <c r="E68" s="170">
        <f>IFERROR(VLOOKUP(MATERIALES_03522[[#This Row],[Descripcion]],INSUM_[#All],3,FALSE),"")</f>
        <v>12315.93</v>
      </c>
      <c r="F68" s="116">
        <v>0.1</v>
      </c>
      <c r="G68" s="350">
        <f t="shared" si="4"/>
        <v>1231.5930000000001</v>
      </c>
      <c r="H68" s="102"/>
      <c r="I68" s="329"/>
      <c r="J68" s="195" t="str">
        <f>+_xlfn.CONCAT("M",J64,K68)</f>
        <v>M1.022</v>
      </c>
      <c r="K68" s="195">
        <v>2</v>
      </c>
      <c r="L68" s="197">
        <f>+IFERROR(G68*H55,"")</f>
        <v>360117.79320000001</v>
      </c>
      <c r="M68" s="48" t="str">
        <f t="shared" ref="M68:M77" si="5">+A68</f>
        <v>Estacas en madera entre 0,5 y 1,0 metro</v>
      </c>
      <c r="N68" s="332">
        <f t="shared" ref="N68:N77" si="6">+F68</f>
        <v>0.1</v>
      </c>
    </row>
    <row r="69" spans="1:14" x14ac:dyDescent="0.3">
      <c r="A69" s="114" t="s">
        <v>74</v>
      </c>
      <c r="B69" s="118"/>
      <c r="C69" s="118"/>
      <c r="D69" s="121" t="str">
        <f>IFERROR(VLOOKUP(MATERIALES_03522[[#This Row],[Descripcion]],INSUM_[#All],2,FALSE),"")</f>
        <v>Metro Lineal</v>
      </c>
      <c r="E69" s="170">
        <f>IFERROR(VLOOKUP(MATERIALES_03522[[#This Row],[Descripcion]],INSUM_[#All],3,FALSE),"")</f>
        <v>26352.99</v>
      </c>
      <c r="F69" s="116">
        <v>0.1</v>
      </c>
      <c r="G69" s="350">
        <f t="shared" si="4"/>
        <v>2635.2990000000004</v>
      </c>
      <c r="H69" s="102"/>
      <c r="I69" s="329"/>
      <c r="J69" s="195" t="str">
        <f>+_xlfn.CONCAT("M",J64,K69)</f>
        <v>M1.023</v>
      </c>
      <c r="K69" s="195">
        <v>3</v>
      </c>
      <c r="L69" s="197">
        <f>+IFERROR(G69*H55,"")</f>
        <v>770561.42760000005</v>
      </c>
      <c r="M69" s="48" t="str">
        <f t="shared" si="5"/>
        <v>Listón de madera ordinaria 2" x 4"</v>
      </c>
      <c r="N69" s="332">
        <f t="shared" si="6"/>
        <v>0.1</v>
      </c>
    </row>
    <row r="70" spans="1:14" x14ac:dyDescent="0.3">
      <c r="A70" s="119" t="s">
        <v>75</v>
      </c>
      <c r="B70" s="120"/>
      <c r="C70" s="120"/>
      <c r="D70" s="121" t="str">
        <f>IFERROR(VLOOKUP(MATERIALES_03522[[#This Row],[Descripcion]],INSUM_[#All],2,FALSE),"")</f>
        <v>Rollo</v>
      </c>
      <c r="E70" s="170">
        <f>IFERROR(VLOOKUP(MATERIALES_03522[[#This Row],[Descripcion]],INSUM_[#All],3,FALSE),"")</f>
        <v>45829.21</v>
      </c>
      <c r="F70" s="121">
        <v>0.02</v>
      </c>
      <c r="G70" s="350">
        <f t="shared" si="4"/>
        <v>916.58420000000001</v>
      </c>
      <c r="H70" s="102"/>
      <c r="I70" s="329"/>
      <c r="J70" s="195" t="str">
        <f>+_xlfn.CONCAT("M",J64,K70)</f>
        <v>M1.024</v>
      </c>
      <c r="K70" s="195">
        <v>4</v>
      </c>
      <c r="L70" s="197">
        <f>+IFERROR(G70*H55,"")</f>
        <v>268009.22008</v>
      </c>
      <c r="M70" s="48" t="str">
        <f t="shared" si="5"/>
        <v>Hilo Nylon carrete x 100 metros</v>
      </c>
      <c r="N70" s="332">
        <f t="shared" si="6"/>
        <v>0.02</v>
      </c>
    </row>
    <row r="71" spans="1:14" x14ac:dyDescent="0.3">
      <c r="A71" s="119" t="s">
        <v>76</v>
      </c>
      <c r="B71" s="120"/>
      <c r="C71" s="120"/>
      <c r="D71" s="121" t="str">
        <f>IFERROR(VLOOKUP(MATERIALES_03522[[#This Row],[Descripcion]],INSUM_[#All],2,FALSE),"")</f>
        <v>Kilogramo</v>
      </c>
      <c r="E71" s="170">
        <f>IFERROR(VLOOKUP(MATERIALES_03522[[#This Row],[Descripcion]],INSUM_[#All],3,FALSE),"")</f>
        <v>2745.78</v>
      </c>
      <c r="F71" s="121">
        <v>0.02</v>
      </c>
      <c r="G71" s="350">
        <f t="shared" si="4"/>
        <v>54.915600000000005</v>
      </c>
      <c r="H71" s="102"/>
      <c r="I71" s="329"/>
      <c r="J71" s="195" t="str">
        <f>+_xlfn.CONCAT("M",J64,K71)</f>
        <v>M1.025</v>
      </c>
      <c r="K71" s="195">
        <v>5</v>
      </c>
      <c r="L71" s="197">
        <f>+IFERROR(G71*H55,"")</f>
        <v>16057.32144</v>
      </c>
      <c r="M71" s="48" t="str">
        <f t="shared" si="5"/>
        <v>Cal apagada</v>
      </c>
      <c r="N71" s="332">
        <f t="shared" si="6"/>
        <v>0.02</v>
      </c>
    </row>
    <row r="72" spans="1:14" x14ac:dyDescent="0.3">
      <c r="A72" s="155"/>
      <c r="B72" s="118"/>
      <c r="C72" s="118"/>
      <c r="D72" s="121" t="str">
        <f>IFERROR(VLOOKUP(MATERIALES_03522[[#This Row],[Descripcion]],INSUM_[#All],2,FALSE),"")</f>
        <v/>
      </c>
      <c r="E72" s="170" t="str">
        <f>IFERROR(VLOOKUP(MATERIALES_03522[[#This Row],[Descripcion]],INSUM_[#All],3,FALSE),"")</f>
        <v/>
      </c>
      <c r="F72" s="116"/>
      <c r="G72" s="350" t="str">
        <f t="shared" si="4"/>
        <v/>
      </c>
      <c r="H72" s="102"/>
      <c r="I72" s="329"/>
      <c r="J72" s="195" t="str">
        <f>+_xlfn.CONCAT("M",J64,K72)</f>
        <v>M1.026</v>
      </c>
      <c r="K72" s="195">
        <v>6</v>
      </c>
      <c r="L72" s="197" t="str">
        <f>+IFERROR(G72*H55,"")</f>
        <v/>
      </c>
      <c r="M72" s="48">
        <f t="shared" si="5"/>
        <v>0</v>
      </c>
      <c r="N72" s="332">
        <f t="shared" si="6"/>
        <v>0</v>
      </c>
    </row>
    <row r="73" spans="1:14" x14ac:dyDescent="0.3">
      <c r="A73" s="156"/>
      <c r="B73" s="120"/>
      <c r="C73" s="120"/>
      <c r="D73" s="121" t="str">
        <f>IFERROR(VLOOKUP(MATERIALES_03522[[#This Row],[Descripcion]],INSUM_[#All],2,FALSE),"")</f>
        <v/>
      </c>
      <c r="E73" s="170" t="str">
        <f>IFERROR(VLOOKUP(MATERIALES_03522[[#This Row],[Descripcion]],INSUM_[#All],3,FALSE),"")</f>
        <v/>
      </c>
      <c r="F73" s="121"/>
      <c r="G73" s="350" t="str">
        <f t="shared" si="4"/>
        <v/>
      </c>
      <c r="H73" s="102"/>
      <c r="I73" s="329"/>
      <c r="J73" s="195" t="str">
        <f>+_xlfn.CONCAT("M",J64,K73)</f>
        <v>M1.027</v>
      </c>
      <c r="K73" s="195">
        <v>7</v>
      </c>
      <c r="L73" s="197" t="str">
        <f>+IFERROR(G73*H55,"")</f>
        <v/>
      </c>
      <c r="M73" s="48">
        <f t="shared" si="5"/>
        <v>0</v>
      </c>
      <c r="N73" s="332">
        <f t="shared" si="6"/>
        <v>0</v>
      </c>
    </row>
    <row r="74" spans="1:14" x14ac:dyDescent="0.3">
      <c r="A74" s="156"/>
      <c r="B74" s="120"/>
      <c r="C74" s="120"/>
      <c r="D74" s="121" t="str">
        <f>IFERROR(VLOOKUP(MATERIALES_03522[[#This Row],[Descripcion]],INSUM_[#All],2,FALSE),"")</f>
        <v/>
      </c>
      <c r="E74" s="170" t="str">
        <f>IFERROR(VLOOKUP(MATERIALES_03522[[#This Row],[Descripcion]],INSUM_[#All],3,FALSE),"")</f>
        <v/>
      </c>
      <c r="F74" s="121"/>
      <c r="G74" s="350" t="str">
        <f t="shared" si="4"/>
        <v/>
      </c>
      <c r="H74" s="102"/>
      <c r="I74" s="329"/>
      <c r="J74" s="195" t="str">
        <f>+_xlfn.CONCAT("M",J64,K74)</f>
        <v>M1.028</v>
      </c>
      <c r="K74" s="195">
        <v>8</v>
      </c>
      <c r="L74" s="197" t="str">
        <f>+IFERROR(G74*H55,"")</f>
        <v/>
      </c>
      <c r="M74" s="48">
        <f t="shared" si="5"/>
        <v>0</v>
      </c>
      <c r="N74" s="332">
        <f t="shared" si="6"/>
        <v>0</v>
      </c>
    </row>
    <row r="75" spans="1:14" x14ac:dyDescent="0.3">
      <c r="A75" s="156"/>
      <c r="B75" s="120"/>
      <c r="C75" s="120"/>
      <c r="D75" s="121" t="str">
        <f>IFERROR(VLOOKUP(MATERIALES_03522[[#This Row],[Descripcion]],INSUM_[#All],2,FALSE),"")</f>
        <v/>
      </c>
      <c r="E75" s="170" t="str">
        <f>IFERROR(VLOOKUP(MATERIALES_03522[[#This Row],[Descripcion]],INSUM_[#All],3,FALSE),"")</f>
        <v/>
      </c>
      <c r="F75" s="121"/>
      <c r="G75" s="350" t="str">
        <f t="shared" si="4"/>
        <v/>
      </c>
      <c r="H75" s="102"/>
      <c r="I75" s="329"/>
      <c r="J75" s="195" t="str">
        <f>+_xlfn.CONCAT("M",J64,K75)</f>
        <v>M1.029</v>
      </c>
      <c r="K75" s="195">
        <v>9</v>
      </c>
      <c r="L75" s="197" t="str">
        <f>+IFERROR(G75*H55,"")</f>
        <v/>
      </c>
      <c r="M75" s="48">
        <f t="shared" si="5"/>
        <v>0</v>
      </c>
      <c r="N75" s="332">
        <f t="shared" si="6"/>
        <v>0</v>
      </c>
    </row>
    <row r="76" spans="1:14" x14ac:dyDescent="0.3">
      <c r="A76" s="156"/>
      <c r="B76" s="120"/>
      <c r="C76" s="120"/>
      <c r="D76" s="121" t="str">
        <f>IFERROR(VLOOKUP(MATERIALES_03522[[#This Row],[Descripcion]],INSUM_[#All],2,FALSE),"")</f>
        <v/>
      </c>
      <c r="E76" s="170" t="str">
        <f>IFERROR(VLOOKUP(MATERIALES_03522[[#This Row],[Descripcion]],INSUM_[#All],3,FALSE),"")</f>
        <v/>
      </c>
      <c r="F76" s="121"/>
      <c r="G76" s="350" t="str">
        <f t="shared" si="4"/>
        <v/>
      </c>
      <c r="H76" s="102"/>
      <c r="I76" s="329"/>
      <c r="J76" s="195" t="str">
        <f>+_xlfn.CONCAT("M",J64,K76)</f>
        <v>M1.0210</v>
      </c>
      <c r="K76" s="195">
        <v>10</v>
      </c>
      <c r="L76" s="197" t="str">
        <f>+IFERROR(G76*H55,"")</f>
        <v/>
      </c>
      <c r="M76" s="48">
        <f t="shared" si="5"/>
        <v>0</v>
      </c>
      <c r="N76" s="332">
        <f t="shared" si="6"/>
        <v>0</v>
      </c>
    </row>
    <row r="77" spans="1:14" x14ac:dyDescent="0.3">
      <c r="A77" s="156"/>
      <c r="B77" s="120"/>
      <c r="C77" s="120"/>
      <c r="D77" s="121" t="str">
        <f>IFERROR(VLOOKUP(MATERIALES_03522[[#This Row],[Descripcion]],INSUM_[#All],2,FALSE),"")</f>
        <v/>
      </c>
      <c r="E77" s="170" t="str">
        <f>IFERROR(VLOOKUP(MATERIALES_03522[[#This Row],[Descripcion]],INSUM_[#All],3,FALSE),"")</f>
        <v/>
      </c>
      <c r="F77" s="121"/>
      <c r="G77" s="350" t="str">
        <f t="shared" si="4"/>
        <v/>
      </c>
      <c r="H77" s="102"/>
      <c r="I77" s="329"/>
      <c r="J77" s="195" t="str">
        <f>+_xlfn.CONCAT("M",J64,K77)</f>
        <v>M1.0211</v>
      </c>
      <c r="K77" s="195">
        <v>11</v>
      </c>
      <c r="L77" s="197" t="str">
        <f>+IFERROR(G77*H55,"")</f>
        <v/>
      </c>
      <c r="M77" s="48">
        <f t="shared" si="5"/>
        <v>0</v>
      </c>
      <c r="N77" s="332">
        <f t="shared" si="6"/>
        <v>0</v>
      </c>
    </row>
    <row r="78" spans="1:14" x14ac:dyDescent="0.3">
      <c r="A78" s="104" t="s">
        <v>81</v>
      </c>
      <c r="B78" s="105"/>
      <c r="C78" s="105"/>
      <c r="D78" s="105"/>
      <c r="E78" s="105"/>
      <c r="F78" s="105"/>
      <c r="G78" s="347"/>
      <c r="H78" s="190">
        <f>SUM(G67:G77)</f>
        <v>5045.0034000000005</v>
      </c>
      <c r="I78" s="329"/>
      <c r="J78" s="195"/>
      <c r="K78" s="196" t="str">
        <f>+H57</f>
        <v>1.02</v>
      </c>
      <c r="L78" s="198">
        <f>SUM(L67:L77)</f>
        <v>1475158.9941600002</v>
      </c>
      <c r="M78" s="330">
        <f>+H78</f>
        <v>5045.0034000000005</v>
      </c>
    </row>
    <row r="79" spans="1:14" x14ac:dyDescent="0.3">
      <c r="A79" s="91" t="s">
        <v>26</v>
      </c>
      <c r="B79" s="124"/>
      <c r="C79" s="125"/>
      <c r="D79" s="125"/>
      <c r="E79" s="126"/>
      <c r="F79" s="124"/>
      <c r="G79" s="351"/>
      <c r="H79" s="113"/>
      <c r="I79" s="329"/>
      <c r="J79" s="195"/>
      <c r="K79" s="195"/>
      <c r="L79" s="195"/>
      <c r="M79" s="195"/>
    </row>
    <row r="80" spans="1:14" x14ac:dyDescent="0.3">
      <c r="A80" s="205" t="s">
        <v>57</v>
      </c>
      <c r="B80" s="217" t="s">
        <v>67</v>
      </c>
      <c r="C80" s="211" t="s">
        <v>82</v>
      </c>
      <c r="D80" s="211" t="s">
        <v>83</v>
      </c>
      <c r="E80" s="212" t="s">
        <v>61</v>
      </c>
      <c r="F80" s="207" t="s">
        <v>49</v>
      </c>
      <c r="G80" s="343" t="s">
        <v>71</v>
      </c>
      <c r="H80" s="215"/>
      <c r="I80" s="329"/>
      <c r="J80" s="195"/>
      <c r="K80" s="195"/>
      <c r="L80" s="195"/>
      <c r="M80" s="195"/>
    </row>
    <row r="81" spans="1:14" x14ac:dyDescent="0.3">
      <c r="A81" s="155" t="s">
        <v>2285</v>
      </c>
      <c r="B81" s="115"/>
      <c r="C81" s="115">
        <v>1</v>
      </c>
      <c r="D81" s="127">
        <v>1</v>
      </c>
      <c r="E81" s="98">
        <f t="shared" ref="E81" si="7">1.0953*500</f>
        <v>547.65</v>
      </c>
      <c r="F81" s="128">
        <v>1</v>
      </c>
      <c r="G81" s="345">
        <v>200</v>
      </c>
      <c r="H81" s="102"/>
      <c r="I81" s="329"/>
      <c r="J81" s="195"/>
      <c r="K81" s="195"/>
      <c r="L81" s="195"/>
      <c r="M81" s="195"/>
    </row>
    <row r="82" spans="1:14" x14ac:dyDescent="0.3">
      <c r="A82" s="156"/>
      <c r="B82" s="178"/>
      <c r="C82" s="178"/>
      <c r="D82" s="122"/>
      <c r="E82" s="123"/>
      <c r="F82" s="179"/>
      <c r="G82" s="346">
        <f>E82*F82*D82</f>
        <v>0</v>
      </c>
      <c r="H82" s="102"/>
      <c r="I82" s="329"/>
      <c r="J82" s="195"/>
      <c r="K82" s="195"/>
      <c r="L82" s="195"/>
      <c r="M82" s="195"/>
    </row>
    <row r="83" spans="1:14" x14ac:dyDescent="0.3">
      <c r="A83" s="104" t="s">
        <v>84</v>
      </c>
      <c r="B83" s="105"/>
      <c r="C83" s="105"/>
      <c r="D83" s="105"/>
      <c r="E83" s="105"/>
      <c r="F83" s="105"/>
      <c r="G83" s="347"/>
      <c r="H83" s="107">
        <f>G81+G82</f>
        <v>200</v>
      </c>
      <c r="I83" s="329"/>
      <c r="J83" s="195"/>
      <c r="K83" s="195"/>
      <c r="L83" s="196" t="str">
        <f>+H57</f>
        <v>1.02</v>
      </c>
      <c r="M83" s="333">
        <f>+H83</f>
        <v>200</v>
      </c>
    </row>
    <row r="84" spans="1:14" x14ac:dyDescent="0.3">
      <c r="A84" s="130" t="s">
        <v>85</v>
      </c>
      <c r="B84" s="124"/>
      <c r="C84" s="124"/>
      <c r="D84" s="125"/>
      <c r="E84" s="126"/>
      <c r="F84" s="124"/>
      <c r="G84" s="351"/>
      <c r="H84" s="113"/>
      <c r="I84" s="329"/>
      <c r="J84" s="195"/>
      <c r="K84" s="195"/>
      <c r="L84" s="195"/>
      <c r="M84" s="195"/>
    </row>
    <row r="85" spans="1:14" x14ac:dyDescent="0.3">
      <c r="A85" s="218" t="s">
        <v>57</v>
      </c>
      <c r="B85" s="211" t="s">
        <v>86</v>
      </c>
      <c r="C85" s="211" t="s">
        <v>87</v>
      </c>
      <c r="D85" s="211" t="s">
        <v>88</v>
      </c>
      <c r="E85" s="212" t="s">
        <v>89</v>
      </c>
      <c r="F85" s="207" t="s">
        <v>62</v>
      </c>
      <c r="G85" s="343" t="s">
        <v>63</v>
      </c>
      <c r="H85" s="215"/>
      <c r="I85" s="329"/>
      <c r="J85" s="195"/>
      <c r="K85" s="195"/>
      <c r="L85" s="195"/>
      <c r="M85" s="195"/>
    </row>
    <row r="86" spans="1:14" x14ac:dyDescent="0.3">
      <c r="A86" s="181" t="s">
        <v>90</v>
      </c>
      <c r="B86" s="129">
        <v>1</v>
      </c>
      <c r="C86" s="131">
        <f>1.0953*60000</f>
        <v>65718</v>
      </c>
      <c r="D86" s="132">
        <v>1.75</v>
      </c>
      <c r="E86" s="133">
        <f>B86*C86*(D86)</f>
        <v>115006.5</v>
      </c>
      <c r="F86" s="134">
        <v>1.6129608938547486E-2</v>
      </c>
      <c r="G86" s="350">
        <f>E86*F86</f>
        <v>1855.0098703910614</v>
      </c>
      <c r="H86" s="100"/>
      <c r="I86" s="329"/>
      <c r="J86" s="195"/>
      <c r="K86" s="195"/>
      <c r="L86" s="195"/>
      <c r="M86" s="195"/>
    </row>
    <row r="87" spans="1:14" x14ac:dyDescent="0.3">
      <c r="A87" s="183" t="s">
        <v>91</v>
      </c>
      <c r="B87" s="122">
        <v>1</v>
      </c>
      <c r="C87" s="184">
        <f>1.0953*2600000/30</f>
        <v>94926</v>
      </c>
      <c r="D87" s="185">
        <v>1.68</v>
      </c>
      <c r="E87" s="186">
        <f>B87*C87*(D87)</f>
        <v>159475.68</v>
      </c>
      <c r="F87" s="187">
        <f>F86</f>
        <v>1.6129608938547486E-2</v>
      </c>
      <c r="G87" s="352">
        <f>E87*F87</f>
        <v>2572.2803536089386</v>
      </c>
      <c r="H87" s="102"/>
      <c r="I87" s="329"/>
      <c r="J87" s="195"/>
      <c r="K87" s="195"/>
      <c r="L87" s="195"/>
      <c r="M87" s="195"/>
    </row>
    <row r="88" spans="1:14" x14ac:dyDescent="0.3">
      <c r="A88" s="135" t="s">
        <v>92</v>
      </c>
      <c r="B88" s="136"/>
      <c r="C88" s="136"/>
      <c r="D88" s="136"/>
      <c r="E88" s="136"/>
      <c r="F88" s="136"/>
      <c r="G88" s="353"/>
      <c r="H88" s="190">
        <f>SUM(G86:G87)</f>
        <v>4427.2902240000003</v>
      </c>
      <c r="I88" s="329"/>
      <c r="J88" s="195"/>
      <c r="K88" s="195"/>
      <c r="L88" s="195"/>
      <c r="M88" s="196" t="str">
        <f>+H57</f>
        <v>1.02</v>
      </c>
      <c r="N88" s="330">
        <f>+H88</f>
        <v>4427.2902240000003</v>
      </c>
    </row>
    <row r="89" spans="1:14" x14ac:dyDescent="0.3">
      <c r="A89" s="130" t="s">
        <v>93</v>
      </c>
      <c r="B89" s="138"/>
      <c r="C89" s="138"/>
      <c r="D89" s="138"/>
      <c r="E89" s="138"/>
      <c r="F89" s="138"/>
      <c r="G89" s="354"/>
      <c r="H89" s="139"/>
      <c r="I89" s="329"/>
      <c r="J89" s="195"/>
      <c r="K89" s="195"/>
      <c r="L89" s="195"/>
      <c r="M89" s="195"/>
    </row>
    <row r="90" spans="1:14" x14ac:dyDescent="0.3">
      <c r="A90" s="219" t="s">
        <v>94</v>
      </c>
      <c r="B90" s="220"/>
      <c r="C90" s="220"/>
      <c r="D90" s="220"/>
      <c r="E90" s="220"/>
      <c r="F90" s="220"/>
      <c r="G90" s="355"/>
      <c r="H90" s="222">
        <f>H88+H83+H78+H64</f>
        <v>10770.308954847502</v>
      </c>
      <c r="I90" s="329"/>
      <c r="J90" s="195"/>
      <c r="K90" s="195"/>
      <c r="L90" s="195"/>
      <c r="M90" s="195"/>
    </row>
    <row r="91" spans="1:14" x14ac:dyDescent="0.3">
      <c r="A91" s="140"/>
      <c r="B91" s="92"/>
      <c r="C91" s="141"/>
      <c r="D91" s="141"/>
      <c r="E91" s="93"/>
      <c r="F91" s="92"/>
      <c r="G91" s="356"/>
      <c r="H91" s="142"/>
      <c r="I91" s="329"/>
      <c r="J91" s="195"/>
      <c r="K91" s="195"/>
      <c r="L91" s="195"/>
      <c r="M91" s="195"/>
    </row>
    <row r="92" spans="1:14" x14ac:dyDescent="0.3">
      <c r="A92" s="140"/>
      <c r="B92" s="92"/>
      <c r="C92" s="141"/>
      <c r="D92" s="143" t="s">
        <v>95</v>
      </c>
      <c r="E92" s="144"/>
      <c r="F92" s="144"/>
      <c r="G92" s="357"/>
      <c r="H92" s="146">
        <f>H90</f>
        <v>10770.308954847502</v>
      </c>
      <c r="I92" s="329"/>
      <c r="J92" s="195"/>
      <c r="K92" s="195"/>
      <c r="L92" s="195"/>
      <c r="M92" s="195"/>
    </row>
    <row r="93" spans="1:14" x14ac:dyDescent="0.3">
      <c r="A93" s="140"/>
      <c r="B93" s="92"/>
      <c r="C93" s="141"/>
      <c r="D93" s="141"/>
      <c r="E93" s="93"/>
      <c r="F93" s="92"/>
      <c r="G93" s="356"/>
      <c r="H93" s="139"/>
      <c r="I93" s="329"/>
      <c r="J93" s="195"/>
      <c r="K93" s="195"/>
      <c r="L93" s="195"/>
      <c r="M93" s="195"/>
    </row>
    <row r="94" spans="1:14" x14ac:dyDescent="0.3">
      <c r="A94" s="147" t="s">
        <v>96</v>
      </c>
      <c r="B94" s="92"/>
      <c r="C94" s="141"/>
      <c r="D94" s="141"/>
      <c r="E94" s="93"/>
      <c r="F94" s="92"/>
      <c r="G94" s="356"/>
      <c r="H94" s="139"/>
      <c r="I94" s="329"/>
      <c r="J94" s="195"/>
      <c r="K94" s="195"/>
      <c r="L94" s="195"/>
      <c r="M94" s="195"/>
    </row>
    <row r="95" spans="1:14" x14ac:dyDescent="0.3">
      <c r="A95" s="148"/>
      <c r="B95" s="124"/>
      <c r="C95" s="125"/>
      <c r="D95" s="141"/>
      <c r="E95" s="157" t="s">
        <v>97</v>
      </c>
      <c r="F95" s="157"/>
      <c r="G95" s="358"/>
      <c r="H95" s="139"/>
      <c r="I95" s="329"/>
      <c r="J95" s="195"/>
      <c r="K95" s="195"/>
      <c r="L95" s="195"/>
      <c r="M95" s="195"/>
    </row>
    <row r="96" spans="1:14" x14ac:dyDescent="0.3">
      <c r="A96" s="148"/>
      <c r="B96" s="124"/>
      <c r="C96" s="125"/>
      <c r="D96" s="141"/>
      <c r="E96" s="149" t="str">
        <f>IF('INF. GENERAL'!$B$19=0," ",'INF. GENERAL'!$B$19)</f>
        <v>JAVIER JOSÉ ROSADO MENDINUETA</v>
      </c>
      <c r="F96" s="150"/>
      <c r="G96" s="359"/>
      <c r="H96" s="139"/>
      <c r="I96" s="329"/>
      <c r="J96" s="195"/>
      <c r="K96" s="195"/>
      <c r="L96" s="195"/>
      <c r="M96" s="195"/>
    </row>
    <row r="97" spans="1:15" x14ac:dyDescent="0.3">
      <c r="A97" s="148"/>
      <c r="B97" s="124"/>
      <c r="C97" s="125"/>
      <c r="D97" s="141"/>
      <c r="E97" s="160" t="str">
        <f>IF('INF. GENERAL'!$B$20=0," ",'INF. GENERAL'!$B$20)</f>
        <v>PROFESIONAL APOYO</v>
      </c>
      <c r="F97" s="158"/>
      <c r="G97" s="360"/>
      <c r="H97" s="139"/>
      <c r="I97" s="329"/>
      <c r="J97" s="195"/>
      <c r="K97" s="195"/>
      <c r="L97" s="195"/>
      <c r="M97" s="195"/>
    </row>
    <row r="98" spans="1:15" x14ac:dyDescent="0.3">
      <c r="A98" s="148"/>
      <c r="B98" s="124"/>
      <c r="C98" s="125"/>
      <c r="D98" s="141"/>
      <c r="E98" s="160" t="str">
        <f>IF('INF. GENERAL'!$B$18=0," ",'INF. GENERAL'!$B$18)</f>
        <v>ALCALDÍA MUNICIPAL DE FUNDACIÓN - MAGDALENA</v>
      </c>
      <c r="F98" s="159"/>
      <c r="G98" s="361"/>
      <c r="H98" s="139"/>
      <c r="I98" s="329"/>
      <c r="J98" s="195"/>
      <c r="K98" s="195"/>
      <c r="L98" s="195"/>
      <c r="M98" s="195"/>
    </row>
    <row r="99" spans="1:15" x14ac:dyDescent="0.3">
      <c r="A99" s="140"/>
      <c r="B99" s="92"/>
      <c r="C99" s="141"/>
      <c r="D99" s="141"/>
      <c r="E99" s="154" t="str">
        <f>IF('INF. GENERAL'!$B$21=0," ",'INF. GENERAL'!$B$21)</f>
        <v>MP: 08700-52350</v>
      </c>
      <c r="F99" s="152"/>
      <c r="G99" s="362"/>
      <c r="H99" s="139"/>
      <c r="I99" s="329"/>
      <c r="J99" s="195"/>
      <c r="K99" s="195"/>
      <c r="L99" s="195"/>
      <c r="M99" s="195"/>
    </row>
    <row r="100" spans="1:15" ht="15" thickBot="1" x14ac:dyDescent="0.35">
      <c r="A100" s="164" t="s">
        <v>37</v>
      </c>
      <c r="B100" s="165"/>
      <c r="C100" s="166"/>
      <c r="D100" s="166"/>
      <c r="E100" s="167"/>
      <c r="F100" s="167"/>
      <c r="G100" s="363"/>
      <c r="H100" s="168" t="s">
        <v>37</v>
      </c>
      <c r="I100" s="329"/>
      <c r="J100" s="195"/>
      <c r="K100" s="195"/>
      <c r="L100" s="195"/>
      <c r="M100" s="195"/>
    </row>
    <row r="101" spans="1:15" x14ac:dyDescent="0.3">
      <c r="A101" s="63" t="str">
        <f>+'INF. GENERAL'!$B$13</f>
        <v>REPUBLICA DE COLOMBIA</v>
      </c>
      <c r="B101" s="64"/>
      <c r="C101" s="64"/>
      <c r="D101" s="64"/>
      <c r="E101" s="64"/>
      <c r="F101" s="65"/>
      <c r="G101" s="337"/>
      <c r="H101" s="67"/>
      <c r="I101" s="329"/>
      <c r="J101" s="195"/>
      <c r="K101" s="195"/>
      <c r="L101" s="195"/>
      <c r="M101" s="195"/>
      <c r="O101" s="48"/>
    </row>
    <row r="102" spans="1:15" x14ac:dyDescent="0.3">
      <c r="A102" s="68" t="str">
        <f>+'INF. GENERAL'!$B$14</f>
        <v>FUNDACIÓN</v>
      </c>
      <c r="B102" s="69"/>
      <c r="C102" s="69"/>
      <c r="D102" s="69"/>
      <c r="E102" s="69"/>
      <c r="F102" s="70"/>
      <c r="G102" s="338"/>
      <c r="H102" s="72"/>
      <c r="I102" s="329"/>
      <c r="J102" s="195"/>
      <c r="K102" s="195"/>
      <c r="L102" s="195"/>
      <c r="M102" s="195"/>
      <c r="O102" s="48"/>
    </row>
    <row r="103" spans="1:15" ht="15" thickBot="1" x14ac:dyDescent="0.35">
      <c r="A103" s="73" t="str">
        <f>+'INF. GENERAL'!$B$15</f>
        <v>MAGDALENA</v>
      </c>
      <c r="B103" s="74"/>
      <c r="C103" s="74"/>
      <c r="D103" s="74"/>
      <c r="E103" s="74"/>
      <c r="F103" s="75"/>
      <c r="G103" s="338"/>
      <c r="H103" s="72"/>
      <c r="I103" s="329"/>
      <c r="J103" s="195"/>
      <c r="K103" s="195"/>
      <c r="L103" s="195"/>
      <c r="M103" s="195"/>
      <c r="O103" s="48"/>
    </row>
    <row r="104" spans="1:15" ht="28.2" thickBot="1" x14ac:dyDescent="0.35">
      <c r="A104" s="202" t="str">
        <f>+CONCATENATE('INF. GENERAL'!$A$4,'INF. GENERAL'!$B$4)</f>
        <v>OBJETO: ACTIVIDADES ADICIONALES A LA ADECUACIÓN DE LA CANCHA DE FÚTBOL (ID 2615), VEREDA COMUNIDAD CRISTALINA BAJA (ID 200), MUNICIPIO DE FUNDACION, MAGDALENA</v>
      </c>
      <c r="B104" s="203"/>
      <c r="C104" s="203"/>
      <c r="D104" s="203"/>
      <c r="E104" s="203"/>
      <c r="F104" s="204"/>
      <c r="G104" s="338"/>
      <c r="H104" s="72"/>
      <c r="I104" s="329"/>
      <c r="J104" s="195"/>
      <c r="K104" s="195"/>
      <c r="L104" s="195"/>
      <c r="M104" s="195"/>
      <c r="O104" s="48"/>
    </row>
    <row r="105" spans="1:15" ht="15" thickBot="1" x14ac:dyDescent="0.35">
      <c r="A105" s="76" t="s">
        <v>53</v>
      </c>
      <c r="B105" s="77"/>
      <c r="C105" s="77"/>
      <c r="D105" s="77"/>
      <c r="E105" s="77"/>
      <c r="F105" s="78"/>
      <c r="G105" s="339" t="s">
        <v>49</v>
      </c>
      <c r="H105" s="80">
        <f>+VLOOKUP(H107,PRESUPUESTO!$A$1:$F$973,6,FALSE)</f>
        <v>138.7216</v>
      </c>
      <c r="I105" s="329"/>
      <c r="J105" s="195"/>
      <c r="K105" s="195"/>
      <c r="L105" s="195"/>
      <c r="M105" s="195"/>
      <c r="O105" s="48"/>
    </row>
    <row r="106" spans="1:15" ht="26.4" x14ac:dyDescent="0.3">
      <c r="A106" s="81" t="s">
        <v>54</v>
      </c>
      <c r="B106" s="82" t="str">
        <f>VLOOKUP(H107,PRESUPUESTO!$A$3:$F$973,3,FALSE)</f>
        <v>EXCAVACIONES, RELLENOS Y SISTEMA DE DRENAJE</v>
      </c>
      <c r="C106" s="83"/>
      <c r="D106" s="83"/>
      <c r="E106" s="84" t="s">
        <v>55</v>
      </c>
      <c r="F106" s="85" t="str">
        <f>+VLOOKUP(H107,PRESUPUESTO!$A$1:$F$973,5,FALSE)</f>
        <v>m3</v>
      </c>
      <c r="G106" s="340" t="s">
        <v>56</v>
      </c>
      <c r="H106" s="87"/>
      <c r="I106" s="329"/>
      <c r="J106" s="195"/>
      <c r="K106" s="195"/>
      <c r="L106" s="195"/>
      <c r="M106" s="195"/>
      <c r="O106" s="48"/>
    </row>
    <row r="107" spans="1:15" ht="15" thickBot="1" x14ac:dyDescent="0.35">
      <c r="A107" s="88" t="s">
        <v>20</v>
      </c>
      <c r="B107" s="89" t="str">
        <f>+VLOOKUP(H107,PRESUPUESTO!$A$1:$F$973,4,FALSE)</f>
        <v>Excavacion zanjas de drenaje y de carcamo</v>
      </c>
      <c r="C107" s="89"/>
      <c r="D107" s="89"/>
      <c r="E107" s="89"/>
      <c r="F107" s="89"/>
      <c r="G107" s="341" t="s">
        <v>18</v>
      </c>
      <c r="H107" s="194" t="s">
        <v>2243</v>
      </c>
      <c r="I107" s="329"/>
      <c r="J107" s="195"/>
      <c r="K107" s="195"/>
      <c r="L107" s="195"/>
      <c r="M107" s="195"/>
      <c r="O107" s="48"/>
    </row>
    <row r="108" spans="1:15" ht="15" thickBot="1" x14ac:dyDescent="0.35">
      <c r="A108" s="91" t="s">
        <v>24</v>
      </c>
      <c r="B108" s="92"/>
      <c r="C108" s="92"/>
      <c r="D108" s="92"/>
      <c r="E108" s="93"/>
      <c r="F108" s="92"/>
      <c r="G108" s="342"/>
      <c r="H108" s="95"/>
      <c r="I108" s="329"/>
      <c r="J108" s="195"/>
      <c r="K108" s="195"/>
      <c r="L108" s="195"/>
      <c r="M108" s="195"/>
      <c r="O108" s="48"/>
    </row>
    <row r="109" spans="1:15" x14ac:dyDescent="0.3">
      <c r="A109" s="205" t="s">
        <v>57</v>
      </c>
      <c r="B109" s="216" t="s">
        <v>58</v>
      </c>
      <c r="C109" s="216" t="s">
        <v>59</v>
      </c>
      <c r="D109" s="216" t="s">
        <v>60</v>
      </c>
      <c r="E109" s="206" t="s">
        <v>61</v>
      </c>
      <c r="F109" s="207" t="s">
        <v>62</v>
      </c>
      <c r="G109" s="343" t="s">
        <v>63</v>
      </c>
      <c r="H109" s="209"/>
      <c r="I109" s="329"/>
      <c r="J109" s="195"/>
      <c r="K109" s="195"/>
      <c r="L109" s="195"/>
      <c r="M109" s="195"/>
      <c r="O109" s="48"/>
    </row>
    <row r="110" spans="1:15" x14ac:dyDescent="0.3">
      <c r="A110" s="96" t="s">
        <v>2286</v>
      </c>
      <c r="B110" s="96"/>
      <c r="C110" s="96"/>
      <c r="D110" s="97"/>
      <c r="E110" s="98"/>
      <c r="F110" s="99"/>
      <c r="G110" s="344">
        <f>1.0953*1675.44</f>
        <v>1835.109432</v>
      </c>
      <c r="H110" s="100"/>
      <c r="I110" s="329"/>
      <c r="J110" s="195"/>
      <c r="K110" s="195"/>
      <c r="L110" s="195"/>
      <c r="M110" s="195"/>
      <c r="O110" s="48"/>
    </row>
    <row r="111" spans="1:15" x14ac:dyDescent="0.3">
      <c r="A111" s="96" t="s">
        <v>2287</v>
      </c>
      <c r="B111" s="96"/>
      <c r="C111" s="96"/>
      <c r="D111" s="97"/>
      <c r="E111" s="98"/>
      <c r="F111" s="99"/>
      <c r="G111" s="344">
        <f>1.0953*1116.96</f>
        <v>1223.4062879999999</v>
      </c>
      <c r="H111" s="100"/>
      <c r="I111" s="329"/>
      <c r="J111" s="195"/>
      <c r="K111" s="195"/>
      <c r="L111" s="195"/>
      <c r="M111" s="195"/>
      <c r="O111" s="48"/>
    </row>
    <row r="112" spans="1:15" x14ac:dyDescent="0.3">
      <c r="A112" s="96"/>
      <c r="B112" s="96"/>
      <c r="C112" s="96"/>
      <c r="D112" s="97"/>
      <c r="E112" s="98"/>
      <c r="F112" s="101"/>
      <c r="G112" s="345"/>
      <c r="H112" s="102"/>
      <c r="I112" s="329"/>
      <c r="J112" s="195"/>
      <c r="K112" s="195"/>
      <c r="L112" s="195"/>
      <c r="M112" s="195"/>
      <c r="O112" s="48"/>
    </row>
    <row r="113" spans="1:15" x14ac:dyDescent="0.3">
      <c r="A113" s="173"/>
      <c r="B113" s="173"/>
      <c r="C113" s="173"/>
      <c r="D113" s="174"/>
      <c r="E113" s="123"/>
      <c r="F113" s="175"/>
      <c r="G113" s="346"/>
      <c r="H113" s="103"/>
      <c r="I113" s="329"/>
      <c r="J113" s="195"/>
      <c r="K113" s="195"/>
      <c r="L113" s="195"/>
      <c r="M113" s="195"/>
      <c r="O113" s="48"/>
    </row>
    <row r="114" spans="1:15" x14ac:dyDescent="0.3">
      <c r="A114" s="104" t="s">
        <v>65</v>
      </c>
      <c r="B114" s="105"/>
      <c r="C114" s="105"/>
      <c r="D114" s="105"/>
      <c r="E114" s="105"/>
      <c r="F114" s="105"/>
      <c r="G114" s="347"/>
      <c r="H114" s="190">
        <f>SUM(G110:G113)</f>
        <v>3058.5157199999999</v>
      </c>
      <c r="I114" s="329"/>
      <c r="J114" s="196" t="str">
        <f>+H107</f>
        <v>2,01</v>
      </c>
      <c r="K114" s="330">
        <f>+H114</f>
        <v>3058.5157199999999</v>
      </c>
      <c r="L114" s="195"/>
      <c r="M114" s="195"/>
      <c r="O114" s="48"/>
    </row>
    <row r="115" spans="1:15" x14ac:dyDescent="0.3">
      <c r="A115" s="108" t="s">
        <v>25</v>
      </c>
      <c r="B115" s="109"/>
      <c r="C115" s="110"/>
      <c r="D115" s="110"/>
      <c r="E115" s="111"/>
      <c r="F115" s="109"/>
      <c r="G115" s="348"/>
      <c r="H115" s="113"/>
      <c r="I115" s="329"/>
      <c r="J115" s="195"/>
      <c r="K115" s="195"/>
      <c r="L115" s="195"/>
      <c r="M115" s="195"/>
      <c r="O115" s="48"/>
    </row>
    <row r="116" spans="1:15" x14ac:dyDescent="0.3">
      <c r="A116" s="210" t="s">
        <v>66</v>
      </c>
      <c r="B116" s="217" t="s">
        <v>67</v>
      </c>
      <c r="C116" s="216" t="s">
        <v>68</v>
      </c>
      <c r="D116" s="211" t="s">
        <v>69</v>
      </c>
      <c r="E116" s="212" t="s">
        <v>70</v>
      </c>
      <c r="F116" s="211" t="s">
        <v>49</v>
      </c>
      <c r="G116" s="349" t="s">
        <v>71</v>
      </c>
      <c r="H116" s="214"/>
      <c r="I116" s="329"/>
      <c r="J116" s="195"/>
      <c r="K116" s="195"/>
      <c r="L116" s="195"/>
      <c r="M116" s="195"/>
      <c r="O116" s="48"/>
    </row>
    <row r="117" spans="1:15" x14ac:dyDescent="0.3">
      <c r="A117" s="114"/>
      <c r="B117" s="115"/>
      <c r="C117" s="115"/>
      <c r="D117" s="121" t="str">
        <f>IFERROR(VLOOKUP(MATERIALES_0353[[#This Row],[Descripcion]],INSUM_[#All],2,FALSE),"")</f>
        <v/>
      </c>
      <c r="E117" s="170" t="str">
        <f>IFERROR(VLOOKUP(MATERIALES_0353[[#This Row],[Descripcion]],INSUM_[#All],3,FALSE),"")</f>
        <v/>
      </c>
      <c r="F117" s="116"/>
      <c r="G117" s="350" t="str">
        <f t="shared" ref="G117:G127" si="8">+IFERROR(E117*F117,"")</f>
        <v/>
      </c>
      <c r="H117" s="100"/>
      <c r="I117" s="329"/>
      <c r="J117" s="195" t="str">
        <f>+_xlfn.CONCAT("M",J114,K117)</f>
        <v>M2,011</v>
      </c>
      <c r="K117" s="195">
        <v>1</v>
      </c>
      <c r="L117" s="197" t="str">
        <f>+IFERROR(G117*H105,"")</f>
        <v/>
      </c>
      <c r="M117" s="48">
        <f>+A117</f>
        <v>0</v>
      </c>
      <c r="N117" s="332">
        <f>+F117</f>
        <v>0</v>
      </c>
      <c r="O117" s="48"/>
    </row>
    <row r="118" spans="1:15" x14ac:dyDescent="0.3">
      <c r="A118" s="114"/>
      <c r="B118" s="118"/>
      <c r="C118" s="118"/>
      <c r="D118" s="121" t="str">
        <f>IFERROR(VLOOKUP(MATERIALES_0353[[#This Row],[Descripcion]],INSUM_[#All],2,FALSE),"")</f>
        <v/>
      </c>
      <c r="E118" s="170" t="str">
        <f>IFERROR(VLOOKUP(MATERIALES_0353[[#This Row],[Descripcion]],INSUM_[#All],3,FALSE),"")</f>
        <v/>
      </c>
      <c r="F118" s="116"/>
      <c r="G118" s="350" t="str">
        <f t="shared" si="8"/>
        <v/>
      </c>
      <c r="H118" s="102"/>
      <c r="I118" s="329"/>
      <c r="J118" s="195" t="str">
        <f>+_xlfn.CONCAT("M",J114,K118)</f>
        <v>M2,012</v>
      </c>
      <c r="K118" s="195">
        <v>2</v>
      </c>
      <c r="L118" s="197" t="str">
        <f>+IFERROR(G118*H105,"")</f>
        <v/>
      </c>
      <c r="M118" s="48">
        <f t="shared" ref="M118:M127" si="9">+A118</f>
        <v>0</v>
      </c>
      <c r="N118" s="332">
        <f t="shared" ref="N118:N127" si="10">+F118</f>
        <v>0</v>
      </c>
      <c r="O118" s="48"/>
    </row>
    <row r="119" spans="1:15" x14ac:dyDescent="0.3">
      <c r="A119" s="114"/>
      <c r="B119" s="118"/>
      <c r="C119" s="118"/>
      <c r="D119" s="121" t="str">
        <f>IFERROR(VLOOKUP(MATERIALES_0353[[#This Row],[Descripcion]],INSUM_[#All],2,FALSE),"")</f>
        <v/>
      </c>
      <c r="E119" s="170" t="str">
        <f>IFERROR(VLOOKUP(MATERIALES_0353[[#This Row],[Descripcion]],INSUM_[#All],3,FALSE),"")</f>
        <v/>
      </c>
      <c r="F119" s="116"/>
      <c r="G119" s="350" t="str">
        <f t="shared" si="8"/>
        <v/>
      </c>
      <c r="H119" s="102"/>
      <c r="I119" s="329"/>
      <c r="J119" s="195" t="str">
        <f>+_xlfn.CONCAT("M",J114,K119)</f>
        <v>M2,013</v>
      </c>
      <c r="K119" s="195">
        <v>3</v>
      </c>
      <c r="L119" s="197" t="str">
        <f>+IFERROR(G119*H105,"")</f>
        <v/>
      </c>
      <c r="M119" s="48">
        <f t="shared" si="9"/>
        <v>0</v>
      </c>
      <c r="N119" s="332">
        <f t="shared" si="10"/>
        <v>0</v>
      </c>
      <c r="O119" s="48"/>
    </row>
    <row r="120" spans="1:15" x14ac:dyDescent="0.3">
      <c r="A120" s="119"/>
      <c r="B120" s="120"/>
      <c r="C120" s="120"/>
      <c r="D120" s="121" t="str">
        <f>IFERROR(VLOOKUP(MATERIALES_0353[[#This Row],[Descripcion]],INSUM_[#All],2,FALSE),"")</f>
        <v/>
      </c>
      <c r="E120" s="170" t="str">
        <f>IFERROR(VLOOKUP(MATERIALES_0353[[#This Row],[Descripcion]],INSUM_[#All],3,FALSE),"")</f>
        <v/>
      </c>
      <c r="F120" s="121"/>
      <c r="G120" s="350" t="str">
        <f t="shared" si="8"/>
        <v/>
      </c>
      <c r="H120" s="102"/>
      <c r="I120" s="329"/>
      <c r="J120" s="195" t="str">
        <f>+_xlfn.CONCAT("M",J114,K120)</f>
        <v>M2,014</v>
      </c>
      <c r="K120" s="195">
        <v>4</v>
      </c>
      <c r="L120" s="197" t="str">
        <f>+IFERROR(G120*H105,"")</f>
        <v/>
      </c>
      <c r="M120" s="48">
        <f t="shared" si="9"/>
        <v>0</v>
      </c>
      <c r="N120" s="332">
        <f t="shared" si="10"/>
        <v>0</v>
      </c>
      <c r="O120" s="48"/>
    </row>
    <row r="121" spans="1:15" x14ac:dyDescent="0.3">
      <c r="A121" s="119"/>
      <c r="B121" s="120"/>
      <c r="C121" s="120"/>
      <c r="D121" s="121" t="str">
        <f>IFERROR(VLOOKUP(MATERIALES_0353[[#This Row],[Descripcion]],INSUM_[#All],2,FALSE),"")</f>
        <v/>
      </c>
      <c r="E121" s="170" t="str">
        <f>IFERROR(VLOOKUP(MATERIALES_0353[[#This Row],[Descripcion]],INSUM_[#All],3,FALSE),"")</f>
        <v/>
      </c>
      <c r="F121" s="121"/>
      <c r="G121" s="350" t="str">
        <f t="shared" si="8"/>
        <v/>
      </c>
      <c r="H121" s="102"/>
      <c r="I121" s="329"/>
      <c r="J121" s="195" t="str">
        <f>+_xlfn.CONCAT("M",J114,K121)</f>
        <v>M2,015</v>
      </c>
      <c r="K121" s="195">
        <v>5</v>
      </c>
      <c r="L121" s="197" t="str">
        <f>+IFERROR(G121*H105,"")</f>
        <v/>
      </c>
      <c r="M121" s="48">
        <f t="shared" si="9"/>
        <v>0</v>
      </c>
      <c r="N121" s="332">
        <f t="shared" si="10"/>
        <v>0</v>
      </c>
      <c r="O121" s="48"/>
    </row>
    <row r="122" spans="1:15" x14ac:dyDescent="0.3">
      <c r="A122" s="155"/>
      <c r="B122" s="118"/>
      <c r="C122" s="118"/>
      <c r="D122" s="121" t="str">
        <f>IFERROR(VLOOKUP(MATERIALES_0353[[#This Row],[Descripcion]],INSUM_[#All],2,FALSE),"")</f>
        <v/>
      </c>
      <c r="E122" s="170" t="str">
        <f>IFERROR(VLOOKUP(MATERIALES_0353[[#This Row],[Descripcion]],INSUM_[#All],3,FALSE),"")</f>
        <v/>
      </c>
      <c r="F122" s="116"/>
      <c r="G122" s="350" t="str">
        <f t="shared" si="8"/>
        <v/>
      </c>
      <c r="H122" s="102"/>
      <c r="I122" s="329"/>
      <c r="J122" s="195" t="str">
        <f>+_xlfn.CONCAT("M",J114,K122)</f>
        <v>M2,016</v>
      </c>
      <c r="K122" s="195">
        <v>6</v>
      </c>
      <c r="L122" s="197" t="str">
        <f>+IFERROR(G122*H105,"")</f>
        <v/>
      </c>
      <c r="M122" s="48">
        <f t="shared" si="9"/>
        <v>0</v>
      </c>
      <c r="N122" s="332">
        <f t="shared" si="10"/>
        <v>0</v>
      </c>
      <c r="O122" s="48"/>
    </row>
    <row r="123" spans="1:15" x14ac:dyDescent="0.3">
      <c r="A123" s="156"/>
      <c r="B123" s="120"/>
      <c r="C123" s="120"/>
      <c r="D123" s="121" t="str">
        <f>IFERROR(VLOOKUP(MATERIALES_0353[[#This Row],[Descripcion]],INSUM_[#All],2,FALSE),"")</f>
        <v/>
      </c>
      <c r="E123" s="170" t="str">
        <f>IFERROR(VLOOKUP(MATERIALES_0353[[#This Row],[Descripcion]],INSUM_[#All],3,FALSE),"")</f>
        <v/>
      </c>
      <c r="F123" s="121"/>
      <c r="G123" s="350" t="str">
        <f t="shared" si="8"/>
        <v/>
      </c>
      <c r="H123" s="102"/>
      <c r="I123" s="329"/>
      <c r="J123" s="195" t="str">
        <f>+_xlfn.CONCAT("M",J114,K123)</f>
        <v>M2,017</v>
      </c>
      <c r="K123" s="195">
        <v>7</v>
      </c>
      <c r="L123" s="197" t="str">
        <f>+IFERROR(G123*H105,"")</f>
        <v/>
      </c>
      <c r="M123" s="48">
        <f t="shared" si="9"/>
        <v>0</v>
      </c>
      <c r="N123" s="332">
        <f t="shared" si="10"/>
        <v>0</v>
      </c>
      <c r="O123" s="48"/>
    </row>
    <row r="124" spans="1:15" x14ac:dyDescent="0.3">
      <c r="A124" s="156"/>
      <c r="B124" s="120"/>
      <c r="C124" s="120"/>
      <c r="D124" s="121" t="str">
        <f>IFERROR(VLOOKUP(MATERIALES_0353[[#This Row],[Descripcion]],INSUM_[#All],2,FALSE),"")</f>
        <v/>
      </c>
      <c r="E124" s="170" t="str">
        <f>IFERROR(VLOOKUP(MATERIALES_0353[[#This Row],[Descripcion]],INSUM_[#All],3,FALSE),"")</f>
        <v/>
      </c>
      <c r="F124" s="121"/>
      <c r="G124" s="350" t="str">
        <f t="shared" si="8"/>
        <v/>
      </c>
      <c r="H124" s="102"/>
      <c r="I124" s="329"/>
      <c r="J124" s="195" t="str">
        <f>+_xlfn.CONCAT("M",J114,K124)</f>
        <v>M2,018</v>
      </c>
      <c r="K124" s="195">
        <v>8</v>
      </c>
      <c r="L124" s="197" t="str">
        <f>+IFERROR(G124*H105,"")</f>
        <v/>
      </c>
      <c r="M124" s="48">
        <f t="shared" si="9"/>
        <v>0</v>
      </c>
      <c r="N124" s="332">
        <f t="shared" si="10"/>
        <v>0</v>
      </c>
      <c r="O124" s="48"/>
    </row>
    <row r="125" spans="1:15" x14ac:dyDescent="0.3">
      <c r="A125" s="156"/>
      <c r="B125" s="120"/>
      <c r="C125" s="120"/>
      <c r="D125" s="121" t="str">
        <f>IFERROR(VLOOKUP(MATERIALES_0353[[#This Row],[Descripcion]],INSUM_[#All],2,FALSE),"")</f>
        <v/>
      </c>
      <c r="E125" s="170" t="str">
        <f>IFERROR(VLOOKUP(MATERIALES_0353[[#This Row],[Descripcion]],INSUM_[#All],3,FALSE),"")</f>
        <v/>
      </c>
      <c r="F125" s="121"/>
      <c r="G125" s="350" t="str">
        <f t="shared" si="8"/>
        <v/>
      </c>
      <c r="H125" s="102"/>
      <c r="I125" s="329"/>
      <c r="J125" s="195" t="str">
        <f>+_xlfn.CONCAT("M",J114,K125)</f>
        <v>M2,019</v>
      </c>
      <c r="K125" s="195">
        <v>9</v>
      </c>
      <c r="L125" s="197" t="str">
        <f>+IFERROR(G125*H105,"")</f>
        <v/>
      </c>
      <c r="M125" s="48">
        <f t="shared" si="9"/>
        <v>0</v>
      </c>
      <c r="N125" s="332">
        <f t="shared" si="10"/>
        <v>0</v>
      </c>
      <c r="O125" s="48"/>
    </row>
    <row r="126" spans="1:15" x14ac:dyDescent="0.3">
      <c r="A126" s="156"/>
      <c r="B126" s="120"/>
      <c r="C126" s="120"/>
      <c r="D126" s="121" t="str">
        <f>IFERROR(VLOOKUP(MATERIALES_0353[[#This Row],[Descripcion]],INSUM_[#All],2,FALSE),"")</f>
        <v/>
      </c>
      <c r="E126" s="170" t="str">
        <f>IFERROR(VLOOKUP(MATERIALES_0353[[#This Row],[Descripcion]],INSUM_[#All],3,FALSE),"")</f>
        <v/>
      </c>
      <c r="F126" s="121"/>
      <c r="G126" s="350" t="str">
        <f t="shared" si="8"/>
        <v/>
      </c>
      <c r="H126" s="102"/>
      <c r="I126" s="329"/>
      <c r="J126" s="195" t="str">
        <f>+_xlfn.CONCAT("M",J114,K126)</f>
        <v>M2,0110</v>
      </c>
      <c r="K126" s="195">
        <v>10</v>
      </c>
      <c r="L126" s="197" t="str">
        <f>+IFERROR(G126*H105,"")</f>
        <v/>
      </c>
      <c r="M126" s="48">
        <f t="shared" si="9"/>
        <v>0</v>
      </c>
      <c r="N126" s="332">
        <f t="shared" si="10"/>
        <v>0</v>
      </c>
      <c r="O126" s="48"/>
    </row>
    <row r="127" spans="1:15" x14ac:dyDescent="0.3">
      <c r="A127" s="156"/>
      <c r="B127" s="120"/>
      <c r="C127" s="120"/>
      <c r="D127" s="121" t="str">
        <f>IFERROR(VLOOKUP(MATERIALES_0353[[#This Row],[Descripcion]],INSUM_[#All],2,FALSE),"")</f>
        <v/>
      </c>
      <c r="E127" s="170" t="str">
        <f>IFERROR(VLOOKUP(MATERIALES_0353[[#This Row],[Descripcion]],INSUM_[#All],3,FALSE),"")</f>
        <v/>
      </c>
      <c r="F127" s="121"/>
      <c r="G127" s="350" t="str">
        <f t="shared" si="8"/>
        <v/>
      </c>
      <c r="H127" s="102"/>
      <c r="I127" s="329"/>
      <c r="J127" s="195" t="str">
        <f>+_xlfn.CONCAT("M",J114,K127)</f>
        <v>M2,0111</v>
      </c>
      <c r="K127" s="195">
        <v>11</v>
      </c>
      <c r="L127" s="197" t="str">
        <f>+IFERROR(G127*H105,"")</f>
        <v/>
      </c>
      <c r="M127" s="48">
        <f t="shared" si="9"/>
        <v>0</v>
      </c>
      <c r="N127" s="332">
        <f t="shared" si="10"/>
        <v>0</v>
      </c>
      <c r="O127" s="48"/>
    </row>
    <row r="128" spans="1:15" x14ac:dyDescent="0.3">
      <c r="A128" s="104" t="s">
        <v>81</v>
      </c>
      <c r="B128" s="105"/>
      <c r="C128" s="105"/>
      <c r="D128" s="105"/>
      <c r="E128" s="105"/>
      <c r="F128" s="105"/>
      <c r="G128" s="347"/>
      <c r="H128" s="190">
        <f>SUM(G117:G127)</f>
        <v>0</v>
      </c>
      <c r="I128" s="329"/>
      <c r="J128" s="195"/>
      <c r="K128" s="196" t="str">
        <f>+H107</f>
        <v>2,01</v>
      </c>
      <c r="L128" s="198">
        <f>SUM(L117:L127)</f>
        <v>0</v>
      </c>
      <c r="M128" s="330">
        <f>+H128</f>
        <v>0</v>
      </c>
      <c r="O128" s="48"/>
    </row>
    <row r="129" spans="1:15" x14ac:dyDescent="0.3">
      <c r="A129" s="91" t="s">
        <v>26</v>
      </c>
      <c r="B129" s="124"/>
      <c r="C129" s="125"/>
      <c r="D129" s="125"/>
      <c r="E129" s="126"/>
      <c r="F129" s="124"/>
      <c r="G129" s="351"/>
      <c r="H129" s="113"/>
      <c r="I129" s="329"/>
      <c r="J129" s="195"/>
      <c r="K129" s="195"/>
      <c r="L129" s="195"/>
      <c r="M129" s="195"/>
      <c r="O129" s="48"/>
    </row>
    <row r="130" spans="1:15" x14ac:dyDescent="0.3">
      <c r="A130" s="205" t="s">
        <v>57</v>
      </c>
      <c r="B130" s="217" t="s">
        <v>67</v>
      </c>
      <c r="C130" s="211" t="s">
        <v>82</v>
      </c>
      <c r="D130" s="211" t="s">
        <v>83</v>
      </c>
      <c r="E130" s="212" t="s">
        <v>61</v>
      </c>
      <c r="F130" s="207" t="s">
        <v>49</v>
      </c>
      <c r="G130" s="343" t="s">
        <v>71</v>
      </c>
      <c r="H130" s="215"/>
      <c r="I130" s="329"/>
      <c r="J130" s="195"/>
      <c r="K130" s="195"/>
      <c r="L130" s="195"/>
      <c r="M130" s="195"/>
      <c r="O130" s="48"/>
    </row>
    <row r="131" spans="1:15" x14ac:dyDescent="0.3">
      <c r="A131" s="155"/>
      <c r="B131" s="115"/>
      <c r="C131" s="115"/>
      <c r="D131" s="127"/>
      <c r="E131" s="98"/>
      <c r="F131" s="128"/>
      <c r="G131" s="345"/>
      <c r="H131" s="102"/>
      <c r="I131" s="329"/>
      <c r="J131" s="195"/>
      <c r="K131" s="195"/>
      <c r="L131" s="195"/>
      <c r="M131" s="195"/>
      <c r="O131" s="48"/>
    </row>
    <row r="132" spans="1:15" x14ac:dyDescent="0.3">
      <c r="A132" s="156"/>
      <c r="B132" s="178"/>
      <c r="C132" s="178"/>
      <c r="D132" s="122"/>
      <c r="E132" s="123"/>
      <c r="F132" s="179"/>
      <c r="G132" s="346">
        <f>E132*F132*D132</f>
        <v>0</v>
      </c>
      <c r="H132" s="102"/>
      <c r="I132" s="329"/>
      <c r="J132" s="195"/>
      <c r="K132" s="195"/>
      <c r="L132" s="195"/>
      <c r="M132" s="195"/>
      <c r="O132" s="48"/>
    </row>
    <row r="133" spans="1:15" x14ac:dyDescent="0.3">
      <c r="A133" s="104" t="s">
        <v>84</v>
      </c>
      <c r="B133" s="105"/>
      <c r="C133" s="105"/>
      <c r="D133" s="105"/>
      <c r="E133" s="105"/>
      <c r="F133" s="105"/>
      <c r="G133" s="347"/>
      <c r="H133" s="107">
        <f>G131+G132</f>
        <v>0</v>
      </c>
      <c r="I133" s="329"/>
      <c r="J133" s="195"/>
      <c r="K133" s="195"/>
      <c r="L133" s="196" t="str">
        <f>+H107</f>
        <v>2,01</v>
      </c>
      <c r="M133" s="333">
        <f>+H133</f>
        <v>0</v>
      </c>
      <c r="O133" s="48"/>
    </row>
    <row r="134" spans="1:15" x14ac:dyDescent="0.3">
      <c r="A134" s="130" t="s">
        <v>85</v>
      </c>
      <c r="B134" s="124"/>
      <c r="C134" s="124"/>
      <c r="D134" s="125"/>
      <c r="E134" s="126"/>
      <c r="F134" s="124"/>
      <c r="G134" s="351"/>
      <c r="H134" s="113"/>
      <c r="I134" s="329"/>
      <c r="J134" s="195"/>
      <c r="K134" s="195"/>
      <c r="L134" s="195"/>
      <c r="M134" s="195"/>
      <c r="O134" s="48"/>
    </row>
    <row r="135" spans="1:15" x14ac:dyDescent="0.3">
      <c r="A135" s="218" t="s">
        <v>57</v>
      </c>
      <c r="B135" s="211" t="s">
        <v>86</v>
      </c>
      <c r="C135" s="211" t="s">
        <v>87</v>
      </c>
      <c r="D135" s="211" t="s">
        <v>88</v>
      </c>
      <c r="E135" s="212" t="s">
        <v>89</v>
      </c>
      <c r="F135" s="207" t="s">
        <v>62</v>
      </c>
      <c r="G135" s="343" t="s">
        <v>63</v>
      </c>
      <c r="H135" s="215"/>
      <c r="I135" s="329"/>
      <c r="J135" s="195"/>
      <c r="K135" s="195"/>
      <c r="L135" s="195"/>
      <c r="M135" s="195"/>
      <c r="O135" s="48"/>
    </row>
    <row r="136" spans="1:15" x14ac:dyDescent="0.3">
      <c r="A136" s="181" t="s">
        <v>90</v>
      </c>
      <c r="B136" s="129">
        <v>1</v>
      </c>
      <c r="C136" s="131">
        <f>1.0953*60000</f>
        <v>65718</v>
      </c>
      <c r="D136" s="132">
        <v>1.75</v>
      </c>
      <c r="E136" s="133">
        <f>B136*C136*(D136)</f>
        <v>115006.5</v>
      </c>
      <c r="F136" s="134">
        <v>0.26176783620433752</v>
      </c>
      <c r="G136" s="350">
        <f>E136*F136</f>
        <v>30105.002654434142</v>
      </c>
      <c r="H136" s="100"/>
      <c r="I136" s="329"/>
      <c r="J136" s="195"/>
      <c r="K136" s="195"/>
      <c r="L136" s="195"/>
      <c r="M136" s="195"/>
      <c r="O136" s="48"/>
    </row>
    <row r="137" spans="1:15" x14ac:dyDescent="0.3">
      <c r="A137" s="183" t="s">
        <v>91</v>
      </c>
      <c r="B137" s="122">
        <v>1</v>
      </c>
      <c r="C137" s="184">
        <f>1.0953*2600000/30</f>
        <v>94926</v>
      </c>
      <c r="D137" s="185">
        <v>1.68</v>
      </c>
      <c r="E137" s="186">
        <f>B137*C137*(D137)</f>
        <v>159475.68</v>
      </c>
      <c r="F137" s="187">
        <f>F136</f>
        <v>0.26176783620433752</v>
      </c>
      <c r="G137" s="352">
        <f>E137*F137</f>
        <v>41745.603680815344</v>
      </c>
      <c r="H137" s="102"/>
      <c r="I137" s="329"/>
      <c r="J137" s="195"/>
      <c r="K137" s="195"/>
      <c r="L137" s="195"/>
      <c r="M137" s="195"/>
      <c r="O137" s="48"/>
    </row>
    <row r="138" spans="1:15" x14ac:dyDescent="0.3">
      <c r="A138" s="135" t="s">
        <v>92</v>
      </c>
      <c r="B138" s="136"/>
      <c r="C138" s="136"/>
      <c r="D138" s="136"/>
      <c r="E138" s="136"/>
      <c r="F138" s="136"/>
      <c r="G138" s="353"/>
      <c r="H138" s="190">
        <f>SUM(G136:G137)</f>
        <v>71850.606335249482</v>
      </c>
      <c r="I138" s="329"/>
      <c r="J138" s="195"/>
      <c r="K138" s="195"/>
      <c r="L138" s="195"/>
      <c r="M138" s="196" t="str">
        <f>+H107</f>
        <v>2,01</v>
      </c>
      <c r="N138" s="330">
        <f>+H138</f>
        <v>71850.606335249482</v>
      </c>
      <c r="O138" s="48"/>
    </row>
    <row r="139" spans="1:15" x14ac:dyDescent="0.3">
      <c r="A139" s="130" t="s">
        <v>93</v>
      </c>
      <c r="B139" s="138"/>
      <c r="C139" s="138"/>
      <c r="D139" s="138"/>
      <c r="E139" s="138"/>
      <c r="F139" s="138"/>
      <c r="G139" s="354"/>
      <c r="H139" s="139"/>
      <c r="I139" s="329"/>
      <c r="J139" s="195"/>
      <c r="K139" s="195"/>
      <c r="L139" s="195"/>
      <c r="M139" s="195"/>
      <c r="O139" s="48"/>
    </row>
    <row r="140" spans="1:15" x14ac:dyDescent="0.3">
      <c r="A140" s="219" t="s">
        <v>94</v>
      </c>
      <c r="B140" s="220"/>
      <c r="C140" s="220"/>
      <c r="D140" s="220"/>
      <c r="E140" s="220"/>
      <c r="F140" s="220"/>
      <c r="G140" s="355"/>
      <c r="H140" s="222">
        <f>H138+H133+H128+H114</f>
        <v>74909.122055249478</v>
      </c>
      <c r="I140" s="329"/>
      <c r="J140" s="195"/>
      <c r="K140" s="195"/>
      <c r="L140" s="195"/>
      <c r="M140" s="195"/>
      <c r="O140" s="48"/>
    </row>
    <row r="141" spans="1:15" x14ac:dyDescent="0.3">
      <c r="A141" s="140"/>
      <c r="B141" s="92"/>
      <c r="C141" s="141"/>
      <c r="D141" s="141"/>
      <c r="E141" s="93"/>
      <c r="F141" s="92"/>
      <c r="G141" s="356"/>
      <c r="H141" s="142"/>
      <c r="I141" s="329"/>
      <c r="J141" s="195"/>
      <c r="K141" s="195"/>
      <c r="L141" s="195"/>
      <c r="M141" s="195"/>
      <c r="O141" s="48"/>
    </row>
    <row r="142" spans="1:15" x14ac:dyDescent="0.3">
      <c r="A142" s="140"/>
      <c r="B142" s="92"/>
      <c r="C142" s="141"/>
      <c r="D142" s="143" t="s">
        <v>95</v>
      </c>
      <c r="E142" s="144"/>
      <c r="F142" s="144"/>
      <c r="G142" s="357"/>
      <c r="H142" s="146">
        <f>H140</f>
        <v>74909.122055249478</v>
      </c>
      <c r="I142" s="329"/>
      <c r="J142" s="195"/>
      <c r="K142" s="195"/>
      <c r="L142" s="195"/>
      <c r="M142" s="195"/>
      <c r="O142" s="48"/>
    </row>
    <row r="143" spans="1:15" x14ac:dyDescent="0.3">
      <c r="A143" s="140"/>
      <c r="B143" s="92"/>
      <c r="C143" s="141"/>
      <c r="D143" s="141"/>
      <c r="E143" s="93"/>
      <c r="F143" s="92"/>
      <c r="G143" s="356"/>
      <c r="H143" s="139"/>
      <c r="I143" s="329"/>
      <c r="J143" s="195"/>
      <c r="K143" s="195"/>
      <c r="L143" s="195"/>
      <c r="M143" s="195"/>
      <c r="O143" s="48"/>
    </row>
    <row r="144" spans="1:15" x14ac:dyDescent="0.3">
      <c r="A144" s="147" t="s">
        <v>96</v>
      </c>
      <c r="B144" s="92"/>
      <c r="C144" s="141"/>
      <c r="D144" s="141"/>
      <c r="E144" s="93"/>
      <c r="F144" s="92"/>
      <c r="G144" s="356"/>
      <c r="H144" s="139"/>
      <c r="I144" s="329"/>
      <c r="J144" s="195"/>
      <c r="K144" s="195"/>
      <c r="L144" s="195"/>
      <c r="M144" s="195"/>
      <c r="O144" s="48"/>
    </row>
    <row r="145" spans="1:15" x14ac:dyDescent="0.3">
      <c r="A145" s="148"/>
      <c r="B145" s="124"/>
      <c r="C145" s="125"/>
      <c r="D145" s="141"/>
      <c r="E145" s="157" t="s">
        <v>97</v>
      </c>
      <c r="F145" s="157"/>
      <c r="G145" s="358"/>
      <c r="H145" s="139"/>
      <c r="I145" s="329"/>
      <c r="J145" s="195"/>
      <c r="K145" s="195"/>
      <c r="L145" s="195"/>
      <c r="M145" s="195"/>
      <c r="O145" s="48"/>
    </row>
    <row r="146" spans="1:15" x14ac:dyDescent="0.3">
      <c r="A146" s="148"/>
      <c r="B146" s="124"/>
      <c r="C146" s="125"/>
      <c r="D146" s="141"/>
      <c r="E146" s="149" t="str">
        <f>IF('INF. GENERAL'!$B$19=0," ",'INF. GENERAL'!$B$19)</f>
        <v>JAVIER JOSÉ ROSADO MENDINUETA</v>
      </c>
      <c r="F146" s="150"/>
      <c r="G146" s="359"/>
      <c r="H146" s="139"/>
      <c r="I146" s="329"/>
      <c r="J146" s="195"/>
      <c r="K146" s="195"/>
      <c r="L146" s="195"/>
      <c r="M146" s="195"/>
      <c r="O146" s="48"/>
    </row>
    <row r="147" spans="1:15" x14ac:dyDescent="0.3">
      <c r="A147" s="148"/>
      <c r="B147" s="124"/>
      <c r="C147" s="125"/>
      <c r="D147" s="141"/>
      <c r="E147" s="160" t="str">
        <f>IF('INF. GENERAL'!$B$20=0," ",'INF. GENERAL'!$B$20)</f>
        <v>PROFESIONAL APOYO</v>
      </c>
      <c r="F147" s="158"/>
      <c r="G147" s="360"/>
      <c r="H147" s="139"/>
      <c r="I147" s="329"/>
      <c r="J147" s="195"/>
      <c r="K147" s="195"/>
      <c r="L147" s="195"/>
      <c r="M147" s="195"/>
      <c r="O147" s="48"/>
    </row>
    <row r="148" spans="1:15" x14ac:dyDescent="0.3">
      <c r="A148" s="148"/>
      <c r="B148" s="124"/>
      <c r="C148" s="125"/>
      <c r="D148" s="141"/>
      <c r="E148" s="160" t="str">
        <f>IF('INF. GENERAL'!$B$18=0," ",'INF. GENERAL'!$B$18)</f>
        <v>ALCALDÍA MUNICIPAL DE FUNDACIÓN - MAGDALENA</v>
      </c>
      <c r="F148" s="159"/>
      <c r="G148" s="361"/>
      <c r="H148" s="139"/>
      <c r="I148" s="329"/>
      <c r="J148" s="195"/>
      <c r="K148" s="195"/>
      <c r="L148" s="195"/>
      <c r="M148" s="195"/>
      <c r="O148" s="48"/>
    </row>
    <row r="149" spans="1:15" x14ac:dyDescent="0.3">
      <c r="A149" s="140"/>
      <c r="B149" s="92"/>
      <c r="C149" s="141"/>
      <c r="D149" s="141"/>
      <c r="E149" s="154" t="str">
        <f>IF('INF. GENERAL'!$B$21=0," ",'INF. GENERAL'!$B$21)</f>
        <v>MP: 08700-52350</v>
      </c>
      <c r="F149" s="152"/>
      <c r="G149" s="362"/>
      <c r="H149" s="139"/>
      <c r="I149" s="329"/>
      <c r="J149" s="195"/>
      <c r="K149" s="195"/>
      <c r="L149" s="195"/>
      <c r="M149" s="195"/>
      <c r="O149" s="48"/>
    </row>
    <row r="150" spans="1:15" ht="15" thickBot="1" x14ac:dyDescent="0.35">
      <c r="A150" s="164" t="s">
        <v>37</v>
      </c>
      <c r="B150" s="165"/>
      <c r="C150" s="166"/>
      <c r="D150" s="166"/>
      <c r="E150" s="167"/>
      <c r="F150" s="167"/>
      <c r="G150" s="363"/>
      <c r="H150" s="168" t="s">
        <v>37</v>
      </c>
      <c r="I150" s="329"/>
      <c r="J150" s="195"/>
      <c r="K150" s="195"/>
      <c r="L150" s="195"/>
      <c r="M150" s="195"/>
      <c r="O150" s="48"/>
    </row>
    <row r="151" spans="1:15" x14ac:dyDescent="0.3">
      <c r="A151" s="63" t="str">
        <f>+'INF. GENERAL'!$B$13</f>
        <v>REPUBLICA DE COLOMBIA</v>
      </c>
      <c r="B151" s="64"/>
      <c r="C151" s="64"/>
      <c r="D151" s="64"/>
      <c r="E151" s="64"/>
      <c r="F151" s="65"/>
      <c r="G151" s="337"/>
      <c r="H151" s="67"/>
      <c r="I151" s="329"/>
      <c r="J151" s="195"/>
      <c r="K151" s="195"/>
      <c r="L151" s="195"/>
      <c r="M151" s="195"/>
      <c r="O151" s="48"/>
    </row>
    <row r="152" spans="1:15" x14ac:dyDescent="0.3">
      <c r="A152" s="68" t="str">
        <f>+'INF. GENERAL'!$B$14</f>
        <v>FUNDACIÓN</v>
      </c>
      <c r="B152" s="69"/>
      <c r="C152" s="69"/>
      <c r="D152" s="69"/>
      <c r="E152" s="69"/>
      <c r="F152" s="70"/>
      <c r="G152" s="338"/>
      <c r="H152" s="72"/>
      <c r="I152" s="329"/>
      <c r="J152" s="195"/>
      <c r="K152" s="195"/>
      <c r="L152" s="195"/>
      <c r="M152" s="195"/>
      <c r="O152" s="48"/>
    </row>
    <row r="153" spans="1:15" ht="15" thickBot="1" x14ac:dyDescent="0.35">
      <c r="A153" s="73" t="str">
        <f>+'INF. GENERAL'!$B$15</f>
        <v>MAGDALENA</v>
      </c>
      <c r="B153" s="74"/>
      <c r="C153" s="74"/>
      <c r="D153" s="74"/>
      <c r="E153" s="74"/>
      <c r="F153" s="75"/>
      <c r="G153" s="338"/>
      <c r="H153" s="72"/>
      <c r="I153" s="329"/>
      <c r="J153" s="195"/>
      <c r="K153" s="195"/>
      <c r="L153" s="195"/>
      <c r="M153" s="195"/>
      <c r="O153" s="48"/>
    </row>
    <row r="154" spans="1:15" ht="28.2" thickBot="1" x14ac:dyDescent="0.35">
      <c r="A154" s="202" t="str">
        <f>+CONCATENATE('INF. GENERAL'!$A$4,'INF. GENERAL'!$B$4)</f>
        <v>OBJETO: ACTIVIDADES ADICIONALES A LA ADECUACIÓN DE LA CANCHA DE FÚTBOL (ID 2615), VEREDA COMUNIDAD CRISTALINA BAJA (ID 200), MUNICIPIO DE FUNDACION, MAGDALENA</v>
      </c>
      <c r="B154" s="203"/>
      <c r="C154" s="203"/>
      <c r="D154" s="203"/>
      <c r="E154" s="203"/>
      <c r="F154" s="204"/>
      <c r="G154" s="338"/>
      <c r="H154" s="72"/>
      <c r="I154" s="329"/>
      <c r="J154" s="195"/>
      <c r="K154" s="195"/>
      <c r="L154" s="195"/>
      <c r="M154" s="195"/>
      <c r="O154" s="48"/>
    </row>
    <row r="155" spans="1:15" ht="15" thickBot="1" x14ac:dyDescent="0.35">
      <c r="A155" s="76" t="s">
        <v>53</v>
      </c>
      <c r="B155" s="77"/>
      <c r="C155" s="77"/>
      <c r="D155" s="77"/>
      <c r="E155" s="77"/>
      <c r="F155" s="78"/>
      <c r="G155" s="339" t="s">
        <v>49</v>
      </c>
      <c r="H155" s="80">
        <f>+VLOOKUP(H157,PRESUPUESTO!$A$1:$F$973,6,FALSE)</f>
        <v>366</v>
      </c>
      <c r="I155" s="329"/>
      <c r="J155" s="195"/>
      <c r="K155" s="195"/>
      <c r="L155" s="195"/>
      <c r="M155" s="195"/>
      <c r="O155" s="48"/>
    </row>
    <row r="156" spans="1:15" ht="26.4" x14ac:dyDescent="0.3">
      <c r="A156" s="81" t="s">
        <v>54</v>
      </c>
      <c r="B156" s="82" t="str">
        <f>VLOOKUP(H157,PRESUPUESTO!$A$3:$F$973,3,FALSE)</f>
        <v>EXCAVACIONES, RELLENOS Y SISTEMA DE DRENAJE</v>
      </c>
      <c r="C156" s="83"/>
      <c r="D156" s="83"/>
      <c r="E156" s="84" t="s">
        <v>55</v>
      </c>
      <c r="F156" s="85" t="str">
        <f>+VLOOKUP(H157,PRESUPUESTO!$A$1:$F$973,5,FALSE)</f>
        <v>ml</v>
      </c>
      <c r="G156" s="340" t="s">
        <v>56</v>
      </c>
      <c r="H156" s="87"/>
      <c r="I156" s="329"/>
      <c r="J156" s="195"/>
      <c r="K156" s="195"/>
      <c r="L156" s="195"/>
      <c r="M156" s="195"/>
      <c r="O156" s="48"/>
    </row>
    <row r="157" spans="1:15" ht="15" thickBot="1" x14ac:dyDescent="0.35">
      <c r="A157" s="88" t="s">
        <v>20</v>
      </c>
      <c r="B157" s="89" t="str">
        <f>+VLOOKUP(H157,PRESUPUESTO!$A$1:$F$973,4,FALSE)</f>
        <v>Instalacion de sistema de drenaje frances</v>
      </c>
      <c r="C157" s="89"/>
      <c r="D157" s="89"/>
      <c r="E157" s="89"/>
      <c r="F157" s="89"/>
      <c r="G157" s="341" t="s">
        <v>18</v>
      </c>
      <c r="H157" s="194" t="s">
        <v>2244</v>
      </c>
      <c r="I157" s="329"/>
      <c r="J157" s="195"/>
      <c r="K157" s="195"/>
      <c r="L157" s="195"/>
      <c r="M157" s="195"/>
      <c r="O157" s="48"/>
    </row>
    <row r="158" spans="1:15" ht="15" thickBot="1" x14ac:dyDescent="0.35">
      <c r="A158" s="91" t="s">
        <v>24</v>
      </c>
      <c r="B158" s="92"/>
      <c r="C158" s="92"/>
      <c r="D158" s="92"/>
      <c r="E158" s="93"/>
      <c r="F158" s="92"/>
      <c r="G158" s="342"/>
      <c r="H158" s="95"/>
      <c r="I158" s="329"/>
      <c r="J158" s="195"/>
      <c r="K158" s="195"/>
      <c r="L158" s="195"/>
      <c r="M158" s="195"/>
      <c r="O158" s="48"/>
    </row>
    <row r="159" spans="1:15" x14ac:dyDescent="0.3">
      <c r="A159" s="205" t="s">
        <v>57</v>
      </c>
      <c r="B159" s="216" t="s">
        <v>58</v>
      </c>
      <c r="C159" s="216" t="s">
        <v>59</v>
      </c>
      <c r="D159" s="216" t="s">
        <v>60</v>
      </c>
      <c r="E159" s="206" t="s">
        <v>61</v>
      </c>
      <c r="F159" s="207" t="s">
        <v>62</v>
      </c>
      <c r="G159" s="343" t="s">
        <v>63</v>
      </c>
      <c r="H159" s="209"/>
      <c r="I159" s="329"/>
      <c r="J159" s="195"/>
      <c r="K159" s="195"/>
      <c r="L159" s="195"/>
      <c r="M159" s="195"/>
      <c r="O159" s="48"/>
    </row>
    <row r="160" spans="1:15" x14ac:dyDescent="0.3">
      <c r="A160" s="96" t="s">
        <v>2286</v>
      </c>
      <c r="B160" s="96"/>
      <c r="C160" s="96"/>
      <c r="D160" s="97"/>
      <c r="E160" s="98"/>
      <c r="F160" s="99"/>
      <c r="G160" s="344">
        <f>1.0953*5874.60824830749</f>
        <v>6434.4584143711927</v>
      </c>
      <c r="H160" s="100"/>
      <c r="I160" s="329"/>
      <c r="J160" s="195"/>
      <c r="K160" s="195"/>
      <c r="L160" s="195"/>
      <c r="M160" s="195"/>
      <c r="O160" s="48"/>
    </row>
    <row r="161" spans="1:15" x14ac:dyDescent="0.3">
      <c r="A161" s="96" t="s">
        <v>2287</v>
      </c>
      <c r="B161" s="96"/>
      <c r="C161" s="96"/>
      <c r="D161" s="97"/>
      <c r="E161" s="98"/>
      <c r="F161" s="99"/>
      <c r="G161" s="344">
        <f>1.0953*3916.40549887166</f>
        <v>4289.6389429141291</v>
      </c>
      <c r="H161" s="100"/>
      <c r="I161" s="329"/>
      <c r="J161" s="195"/>
      <c r="K161" s="195"/>
      <c r="L161" s="195"/>
      <c r="M161" s="195"/>
      <c r="O161" s="48"/>
    </row>
    <row r="162" spans="1:15" x14ac:dyDescent="0.3">
      <c r="A162" s="96"/>
      <c r="B162" s="96"/>
      <c r="C162" s="96"/>
      <c r="D162" s="97"/>
      <c r="E162" s="98"/>
      <c r="F162" s="101"/>
      <c r="G162" s="345"/>
      <c r="H162" s="102"/>
      <c r="I162" s="329"/>
      <c r="J162" s="195"/>
      <c r="K162" s="195"/>
      <c r="L162" s="195"/>
      <c r="M162" s="195"/>
      <c r="O162" s="48"/>
    </row>
    <row r="163" spans="1:15" x14ac:dyDescent="0.3">
      <c r="A163" s="173"/>
      <c r="B163" s="173"/>
      <c r="C163" s="173"/>
      <c r="D163" s="174"/>
      <c r="E163" s="123"/>
      <c r="F163" s="175"/>
      <c r="G163" s="346"/>
      <c r="H163" s="103"/>
      <c r="I163" s="329"/>
      <c r="J163" s="195"/>
      <c r="K163" s="195"/>
      <c r="L163" s="195"/>
      <c r="M163" s="195"/>
      <c r="O163" s="48"/>
    </row>
    <row r="164" spans="1:15" x14ac:dyDescent="0.3">
      <c r="A164" s="104" t="s">
        <v>65</v>
      </c>
      <c r="B164" s="105"/>
      <c r="C164" s="105"/>
      <c r="D164" s="105"/>
      <c r="E164" s="105"/>
      <c r="F164" s="105"/>
      <c r="G164" s="347"/>
      <c r="H164" s="190">
        <f>SUM(G160:G163)</f>
        <v>10724.097357285322</v>
      </c>
      <c r="I164" s="329"/>
      <c r="J164" s="196" t="str">
        <f>+H157</f>
        <v>2,02</v>
      </c>
      <c r="K164" s="330">
        <f>+H164</f>
        <v>10724.097357285322</v>
      </c>
      <c r="L164" s="195"/>
      <c r="M164" s="195"/>
      <c r="O164" s="48"/>
    </row>
    <row r="165" spans="1:15" x14ac:dyDescent="0.3">
      <c r="A165" s="108" t="s">
        <v>25</v>
      </c>
      <c r="B165" s="109"/>
      <c r="C165" s="110"/>
      <c r="D165" s="110"/>
      <c r="E165" s="111"/>
      <c r="F165" s="109"/>
      <c r="G165" s="348"/>
      <c r="H165" s="113"/>
      <c r="I165" s="329"/>
      <c r="J165" s="195"/>
      <c r="K165" s="195"/>
      <c r="L165" s="195"/>
      <c r="M165" s="195"/>
      <c r="O165" s="48"/>
    </row>
    <row r="166" spans="1:15" x14ac:dyDescent="0.3">
      <c r="A166" s="210" t="s">
        <v>66</v>
      </c>
      <c r="B166" s="217" t="s">
        <v>67</v>
      </c>
      <c r="C166" s="216" t="s">
        <v>68</v>
      </c>
      <c r="D166" s="211" t="s">
        <v>69</v>
      </c>
      <c r="E166" s="212" t="s">
        <v>70</v>
      </c>
      <c r="F166" s="211" t="s">
        <v>49</v>
      </c>
      <c r="G166" s="349" t="s">
        <v>71</v>
      </c>
      <c r="H166" s="214"/>
      <c r="I166" s="329"/>
      <c r="J166" s="195"/>
      <c r="K166" s="195"/>
      <c r="L166" s="195"/>
      <c r="M166" s="195"/>
      <c r="O166" s="48"/>
    </row>
    <row r="167" spans="1:15" x14ac:dyDescent="0.3">
      <c r="A167" s="114" t="s">
        <v>2368</v>
      </c>
      <c r="B167" s="115"/>
      <c r="C167" s="115"/>
      <c r="D167" s="121" t="str">
        <f>IFERROR(VLOOKUP(MATERIALES_03511[[#This Row],[Descripcion]],INSUM_[#All],2,FALSE),"")</f>
        <v>Metro Lineal</v>
      </c>
      <c r="E167" s="170">
        <f>IFERROR(VLOOKUP(MATERIALES_03511[[#This Row],[Descripcion]],INSUM_[#All],3,FALSE),"")</f>
        <v>14658.95</v>
      </c>
      <c r="F167" s="116">
        <v>0.56650000000000011</v>
      </c>
      <c r="G167" s="350">
        <f t="shared" ref="G167:G177" si="11">+IFERROR(E167/1*F167,"")</f>
        <v>8304.2951750000029</v>
      </c>
      <c r="H167" s="100"/>
      <c r="I167" s="329"/>
      <c r="J167" s="195" t="str">
        <f>+_xlfn.CONCAT("M",J164,K167)</f>
        <v>M2,021</v>
      </c>
      <c r="K167" s="195">
        <v>1</v>
      </c>
      <c r="L167" s="197">
        <f>+IFERROR(G167*H155,"")</f>
        <v>3039372.0340500013</v>
      </c>
      <c r="M167" s="48" t="str">
        <f>+A167</f>
        <v>Geotextil 1600S No Tejido Ancho 3.50 m</v>
      </c>
      <c r="N167" s="332">
        <f>+F167</f>
        <v>0.56650000000000011</v>
      </c>
      <c r="O167" s="48"/>
    </row>
    <row r="168" spans="1:15" x14ac:dyDescent="0.3">
      <c r="A168" s="114" t="s">
        <v>595</v>
      </c>
      <c r="B168" s="118"/>
      <c r="C168" s="118"/>
      <c r="D168" s="121" t="str">
        <f>IFERROR(VLOOKUP(MATERIALES_03511[[#This Row],[Descripcion]],INSUM_[#All],2,FALSE),"")</f>
        <v>Metro cubico</v>
      </c>
      <c r="E168" s="170">
        <f>IFERROR(VLOOKUP(MATERIALES_03511[[#This Row],[Descripcion]],INSUM_[#All],3,FALSE),"")</f>
        <v>288567.81</v>
      </c>
      <c r="F168" s="116">
        <v>0.13390000000000002</v>
      </c>
      <c r="G168" s="350">
        <f t="shared" si="11"/>
        <v>38639.229759000002</v>
      </c>
      <c r="H168" s="102"/>
      <c r="I168" s="329"/>
      <c r="J168" s="195" t="str">
        <f>+_xlfn.CONCAT("M",J164,K168)</f>
        <v>M2,022</v>
      </c>
      <c r="K168" s="195">
        <v>2</v>
      </c>
      <c r="L168" s="197">
        <f>+IFERROR(G168*H155,"")</f>
        <v>14141958.091794001</v>
      </c>
      <c r="M168" s="48" t="str">
        <f t="shared" ref="M168:M177" si="12">+A168</f>
        <v>Grava triturada 3/4"</v>
      </c>
      <c r="N168" s="332">
        <f t="shared" ref="N168:N177" si="13">+F168</f>
        <v>0.13390000000000002</v>
      </c>
      <c r="O168" s="48"/>
    </row>
    <row r="169" spans="1:15" x14ac:dyDescent="0.3">
      <c r="A169" s="114" t="s">
        <v>1097</v>
      </c>
      <c r="B169" s="118"/>
      <c r="C169" s="118"/>
      <c r="D169" s="121" t="str">
        <f>IFERROR(VLOOKUP(MATERIALES_03511[[#This Row],[Descripcion]],INSUM_[#All],2,FALSE),"")</f>
        <v>Unidad</v>
      </c>
      <c r="E169" s="170">
        <f>IFERROR(VLOOKUP(MATERIALES_03511[[#This Row],[Descripcion]],INSUM_[#All],3,FALSE),"")</f>
        <v>266150.03000000003</v>
      </c>
      <c r="F169" s="116">
        <f>0.103/6</f>
        <v>1.7166666666666667E-2</v>
      </c>
      <c r="G169" s="350">
        <f t="shared" si="11"/>
        <v>4568.9088483333335</v>
      </c>
      <c r="H169" s="102"/>
      <c r="I169" s="329"/>
      <c r="J169" s="195" t="str">
        <f>+_xlfn.CONCAT("M",J164,K169)</f>
        <v>M2,023</v>
      </c>
      <c r="K169" s="195">
        <v>3</v>
      </c>
      <c r="L169" s="197">
        <f>+IFERROR(G169*H155,"")</f>
        <v>1672220.63849</v>
      </c>
      <c r="M169" s="48" t="str">
        <f t="shared" si="12"/>
        <v>Tuberia PVC Alcantarillado - Novafort 6" x 6m</v>
      </c>
      <c r="N169" s="332">
        <f t="shared" si="13"/>
        <v>1.7166666666666667E-2</v>
      </c>
      <c r="O169" s="48"/>
    </row>
    <row r="170" spans="1:15" x14ac:dyDescent="0.3">
      <c r="A170" s="119" t="s">
        <v>1096</v>
      </c>
      <c r="B170" s="120"/>
      <c r="C170" s="120"/>
      <c r="D170" s="121" t="str">
        <f>IFERROR(VLOOKUP(MATERIALES_03511[[#This Row],[Descripcion]],INSUM_[#All],2,FALSE),"")</f>
        <v>Unidad</v>
      </c>
      <c r="E170" s="170">
        <f>IFERROR(VLOOKUP(MATERIALES_03511[[#This Row],[Descripcion]],INSUM_[#All],3,FALSE),"")</f>
        <v>139820.54999999999</v>
      </c>
      <c r="F170" s="121">
        <f>0.927/6</f>
        <v>0.1545</v>
      </c>
      <c r="G170" s="350">
        <f t="shared" si="11"/>
        <v>21602.274974999997</v>
      </c>
      <c r="H170" s="102"/>
      <c r="I170" s="329"/>
      <c r="J170" s="195" t="str">
        <f>+_xlfn.CONCAT("M",J164,K170)</f>
        <v>M2,024</v>
      </c>
      <c r="K170" s="195">
        <v>4</v>
      </c>
      <c r="L170" s="197">
        <f>+IFERROR(G170*H155,"")</f>
        <v>7906432.6408499992</v>
      </c>
      <c r="M170" s="48" t="str">
        <f t="shared" si="12"/>
        <v>Tuberia PVC Alcantarillado - Novafort 4" x 6m</v>
      </c>
      <c r="N170" s="332">
        <f t="shared" si="13"/>
        <v>0.1545</v>
      </c>
      <c r="O170" s="48"/>
    </row>
    <row r="171" spans="1:15" x14ac:dyDescent="0.3">
      <c r="A171" s="119" t="s">
        <v>886</v>
      </c>
      <c r="B171" s="120"/>
      <c r="C171" s="120"/>
      <c r="D171" s="121" t="s">
        <v>55</v>
      </c>
      <c r="E171" s="170">
        <f>198100*1.2</f>
        <v>237720</v>
      </c>
      <c r="F171" s="121">
        <v>2.5000000000000001E-2</v>
      </c>
      <c r="G171" s="350">
        <f t="shared" si="11"/>
        <v>5943</v>
      </c>
      <c r="H171" s="102"/>
      <c r="I171" s="329"/>
      <c r="J171" s="195" t="str">
        <f>+_xlfn.CONCAT("M",J164,K171)</f>
        <v>M2,025</v>
      </c>
      <c r="K171" s="195">
        <v>5</v>
      </c>
      <c r="L171" s="197">
        <f>+IFERROR(G171*H155,"")</f>
        <v>2175138</v>
      </c>
      <c r="M171" s="48" t="str">
        <f t="shared" si="12"/>
        <v>Silla Yee Novafort 4"</v>
      </c>
      <c r="N171" s="332">
        <f t="shared" si="13"/>
        <v>2.5000000000000001E-2</v>
      </c>
      <c r="O171" s="48"/>
    </row>
    <row r="172" spans="1:15" x14ac:dyDescent="0.3">
      <c r="A172" s="155"/>
      <c r="B172" s="118"/>
      <c r="C172" s="118"/>
      <c r="D172" s="121" t="str">
        <f>IFERROR(VLOOKUP(MATERIALES_03511[[#This Row],[Descripcion]],INSUM_[#All],2,FALSE),"")</f>
        <v/>
      </c>
      <c r="E172" s="170" t="str">
        <f>IFERROR(VLOOKUP(MATERIALES_03511[[#This Row],[Descripcion]],INSUM_[#All],3,FALSE),"")</f>
        <v/>
      </c>
      <c r="F172" s="116"/>
      <c r="G172" s="350" t="str">
        <f t="shared" si="11"/>
        <v/>
      </c>
      <c r="H172" s="102"/>
      <c r="I172" s="329"/>
      <c r="J172" s="195" t="str">
        <f>+_xlfn.CONCAT("M",J164,K172)</f>
        <v>M2,026</v>
      </c>
      <c r="K172" s="195">
        <v>6</v>
      </c>
      <c r="L172" s="197" t="str">
        <f>+IFERROR(G172*H155,"")</f>
        <v/>
      </c>
      <c r="M172" s="48">
        <f t="shared" si="12"/>
        <v>0</v>
      </c>
      <c r="N172" s="332">
        <f t="shared" si="13"/>
        <v>0</v>
      </c>
      <c r="O172" s="48"/>
    </row>
    <row r="173" spans="1:15" x14ac:dyDescent="0.3">
      <c r="A173" s="156"/>
      <c r="B173" s="120"/>
      <c r="C173" s="120"/>
      <c r="D173" s="121" t="str">
        <f>IFERROR(VLOOKUP(MATERIALES_03511[[#This Row],[Descripcion]],INSUM_[#All],2,FALSE),"")</f>
        <v/>
      </c>
      <c r="E173" s="170" t="str">
        <f>IFERROR(VLOOKUP(MATERIALES_03511[[#This Row],[Descripcion]],INSUM_[#All],3,FALSE),"")</f>
        <v/>
      </c>
      <c r="F173" s="121"/>
      <c r="G173" s="350" t="str">
        <f t="shared" si="11"/>
        <v/>
      </c>
      <c r="H173" s="102"/>
      <c r="I173" s="329"/>
      <c r="J173" s="195" t="str">
        <f>+_xlfn.CONCAT("M",J164,K173)</f>
        <v>M2,027</v>
      </c>
      <c r="K173" s="195">
        <v>7</v>
      </c>
      <c r="L173" s="197" t="str">
        <f>+IFERROR(G173*H155,"")</f>
        <v/>
      </c>
      <c r="M173" s="48">
        <f t="shared" si="12"/>
        <v>0</v>
      </c>
      <c r="N173" s="332">
        <f t="shared" si="13"/>
        <v>0</v>
      </c>
      <c r="O173" s="48"/>
    </row>
    <row r="174" spans="1:15" x14ac:dyDescent="0.3">
      <c r="A174" s="156"/>
      <c r="B174" s="120"/>
      <c r="C174" s="120"/>
      <c r="D174" s="121" t="str">
        <f>IFERROR(VLOOKUP(MATERIALES_03511[[#This Row],[Descripcion]],INSUM_[#All],2,FALSE),"")</f>
        <v/>
      </c>
      <c r="E174" s="170" t="str">
        <f>IFERROR(VLOOKUP(MATERIALES_03511[[#This Row],[Descripcion]],INSUM_[#All],3,FALSE),"")</f>
        <v/>
      </c>
      <c r="F174" s="121"/>
      <c r="G174" s="350" t="str">
        <f t="shared" si="11"/>
        <v/>
      </c>
      <c r="H174" s="102"/>
      <c r="I174" s="329"/>
      <c r="J174" s="195" t="str">
        <f>+_xlfn.CONCAT("M",J164,K174)</f>
        <v>M2,028</v>
      </c>
      <c r="K174" s="195">
        <v>8</v>
      </c>
      <c r="L174" s="197" t="str">
        <f>+IFERROR(G174*H155,"")</f>
        <v/>
      </c>
      <c r="M174" s="48">
        <f t="shared" si="12"/>
        <v>0</v>
      </c>
      <c r="N174" s="332">
        <f t="shared" si="13"/>
        <v>0</v>
      </c>
      <c r="O174" s="48"/>
    </row>
    <row r="175" spans="1:15" x14ac:dyDescent="0.3">
      <c r="A175" s="156"/>
      <c r="B175" s="120"/>
      <c r="C175" s="120"/>
      <c r="D175" s="121" t="str">
        <f>IFERROR(VLOOKUP(MATERIALES_03511[[#This Row],[Descripcion]],INSUM_[#All],2,FALSE),"")</f>
        <v/>
      </c>
      <c r="E175" s="170" t="str">
        <f>IFERROR(VLOOKUP(MATERIALES_03511[[#This Row],[Descripcion]],INSUM_[#All],3,FALSE),"")</f>
        <v/>
      </c>
      <c r="F175" s="121"/>
      <c r="G175" s="350" t="str">
        <f t="shared" si="11"/>
        <v/>
      </c>
      <c r="H175" s="102"/>
      <c r="I175" s="329"/>
      <c r="J175" s="195" t="str">
        <f>+_xlfn.CONCAT("M",J164,K175)</f>
        <v>M2,029</v>
      </c>
      <c r="K175" s="195">
        <v>9</v>
      </c>
      <c r="L175" s="197" t="str">
        <f>+IFERROR(G175*H155,"")</f>
        <v/>
      </c>
      <c r="M175" s="48">
        <f t="shared" si="12"/>
        <v>0</v>
      </c>
      <c r="N175" s="332">
        <f t="shared" si="13"/>
        <v>0</v>
      </c>
      <c r="O175" s="48"/>
    </row>
    <row r="176" spans="1:15" x14ac:dyDescent="0.3">
      <c r="A176" s="156"/>
      <c r="B176" s="120"/>
      <c r="C176" s="120"/>
      <c r="D176" s="121" t="str">
        <f>IFERROR(VLOOKUP(MATERIALES_03511[[#This Row],[Descripcion]],INSUM_[#All],2,FALSE),"")</f>
        <v/>
      </c>
      <c r="E176" s="170" t="str">
        <f>IFERROR(VLOOKUP(MATERIALES_03511[[#This Row],[Descripcion]],INSUM_[#All],3,FALSE),"")</f>
        <v/>
      </c>
      <c r="F176" s="121"/>
      <c r="G176" s="350" t="str">
        <f t="shared" si="11"/>
        <v/>
      </c>
      <c r="H176" s="102"/>
      <c r="I176" s="329"/>
      <c r="J176" s="195" t="str">
        <f>+_xlfn.CONCAT("M",J164,K176)</f>
        <v>M2,0210</v>
      </c>
      <c r="K176" s="195">
        <v>10</v>
      </c>
      <c r="L176" s="197" t="str">
        <f>+IFERROR(G176*H155,"")</f>
        <v/>
      </c>
      <c r="M176" s="48">
        <f t="shared" si="12"/>
        <v>0</v>
      </c>
      <c r="N176" s="332">
        <f t="shared" si="13"/>
        <v>0</v>
      </c>
      <c r="O176" s="48"/>
    </row>
    <row r="177" spans="1:15" x14ac:dyDescent="0.3">
      <c r="A177" s="156"/>
      <c r="B177" s="120"/>
      <c r="C177" s="120"/>
      <c r="D177" s="121" t="str">
        <f>IFERROR(VLOOKUP(MATERIALES_03511[[#This Row],[Descripcion]],INSUM_[#All],2,FALSE),"")</f>
        <v/>
      </c>
      <c r="E177" s="170" t="str">
        <f>IFERROR(VLOOKUP(MATERIALES_03511[[#This Row],[Descripcion]],INSUM_[#All],3,FALSE),"")</f>
        <v/>
      </c>
      <c r="F177" s="121"/>
      <c r="G177" s="350" t="str">
        <f t="shared" si="11"/>
        <v/>
      </c>
      <c r="H177" s="102"/>
      <c r="I177" s="329"/>
      <c r="J177" s="195" t="str">
        <f>+_xlfn.CONCAT("M",J164,K177)</f>
        <v>M2,0211</v>
      </c>
      <c r="K177" s="195">
        <v>11</v>
      </c>
      <c r="L177" s="197" t="str">
        <f>+IFERROR(G177*H155,"")</f>
        <v/>
      </c>
      <c r="M177" s="48">
        <f t="shared" si="12"/>
        <v>0</v>
      </c>
      <c r="N177" s="332">
        <f t="shared" si="13"/>
        <v>0</v>
      </c>
      <c r="O177" s="48"/>
    </row>
    <row r="178" spans="1:15" x14ac:dyDescent="0.3">
      <c r="A178" s="104" t="s">
        <v>81</v>
      </c>
      <c r="B178" s="105"/>
      <c r="C178" s="105"/>
      <c r="D178" s="105"/>
      <c r="E178" s="105"/>
      <c r="F178" s="105"/>
      <c r="G178" s="347"/>
      <c r="H178" s="190">
        <f>SUM(G167:G177)</f>
        <v>79057.708757333327</v>
      </c>
      <c r="I178" s="329"/>
      <c r="J178" s="195"/>
      <c r="K178" s="196" t="str">
        <f>+H157</f>
        <v>2,02</v>
      </c>
      <c r="L178" s="198">
        <f>SUM(L167:L177)</f>
        <v>28935121.405184001</v>
      </c>
      <c r="M178" s="330">
        <f>+H178</f>
        <v>79057.708757333327</v>
      </c>
      <c r="O178" s="48"/>
    </row>
    <row r="179" spans="1:15" x14ac:dyDescent="0.3">
      <c r="A179" s="91" t="s">
        <v>26</v>
      </c>
      <c r="B179" s="124"/>
      <c r="C179" s="125"/>
      <c r="D179" s="125"/>
      <c r="E179" s="126"/>
      <c r="F179" s="124"/>
      <c r="G179" s="351"/>
      <c r="H179" s="113"/>
      <c r="I179" s="329"/>
      <c r="J179" s="195"/>
      <c r="K179" s="195"/>
      <c r="L179" s="195"/>
      <c r="M179" s="195"/>
      <c r="O179" s="48"/>
    </row>
    <row r="180" spans="1:15" x14ac:dyDescent="0.3">
      <c r="A180" s="205" t="s">
        <v>57</v>
      </c>
      <c r="B180" s="217" t="s">
        <v>67</v>
      </c>
      <c r="C180" s="211" t="s">
        <v>82</v>
      </c>
      <c r="D180" s="211" t="s">
        <v>83</v>
      </c>
      <c r="E180" s="212" t="s">
        <v>61</v>
      </c>
      <c r="F180" s="207" t="s">
        <v>49</v>
      </c>
      <c r="G180" s="343" t="s">
        <v>71</v>
      </c>
      <c r="H180" s="215"/>
      <c r="I180" s="329"/>
      <c r="J180" s="195"/>
      <c r="K180" s="195"/>
      <c r="L180" s="195"/>
      <c r="M180" s="195"/>
      <c r="O180" s="48"/>
    </row>
    <row r="181" spans="1:15" x14ac:dyDescent="0.3">
      <c r="A181" s="155" t="s">
        <v>2285</v>
      </c>
      <c r="B181" s="115"/>
      <c r="C181" s="115">
        <v>1</v>
      </c>
      <c r="D181" s="127">
        <v>1</v>
      </c>
      <c r="E181" s="98">
        <f t="shared" ref="E181" si="14">1.0953*800</f>
        <v>876.24</v>
      </c>
      <c r="F181" s="128">
        <v>1</v>
      </c>
      <c r="G181" s="345">
        <f>E181*F181*D181</f>
        <v>876.24</v>
      </c>
      <c r="H181" s="102"/>
      <c r="I181" s="329"/>
      <c r="J181" s="195"/>
      <c r="K181" s="195"/>
      <c r="L181" s="195"/>
      <c r="M181" s="195"/>
      <c r="O181" s="48"/>
    </row>
    <row r="182" spans="1:15" x14ac:dyDescent="0.3">
      <c r="A182" s="156"/>
      <c r="B182" s="178"/>
      <c r="C182" s="178"/>
      <c r="D182" s="122"/>
      <c r="E182" s="123"/>
      <c r="F182" s="179"/>
      <c r="G182" s="346">
        <f>E182*F182*D182</f>
        <v>0</v>
      </c>
      <c r="H182" s="102"/>
      <c r="I182" s="329"/>
      <c r="J182" s="195"/>
      <c r="K182" s="195"/>
      <c r="L182" s="195"/>
      <c r="M182" s="195"/>
      <c r="O182" s="48"/>
    </row>
    <row r="183" spans="1:15" x14ac:dyDescent="0.3">
      <c r="A183" s="104" t="s">
        <v>84</v>
      </c>
      <c r="B183" s="105"/>
      <c r="C183" s="105"/>
      <c r="D183" s="105"/>
      <c r="E183" s="105"/>
      <c r="F183" s="105"/>
      <c r="G183" s="347"/>
      <c r="H183" s="107">
        <f>G181+G182</f>
        <v>876.24</v>
      </c>
      <c r="I183" s="329"/>
      <c r="J183" s="195"/>
      <c r="K183" s="195"/>
      <c r="L183" s="196" t="str">
        <f>+H157</f>
        <v>2,02</v>
      </c>
      <c r="M183" s="333">
        <f>+H183</f>
        <v>876.24</v>
      </c>
      <c r="O183" s="48"/>
    </row>
    <row r="184" spans="1:15" x14ac:dyDescent="0.3">
      <c r="A184" s="130" t="s">
        <v>85</v>
      </c>
      <c r="B184" s="124"/>
      <c r="C184" s="124"/>
      <c r="D184" s="125"/>
      <c r="E184" s="126"/>
      <c r="F184" s="124"/>
      <c r="G184" s="351"/>
      <c r="H184" s="113"/>
      <c r="I184" s="329"/>
      <c r="J184" s="195"/>
      <c r="K184" s="195"/>
      <c r="L184" s="195"/>
      <c r="M184" s="195"/>
      <c r="O184" s="48"/>
    </row>
    <row r="185" spans="1:15" x14ac:dyDescent="0.3">
      <c r="A185" s="218" t="s">
        <v>57</v>
      </c>
      <c r="B185" s="211" t="s">
        <v>86</v>
      </c>
      <c r="C185" s="211" t="s">
        <v>87</v>
      </c>
      <c r="D185" s="211" t="s">
        <v>88</v>
      </c>
      <c r="E185" s="212" t="s">
        <v>89</v>
      </c>
      <c r="F185" s="207" t="s">
        <v>62</v>
      </c>
      <c r="G185" s="343" t="s">
        <v>63</v>
      </c>
      <c r="H185" s="215"/>
      <c r="I185" s="329"/>
      <c r="J185" s="195"/>
      <c r="K185" s="195"/>
      <c r="L185" s="195"/>
      <c r="M185" s="195"/>
      <c r="O185" s="48"/>
    </row>
    <row r="186" spans="1:15" x14ac:dyDescent="0.3">
      <c r="A186" s="181" t="s">
        <v>90</v>
      </c>
      <c r="B186" s="129">
        <v>1</v>
      </c>
      <c r="C186" s="131">
        <f>1.0953*60000</f>
        <v>65718</v>
      </c>
      <c r="D186" s="132">
        <v>1.75</v>
      </c>
      <c r="E186" s="133">
        <f>B186*C186*(D186)</f>
        <v>115006.5</v>
      </c>
      <c r="F186" s="134">
        <v>8.5341207104066147E-2</v>
      </c>
      <c r="G186" s="350">
        <f>E186*F186</f>
        <v>9814.7935348137835</v>
      </c>
      <c r="H186" s="100"/>
      <c r="I186" s="329"/>
      <c r="J186" s="195"/>
      <c r="K186" s="195"/>
      <c r="L186" s="195"/>
      <c r="M186" s="195"/>
      <c r="O186" s="48"/>
    </row>
    <row r="187" spans="1:15" x14ac:dyDescent="0.3">
      <c r="A187" s="183" t="s">
        <v>91</v>
      </c>
      <c r="B187" s="122">
        <v>1</v>
      </c>
      <c r="C187" s="184">
        <f>1.0953*2600000/30</f>
        <v>94926</v>
      </c>
      <c r="D187" s="185">
        <v>1.68</v>
      </c>
      <c r="E187" s="186">
        <f>B187*C187*(D187)</f>
        <v>159475.68</v>
      </c>
      <c r="F187" s="187">
        <f>F186</f>
        <v>8.5341207104066147E-2</v>
      </c>
      <c r="G187" s="352">
        <f>E187*F187</f>
        <v>13609.847034941778</v>
      </c>
      <c r="H187" s="102"/>
      <c r="I187" s="329"/>
      <c r="J187" s="195"/>
      <c r="K187" s="195"/>
      <c r="L187" s="195"/>
      <c r="M187" s="195"/>
      <c r="O187" s="48"/>
    </row>
    <row r="188" spans="1:15" x14ac:dyDescent="0.3">
      <c r="A188" s="135" t="s">
        <v>92</v>
      </c>
      <c r="B188" s="136"/>
      <c r="C188" s="136"/>
      <c r="D188" s="136"/>
      <c r="E188" s="136"/>
      <c r="F188" s="136"/>
      <c r="G188" s="353"/>
      <c r="H188" s="190">
        <f>SUM(G186:G187)</f>
        <v>23424.64056975556</v>
      </c>
      <c r="I188" s="329"/>
      <c r="J188" s="195"/>
      <c r="K188" s="195"/>
      <c r="L188" s="195"/>
      <c r="M188" s="196" t="str">
        <f>+H157</f>
        <v>2,02</v>
      </c>
      <c r="N188" s="330">
        <f>+H188</f>
        <v>23424.64056975556</v>
      </c>
      <c r="O188" s="48"/>
    </row>
    <row r="189" spans="1:15" x14ac:dyDescent="0.3">
      <c r="A189" s="130" t="s">
        <v>93</v>
      </c>
      <c r="B189" s="138"/>
      <c r="C189" s="138"/>
      <c r="D189" s="138"/>
      <c r="E189" s="138"/>
      <c r="F189" s="138"/>
      <c r="G189" s="354"/>
      <c r="H189" s="139"/>
      <c r="I189" s="329"/>
      <c r="J189" s="195"/>
      <c r="K189" s="195"/>
      <c r="L189" s="195"/>
      <c r="M189" s="195"/>
      <c r="O189" s="48"/>
    </row>
    <row r="190" spans="1:15" x14ac:dyDescent="0.3">
      <c r="A190" s="219" t="s">
        <v>94</v>
      </c>
      <c r="B190" s="220"/>
      <c r="C190" s="220"/>
      <c r="D190" s="220"/>
      <c r="E190" s="220"/>
      <c r="F190" s="220"/>
      <c r="G190" s="355"/>
      <c r="H190" s="222">
        <f>H188+H183+H178+H164</f>
        <v>114082.68668437422</v>
      </c>
      <c r="I190" s="329"/>
      <c r="J190" s="195"/>
      <c r="K190" s="195"/>
      <c r="L190" s="195"/>
      <c r="M190" s="195"/>
      <c r="O190" s="48"/>
    </row>
    <row r="191" spans="1:15" x14ac:dyDescent="0.3">
      <c r="A191" s="140"/>
      <c r="B191" s="92"/>
      <c r="C191" s="141"/>
      <c r="D191" s="141"/>
      <c r="E191" s="93"/>
      <c r="F191" s="92"/>
      <c r="G191" s="356"/>
      <c r="H191" s="142"/>
      <c r="I191" s="329"/>
      <c r="J191" s="195"/>
      <c r="K191" s="195"/>
      <c r="L191" s="195"/>
      <c r="M191" s="195"/>
      <c r="O191" s="48"/>
    </row>
    <row r="192" spans="1:15" x14ac:dyDescent="0.3">
      <c r="A192" s="140"/>
      <c r="B192" s="92"/>
      <c r="C192" s="141"/>
      <c r="D192" s="143" t="s">
        <v>95</v>
      </c>
      <c r="E192" s="144"/>
      <c r="F192" s="144"/>
      <c r="G192" s="357"/>
      <c r="H192" s="146">
        <f>H190</f>
        <v>114082.68668437422</v>
      </c>
      <c r="I192" s="329"/>
      <c r="J192" s="195"/>
      <c r="K192" s="195"/>
      <c r="L192" s="195"/>
      <c r="M192" s="195"/>
      <c r="O192" s="48"/>
    </row>
    <row r="193" spans="1:15" x14ac:dyDescent="0.3">
      <c r="A193" s="140"/>
      <c r="B193" s="92"/>
      <c r="C193" s="141"/>
      <c r="D193" s="141"/>
      <c r="E193" s="93"/>
      <c r="F193" s="92"/>
      <c r="G193" s="356"/>
      <c r="H193" s="139"/>
      <c r="I193" s="329"/>
      <c r="J193" s="195"/>
      <c r="K193" s="195"/>
      <c r="L193" s="195"/>
      <c r="M193" s="195"/>
      <c r="O193" s="48"/>
    </row>
    <row r="194" spans="1:15" x14ac:dyDescent="0.3">
      <c r="A194" s="147" t="s">
        <v>96</v>
      </c>
      <c r="B194" s="92"/>
      <c r="C194" s="141"/>
      <c r="D194" s="141"/>
      <c r="E194" s="93"/>
      <c r="F194" s="92"/>
      <c r="G194" s="356"/>
      <c r="H194" s="139"/>
      <c r="I194" s="329"/>
      <c r="J194" s="195"/>
      <c r="K194" s="195"/>
      <c r="L194" s="195"/>
      <c r="M194" s="195"/>
      <c r="O194" s="48"/>
    </row>
    <row r="195" spans="1:15" x14ac:dyDescent="0.3">
      <c r="A195" s="148"/>
      <c r="B195" s="124"/>
      <c r="C195" s="125"/>
      <c r="D195" s="141"/>
      <c r="E195" s="157" t="s">
        <v>97</v>
      </c>
      <c r="F195" s="157"/>
      <c r="G195" s="358"/>
      <c r="H195" s="139"/>
      <c r="I195" s="329"/>
      <c r="J195" s="195"/>
      <c r="K195" s="195"/>
      <c r="L195" s="195"/>
      <c r="M195" s="195"/>
      <c r="O195" s="48"/>
    </row>
    <row r="196" spans="1:15" x14ac:dyDescent="0.3">
      <c r="A196" s="148"/>
      <c r="B196" s="124"/>
      <c r="C196" s="125"/>
      <c r="D196" s="141"/>
      <c r="E196" s="149" t="str">
        <f>IF('INF. GENERAL'!$B$19=0," ",'INF. GENERAL'!$B$19)</f>
        <v>JAVIER JOSÉ ROSADO MENDINUETA</v>
      </c>
      <c r="F196" s="150"/>
      <c r="G196" s="359"/>
      <c r="H196" s="139"/>
      <c r="I196" s="329"/>
      <c r="J196" s="195"/>
      <c r="K196" s="195"/>
      <c r="L196" s="195"/>
      <c r="M196" s="195"/>
      <c r="O196" s="48"/>
    </row>
    <row r="197" spans="1:15" x14ac:dyDescent="0.3">
      <c r="A197" s="148"/>
      <c r="B197" s="124"/>
      <c r="C197" s="125"/>
      <c r="D197" s="141"/>
      <c r="E197" s="160" t="str">
        <f>IF('INF. GENERAL'!$B$20=0," ",'INF. GENERAL'!$B$20)</f>
        <v>PROFESIONAL APOYO</v>
      </c>
      <c r="F197" s="158"/>
      <c r="G197" s="360"/>
      <c r="H197" s="139"/>
      <c r="I197" s="329"/>
      <c r="J197" s="195"/>
      <c r="K197" s="195"/>
      <c r="L197" s="195"/>
      <c r="M197" s="195"/>
      <c r="O197" s="48"/>
    </row>
    <row r="198" spans="1:15" x14ac:dyDescent="0.3">
      <c r="A198" s="148"/>
      <c r="B198" s="124"/>
      <c r="C198" s="125"/>
      <c r="D198" s="141"/>
      <c r="E198" s="160" t="str">
        <f>IF('INF. GENERAL'!$B$18=0," ",'INF. GENERAL'!$B$18)</f>
        <v>ALCALDÍA MUNICIPAL DE FUNDACIÓN - MAGDALENA</v>
      </c>
      <c r="F198" s="159"/>
      <c r="G198" s="361"/>
      <c r="H198" s="139"/>
      <c r="I198" s="329"/>
      <c r="J198" s="195"/>
      <c r="K198" s="195"/>
      <c r="L198" s="195"/>
      <c r="M198" s="195"/>
      <c r="O198" s="48"/>
    </row>
    <row r="199" spans="1:15" x14ac:dyDescent="0.3">
      <c r="A199" s="140"/>
      <c r="B199" s="92"/>
      <c r="C199" s="141"/>
      <c r="D199" s="141"/>
      <c r="E199" s="154" t="str">
        <f>IF('INF. GENERAL'!$B$21=0," ",'INF. GENERAL'!$B$21)</f>
        <v>MP: 08700-52350</v>
      </c>
      <c r="F199" s="152"/>
      <c r="G199" s="362"/>
      <c r="H199" s="139"/>
      <c r="I199" s="329"/>
      <c r="J199" s="195"/>
      <c r="K199" s="195"/>
      <c r="L199" s="195"/>
      <c r="M199" s="195"/>
      <c r="O199" s="48"/>
    </row>
    <row r="200" spans="1:15" ht="15" thickBot="1" x14ac:dyDescent="0.35">
      <c r="A200" s="164" t="s">
        <v>37</v>
      </c>
      <c r="B200" s="165"/>
      <c r="C200" s="166"/>
      <c r="D200" s="166"/>
      <c r="E200" s="167"/>
      <c r="F200" s="167"/>
      <c r="G200" s="363"/>
      <c r="H200" s="168" t="s">
        <v>37</v>
      </c>
      <c r="I200" s="329"/>
      <c r="J200" s="195"/>
      <c r="K200" s="195"/>
      <c r="L200" s="195"/>
      <c r="M200" s="195"/>
      <c r="O200" s="48"/>
    </row>
    <row r="201" spans="1:15" x14ac:dyDescent="0.3">
      <c r="A201" s="63" t="str">
        <f>+'INF. GENERAL'!$B$13</f>
        <v>REPUBLICA DE COLOMBIA</v>
      </c>
      <c r="B201" s="64"/>
      <c r="C201" s="64"/>
      <c r="D201" s="64"/>
      <c r="E201" s="64"/>
      <c r="F201" s="65"/>
      <c r="G201" s="337"/>
      <c r="H201" s="67"/>
      <c r="I201" s="329"/>
      <c r="J201" s="195"/>
      <c r="K201" s="195"/>
      <c r="L201" s="195"/>
      <c r="M201" s="195"/>
      <c r="O201" s="48"/>
    </row>
    <row r="202" spans="1:15" x14ac:dyDescent="0.3">
      <c r="A202" s="68" t="str">
        <f>+'INF. GENERAL'!$B$14</f>
        <v>FUNDACIÓN</v>
      </c>
      <c r="B202" s="69"/>
      <c r="C202" s="69"/>
      <c r="D202" s="69"/>
      <c r="E202" s="69"/>
      <c r="F202" s="70"/>
      <c r="G202" s="338"/>
      <c r="H202" s="72"/>
      <c r="I202" s="329"/>
      <c r="J202" s="195"/>
      <c r="K202" s="195"/>
      <c r="L202" s="195"/>
      <c r="M202" s="195"/>
      <c r="O202" s="48"/>
    </row>
    <row r="203" spans="1:15" ht="15" thickBot="1" x14ac:dyDescent="0.35">
      <c r="A203" s="73" t="str">
        <f>+'INF. GENERAL'!$B$15</f>
        <v>MAGDALENA</v>
      </c>
      <c r="B203" s="74"/>
      <c r="C203" s="74"/>
      <c r="D203" s="74"/>
      <c r="E203" s="74"/>
      <c r="F203" s="75"/>
      <c r="G203" s="338"/>
      <c r="H203" s="72"/>
      <c r="I203" s="329"/>
      <c r="J203" s="195"/>
      <c r="K203" s="195"/>
      <c r="L203" s="195"/>
      <c r="M203" s="195"/>
      <c r="O203" s="48"/>
    </row>
    <row r="204" spans="1:15" ht="28.2" thickBot="1" x14ac:dyDescent="0.35">
      <c r="A204" s="202" t="str">
        <f>+CONCATENATE('INF. GENERAL'!$A$4,'INF. GENERAL'!$B$4)</f>
        <v>OBJETO: ACTIVIDADES ADICIONALES A LA ADECUACIÓN DE LA CANCHA DE FÚTBOL (ID 2615), VEREDA COMUNIDAD CRISTALINA BAJA (ID 200), MUNICIPIO DE FUNDACION, MAGDALENA</v>
      </c>
      <c r="B204" s="203"/>
      <c r="C204" s="203"/>
      <c r="D204" s="203"/>
      <c r="E204" s="203"/>
      <c r="F204" s="204"/>
      <c r="G204" s="338"/>
      <c r="H204" s="72"/>
      <c r="I204" s="329"/>
      <c r="J204" s="195"/>
      <c r="K204" s="195"/>
      <c r="L204" s="195"/>
      <c r="M204" s="195"/>
      <c r="O204" s="48"/>
    </row>
    <row r="205" spans="1:15" ht="15" thickBot="1" x14ac:dyDescent="0.35">
      <c r="A205" s="76" t="s">
        <v>53</v>
      </c>
      <c r="B205" s="77"/>
      <c r="C205" s="77"/>
      <c r="D205" s="77"/>
      <c r="E205" s="77"/>
      <c r="F205" s="78"/>
      <c r="G205" s="339" t="s">
        <v>49</v>
      </c>
      <c r="H205" s="80">
        <f>+VLOOKUP(H207,PRESUPUESTO!$A$1:$F$973,6,FALSE)</f>
        <v>118</v>
      </c>
      <c r="I205" s="329"/>
      <c r="J205" s="195"/>
      <c r="K205" s="195"/>
      <c r="L205" s="195"/>
      <c r="M205" s="195"/>
      <c r="O205" s="48"/>
    </row>
    <row r="206" spans="1:15" ht="26.4" x14ac:dyDescent="0.3">
      <c r="A206" s="81" t="s">
        <v>54</v>
      </c>
      <c r="B206" s="82" t="str">
        <f>VLOOKUP(H207,PRESUPUESTO!$A$3:$F$973,3,FALSE)</f>
        <v>EXCAVACIONES, RELLENOS Y SISTEMA DE DRENAJE</v>
      </c>
      <c r="C206" s="83"/>
      <c r="D206" s="83"/>
      <c r="E206" s="84" t="s">
        <v>55</v>
      </c>
      <c r="F206" s="85" t="str">
        <f>+VLOOKUP(H207,PRESUPUESTO!$A$1:$F$973,5,FALSE)</f>
        <v>ml</v>
      </c>
      <c r="G206" s="340" t="s">
        <v>56</v>
      </c>
      <c r="H206" s="87"/>
      <c r="I206" s="329"/>
      <c r="J206" s="195"/>
      <c r="K206" s="195"/>
      <c r="L206" s="195"/>
      <c r="M206" s="195"/>
      <c r="O206" s="48"/>
    </row>
    <row r="207" spans="1:15" ht="15" thickBot="1" x14ac:dyDescent="0.35">
      <c r="A207" s="88" t="s">
        <v>20</v>
      </c>
      <c r="B207" s="89" t="str">
        <f>+VLOOKUP(H207,PRESUPUESTO!$A$1:$F$973,4,FALSE)</f>
        <v xml:space="preserve">Cunetas prefabricadas en concreto </v>
      </c>
      <c r="C207" s="89"/>
      <c r="D207" s="89"/>
      <c r="E207" s="89"/>
      <c r="F207" s="89"/>
      <c r="G207" s="341" t="s">
        <v>18</v>
      </c>
      <c r="H207" s="194" t="s">
        <v>2245</v>
      </c>
      <c r="I207" s="329"/>
      <c r="J207" s="195"/>
      <c r="K207" s="195"/>
      <c r="L207" s="195"/>
      <c r="M207" s="195"/>
      <c r="O207" s="48"/>
    </row>
    <row r="208" spans="1:15" ht="15" thickBot="1" x14ac:dyDescent="0.35">
      <c r="A208" s="91" t="s">
        <v>24</v>
      </c>
      <c r="B208" s="92"/>
      <c r="C208" s="92"/>
      <c r="D208" s="92"/>
      <c r="E208" s="93"/>
      <c r="F208" s="92"/>
      <c r="G208" s="342"/>
      <c r="H208" s="95"/>
      <c r="I208" s="329"/>
      <c r="J208" s="195"/>
      <c r="K208" s="195"/>
      <c r="L208" s="195"/>
      <c r="M208" s="195"/>
      <c r="O208" s="48"/>
    </row>
    <row r="209" spans="1:15" x14ac:dyDescent="0.3">
      <c r="A209" s="205" t="s">
        <v>57</v>
      </c>
      <c r="B209" s="216" t="s">
        <v>58</v>
      </c>
      <c r="C209" s="216" t="s">
        <v>59</v>
      </c>
      <c r="D209" s="216" t="s">
        <v>60</v>
      </c>
      <c r="E209" s="206" t="s">
        <v>61</v>
      </c>
      <c r="F209" s="207" t="s">
        <v>62</v>
      </c>
      <c r="G209" s="343" t="s">
        <v>63</v>
      </c>
      <c r="H209" s="209"/>
      <c r="I209" s="329"/>
      <c r="J209" s="195"/>
      <c r="K209" s="195"/>
      <c r="L209" s="195"/>
      <c r="M209" s="195"/>
      <c r="O209" s="48"/>
    </row>
    <row r="210" spans="1:15" x14ac:dyDescent="0.3">
      <c r="A210" s="96" t="s">
        <v>2286</v>
      </c>
      <c r="B210" s="96"/>
      <c r="C210" s="96"/>
      <c r="D210" s="97"/>
      <c r="E210" s="98"/>
      <c r="F210" s="99"/>
      <c r="G210" s="344">
        <v>2266.6044376763466</v>
      </c>
      <c r="H210" s="100"/>
      <c r="I210" s="329"/>
      <c r="J210" s="195"/>
      <c r="K210" s="195"/>
      <c r="L210" s="195"/>
      <c r="M210" s="195"/>
      <c r="O210" s="48"/>
    </row>
    <row r="211" spans="1:15" x14ac:dyDescent="0.3">
      <c r="A211" s="96" t="s">
        <v>2287</v>
      </c>
      <c r="B211" s="96"/>
      <c r="C211" s="96"/>
      <c r="D211" s="97"/>
      <c r="E211" s="98"/>
      <c r="F211" s="99"/>
      <c r="G211" s="344">
        <v>1511.0696251175646</v>
      </c>
      <c r="H211" s="100"/>
      <c r="I211" s="329"/>
      <c r="J211" s="195"/>
      <c r="K211" s="195"/>
      <c r="L211" s="195"/>
      <c r="M211" s="195"/>
      <c r="O211" s="48"/>
    </row>
    <row r="212" spans="1:15" x14ac:dyDescent="0.3">
      <c r="A212" s="96"/>
      <c r="B212" s="96"/>
      <c r="C212" s="96"/>
      <c r="D212" s="97"/>
      <c r="E212" s="98"/>
      <c r="F212" s="101"/>
      <c r="G212" s="345">
        <f>+F212*H238</f>
        <v>0</v>
      </c>
      <c r="H212" s="102"/>
      <c r="I212" s="329"/>
      <c r="J212" s="195"/>
      <c r="K212" s="195"/>
      <c r="L212" s="195"/>
      <c r="M212" s="195"/>
      <c r="O212" s="48"/>
    </row>
    <row r="213" spans="1:15" x14ac:dyDescent="0.3">
      <c r="A213" s="173"/>
      <c r="B213" s="173"/>
      <c r="C213" s="173"/>
      <c r="D213" s="174"/>
      <c r="E213" s="123"/>
      <c r="F213" s="175"/>
      <c r="G213" s="346"/>
      <c r="H213" s="103"/>
      <c r="I213" s="329"/>
      <c r="J213" s="195"/>
      <c r="K213" s="195"/>
      <c r="L213" s="195"/>
      <c r="M213" s="195"/>
      <c r="O213" s="48"/>
    </row>
    <row r="214" spans="1:15" x14ac:dyDescent="0.3">
      <c r="A214" s="104" t="s">
        <v>65</v>
      </c>
      <c r="B214" s="105"/>
      <c r="C214" s="105"/>
      <c r="D214" s="105"/>
      <c r="E214" s="105"/>
      <c r="F214" s="105"/>
      <c r="G214" s="347"/>
      <c r="H214" s="190">
        <f>SUM(G210:G213)</f>
        <v>3777.6740627939112</v>
      </c>
      <c r="I214" s="329"/>
      <c r="J214" s="196" t="str">
        <f>+H207</f>
        <v>2,03</v>
      </c>
      <c r="K214" s="330">
        <f>+H214</f>
        <v>3777.6740627939112</v>
      </c>
      <c r="L214" s="195"/>
      <c r="M214" s="195"/>
      <c r="O214" s="48"/>
    </row>
    <row r="215" spans="1:15" x14ac:dyDescent="0.3">
      <c r="A215" s="108" t="s">
        <v>25</v>
      </c>
      <c r="B215" s="109"/>
      <c r="C215" s="110"/>
      <c r="D215" s="110"/>
      <c r="E215" s="111"/>
      <c r="F215" s="109"/>
      <c r="G215" s="348"/>
      <c r="H215" s="113"/>
      <c r="I215" s="329"/>
      <c r="J215" s="195"/>
      <c r="K215" s="195"/>
      <c r="L215" s="195"/>
      <c r="M215" s="195"/>
      <c r="O215" s="48"/>
    </row>
    <row r="216" spans="1:15" x14ac:dyDescent="0.3">
      <c r="A216" s="210" t="s">
        <v>66</v>
      </c>
      <c r="B216" s="217" t="s">
        <v>67</v>
      </c>
      <c r="C216" s="216" t="s">
        <v>68</v>
      </c>
      <c r="D216" s="211" t="s">
        <v>69</v>
      </c>
      <c r="E216" s="212" t="s">
        <v>70</v>
      </c>
      <c r="F216" s="211" t="s">
        <v>49</v>
      </c>
      <c r="G216" s="349" t="s">
        <v>71</v>
      </c>
      <c r="H216" s="214"/>
      <c r="I216" s="329"/>
      <c r="J216" s="195"/>
      <c r="K216" s="195"/>
      <c r="L216" s="195"/>
      <c r="M216" s="195"/>
      <c r="O216" s="48"/>
    </row>
    <row r="217" spans="1:15" x14ac:dyDescent="0.3">
      <c r="A217" s="114" t="s">
        <v>2176</v>
      </c>
      <c r="B217" s="115"/>
      <c r="C217" s="115"/>
      <c r="D217" s="121" t="str">
        <f>IFERROR(VLOOKUP(MATERIALES_03515[[#This Row],[Descripcion]],INSUM_[#All],2,FALSE),"")</f>
        <v>Unidad</v>
      </c>
      <c r="E217" s="170">
        <f>IFERROR(VLOOKUP(MATERIALES_03515[[#This Row],[Descripcion]],INSUM_[#All],3,FALSE),"")</f>
        <v>80515.59</v>
      </c>
      <c r="F217" s="116">
        <v>1</v>
      </c>
      <c r="G217" s="350">
        <f t="shared" ref="G217:G224" si="15">+IFERROR(E217*F217,"")</f>
        <v>80515.59</v>
      </c>
      <c r="H217" s="100"/>
      <c r="I217" s="329"/>
      <c r="J217" s="195" t="str">
        <f>+_xlfn.CONCAT("M",J214,K217)</f>
        <v>M2,031</v>
      </c>
      <c r="K217" s="195">
        <v>1</v>
      </c>
      <c r="L217" s="197">
        <f>+IFERROR(G217*H205,"")</f>
        <v>9500839.6199999992</v>
      </c>
      <c r="M217" s="48" t="str">
        <f>+A217</f>
        <v>Cuneta en concreto prefabricada de 20 cm x 30 cm x 1 m</v>
      </c>
      <c r="N217" s="332">
        <f>+F217</f>
        <v>1</v>
      </c>
      <c r="O217" s="48"/>
    </row>
    <row r="218" spans="1:15" x14ac:dyDescent="0.3">
      <c r="A218" s="114" t="s">
        <v>419</v>
      </c>
      <c r="B218" s="118"/>
      <c r="C218" s="118"/>
      <c r="D218" s="121" t="str">
        <f>IFERROR(VLOOKUP(MATERIALES_03515[[#This Row],[Descripcion]],INSUM_[#All],2,FALSE),"")</f>
        <v>Bulto</v>
      </c>
      <c r="E218" s="170">
        <f>IFERROR(VLOOKUP(MATERIALES_03515[[#This Row],[Descripcion]],INSUM_[#All],3,FALSE),"")</f>
        <v>50453.95</v>
      </c>
      <c r="F218" s="116">
        <f>7.5*0.018</f>
        <v>0.13499999999999998</v>
      </c>
      <c r="G218" s="350">
        <f t="shared" si="15"/>
        <v>6811.2832499999986</v>
      </c>
      <c r="H218" s="102"/>
      <c r="I218" s="329"/>
      <c r="J218" s="195" t="str">
        <f>+_xlfn.CONCAT("M",J214,K218)</f>
        <v>M2,032</v>
      </c>
      <c r="K218" s="195">
        <v>2</v>
      </c>
      <c r="L218" s="197">
        <f>+IFERROR(G218*H205,"")</f>
        <v>803731.4234999998</v>
      </c>
      <c r="M218" s="48" t="str">
        <f t="shared" ref="M218:M227" si="16">+A218</f>
        <v>Cemento gris bulto x 50 kilogramos</v>
      </c>
      <c r="N218" s="332">
        <f t="shared" ref="N218:N227" si="17">+F218</f>
        <v>0.13499999999999998</v>
      </c>
      <c r="O218" s="48"/>
    </row>
    <row r="219" spans="1:15" x14ac:dyDescent="0.3">
      <c r="A219" s="114" t="s">
        <v>216</v>
      </c>
      <c r="B219" s="118"/>
      <c r="C219" s="118"/>
      <c r="D219" s="121" t="str">
        <f>IFERROR(VLOOKUP(MATERIALES_03515[[#This Row],[Descripcion]],INSUM_[#All],2,FALSE),"")</f>
        <v>Metro cubico</v>
      </c>
      <c r="E219" s="170">
        <f>IFERROR(VLOOKUP(MATERIALES_03515[[#This Row],[Descripcion]],INSUM_[#All],3,FALSE),"")</f>
        <v>312239.94</v>
      </c>
      <c r="F219" s="116">
        <f>1.16*0.018</f>
        <v>2.0879999999999996E-2</v>
      </c>
      <c r="G219" s="350">
        <f t="shared" si="15"/>
        <v>6519.5699471999988</v>
      </c>
      <c r="H219" s="102"/>
      <c r="I219" s="329"/>
      <c r="J219" s="195" t="str">
        <f>+_xlfn.CONCAT("M",J214,K219)</f>
        <v>M2,033</v>
      </c>
      <c r="K219" s="195">
        <v>3</v>
      </c>
      <c r="L219" s="197">
        <f>+IFERROR(G219*H205,"")</f>
        <v>769309.25376959983</v>
      </c>
      <c r="M219" s="48" t="str">
        <f t="shared" si="16"/>
        <v>Arena fina</v>
      </c>
      <c r="N219" s="332">
        <f t="shared" si="17"/>
        <v>2.0879999999999996E-2</v>
      </c>
      <c r="O219" s="48"/>
    </row>
    <row r="220" spans="1:15" x14ac:dyDescent="0.3">
      <c r="A220" s="119"/>
      <c r="B220" s="120"/>
      <c r="C220" s="120"/>
      <c r="D220" s="121" t="str">
        <f>IFERROR(VLOOKUP(MATERIALES_03515[[#This Row],[Descripcion]],INSUM_[#All],2,FALSE),"")</f>
        <v/>
      </c>
      <c r="E220" s="170" t="str">
        <f>IFERROR(VLOOKUP(MATERIALES_03515[[#This Row],[Descripcion]],INSUM_[#All],3,FALSE),"")</f>
        <v/>
      </c>
      <c r="F220" s="121"/>
      <c r="G220" s="350" t="str">
        <f t="shared" si="15"/>
        <v/>
      </c>
      <c r="H220" s="102"/>
      <c r="I220" s="329"/>
      <c r="J220" s="195" t="str">
        <f>+_xlfn.CONCAT("M",J214,K220)</f>
        <v>M2,034</v>
      </c>
      <c r="K220" s="195">
        <v>4</v>
      </c>
      <c r="L220" s="197" t="str">
        <f>+IFERROR(G220*H205,"")</f>
        <v/>
      </c>
      <c r="M220" s="48">
        <f t="shared" si="16"/>
        <v>0</v>
      </c>
      <c r="N220" s="332">
        <f t="shared" si="17"/>
        <v>0</v>
      </c>
      <c r="O220" s="48"/>
    </row>
    <row r="221" spans="1:15" x14ac:dyDescent="0.3">
      <c r="A221" s="119"/>
      <c r="B221" s="120"/>
      <c r="C221" s="120"/>
      <c r="D221" s="121" t="str">
        <f>IFERROR(VLOOKUP(MATERIALES_03515[[#This Row],[Descripcion]],INSUM_[#All],2,FALSE),"")</f>
        <v/>
      </c>
      <c r="E221" s="170" t="str">
        <f>IFERROR(VLOOKUP(MATERIALES_03515[[#This Row],[Descripcion]],INSUM_[#All],3,FALSE),"")</f>
        <v/>
      </c>
      <c r="F221" s="121"/>
      <c r="G221" s="350" t="str">
        <f t="shared" si="15"/>
        <v/>
      </c>
      <c r="H221" s="102"/>
      <c r="I221" s="329"/>
      <c r="J221" s="195" t="str">
        <f>+_xlfn.CONCAT("M",J214,K221)</f>
        <v>M2,035</v>
      </c>
      <c r="K221" s="195">
        <v>5</v>
      </c>
      <c r="L221" s="197" t="str">
        <f>+IFERROR(G221*H205,"")</f>
        <v/>
      </c>
      <c r="M221" s="48">
        <f t="shared" si="16"/>
        <v>0</v>
      </c>
      <c r="N221" s="332">
        <f t="shared" si="17"/>
        <v>0</v>
      </c>
      <c r="O221" s="48"/>
    </row>
    <row r="222" spans="1:15" x14ac:dyDescent="0.3">
      <c r="A222" s="155"/>
      <c r="B222" s="118"/>
      <c r="C222" s="118"/>
      <c r="D222" s="121" t="str">
        <f>IFERROR(VLOOKUP(MATERIALES_03515[[#This Row],[Descripcion]],INSUM_[#All],2,FALSE),"")</f>
        <v/>
      </c>
      <c r="E222" s="170" t="str">
        <f>IFERROR(VLOOKUP(MATERIALES_03515[[#This Row],[Descripcion]],INSUM_[#All],3,FALSE),"")</f>
        <v/>
      </c>
      <c r="F222" s="116"/>
      <c r="G222" s="350" t="str">
        <f t="shared" si="15"/>
        <v/>
      </c>
      <c r="H222" s="102"/>
      <c r="I222" s="329"/>
      <c r="J222" s="195" t="str">
        <f>+_xlfn.CONCAT("M",J214,K222)</f>
        <v>M2,036</v>
      </c>
      <c r="K222" s="195">
        <v>6</v>
      </c>
      <c r="L222" s="197" t="str">
        <f>+IFERROR(G222*H205,"")</f>
        <v/>
      </c>
      <c r="M222" s="48">
        <f t="shared" si="16"/>
        <v>0</v>
      </c>
      <c r="N222" s="332">
        <f t="shared" si="17"/>
        <v>0</v>
      </c>
      <c r="O222" s="48"/>
    </row>
    <row r="223" spans="1:15" x14ac:dyDescent="0.3">
      <c r="A223" s="156"/>
      <c r="B223" s="120"/>
      <c r="C223" s="120"/>
      <c r="D223" s="121" t="str">
        <f>IFERROR(VLOOKUP(MATERIALES_03515[[#This Row],[Descripcion]],INSUM_[#All],2,FALSE),"")</f>
        <v/>
      </c>
      <c r="E223" s="170" t="str">
        <f>IFERROR(VLOOKUP(MATERIALES_03515[[#This Row],[Descripcion]],INSUM_[#All],3,FALSE),"")</f>
        <v/>
      </c>
      <c r="F223" s="121"/>
      <c r="G223" s="350" t="str">
        <f t="shared" si="15"/>
        <v/>
      </c>
      <c r="H223" s="102"/>
      <c r="I223" s="329"/>
      <c r="J223" s="195" t="str">
        <f>+_xlfn.CONCAT("M",J214,K223)</f>
        <v>M2,037</v>
      </c>
      <c r="K223" s="195">
        <v>7</v>
      </c>
      <c r="L223" s="197" t="str">
        <f>+IFERROR(G223*H205,"")</f>
        <v/>
      </c>
      <c r="M223" s="48">
        <f t="shared" si="16"/>
        <v>0</v>
      </c>
      <c r="N223" s="332">
        <f t="shared" si="17"/>
        <v>0</v>
      </c>
      <c r="O223" s="48"/>
    </row>
    <row r="224" spans="1:15" x14ac:dyDescent="0.3">
      <c r="A224" s="156"/>
      <c r="B224" s="120"/>
      <c r="C224" s="120"/>
      <c r="D224" s="121" t="str">
        <f>IFERROR(VLOOKUP(MATERIALES_03515[[#This Row],[Descripcion]],INSUM_[#All],2,FALSE),"")</f>
        <v/>
      </c>
      <c r="E224" s="170" t="str">
        <f>IFERROR(VLOOKUP(MATERIALES_03515[[#This Row],[Descripcion]],INSUM_[#All],3,FALSE),"")</f>
        <v/>
      </c>
      <c r="F224" s="121"/>
      <c r="G224" s="350" t="str">
        <f t="shared" si="15"/>
        <v/>
      </c>
      <c r="H224" s="102"/>
      <c r="I224" s="329"/>
      <c r="J224" s="195" t="str">
        <f>+_xlfn.CONCAT("M",J214,K224)</f>
        <v>M2,038</v>
      </c>
      <c r="K224" s="195">
        <v>8</v>
      </c>
      <c r="L224" s="197" t="str">
        <f>+IFERROR(G224*H205,"")</f>
        <v/>
      </c>
      <c r="M224" s="48">
        <f t="shared" si="16"/>
        <v>0</v>
      </c>
      <c r="N224" s="332">
        <f t="shared" si="17"/>
        <v>0</v>
      </c>
      <c r="O224" s="48"/>
    </row>
    <row r="225" spans="1:15" x14ac:dyDescent="0.3">
      <c r="A225" s="156"/>
      <c r="B225" s="120"/>
      <c r="C225" s="120"/>
      <c r="D225" s="121"/>
      <c r="E225" s="170"/>
      <c r="F225" s="121"/>
      <c r="G225" s="350"/>
      <c r="H225" s="102"/>
      <c r="I225" s="329"/>
      <c r="J225" s="195" t="str">
        <f>+_xlfn.CONCAT("M",J214,K225)</f>
        <v>M2,039</v>
      </c>
      <c r="K225" s="195">
        <v>9</v>
      </c>
      <c r="L225" s="197">
        <f>+IFERROR(G225*H205,"")</f>
        <v>0</v>
      </c>
      <c r="M225" s="48">
        <f t="shared" si="16"/>
        <v>0</v>
      </c>
      <c r="N225" s="332">
        <f t="shared" si="17"/>
        <v>0</v>
      </c>
      <c r="O225" s="48"/>
    </row>
    <row r="226" spans="1:15" x14ac:dyDescent="0.3">
      <c r="A226" s="156"/>
      <c r="B226" s="120"/>
      <c r="C226" s="120"/>
      <c r="D226" s="121"/>
      <c r="E226" s="170"/>
      <c r="F226" s="121"/>
      <c r="G226" s="350"/>
      <c r="H226" s="102"/>
      <c r="I226" s="329"/>
      <c r="J226" s="195" t="str">
        <f>+_xlfn.CONCAT("M",J214,K226)</f>
        <v>M2,0310</v>
      </c>
      <c r="K226" s="195">
        <v>10</v>
      </c>
      <c r="L226" s="197">
        <f>+IFERROR(G226*H205,"")</f>
        <v>0</v>
      </c>
      <c r="M226" s="48">
        <f t="shared" si="16"/>
        <v>0</v>
      </c>
      <c r="N226" s="332">
        <f t="shared" si="17"/>
        <v>0</v>
      </c>
      <c r="O226" s="48"/>
    </row>
    <row r="227" spans="1:15" x14ac:dyDescent="0.3">
      <c r="A227" s="156"/>
      <c r="B227" s="120"/>
      <c r="C227" s="120"/>
      <c r="D227" s="121"/>
      <c r="E227" s="170"/>
      <c r="F227" s="121"/>
      <c r="G227" s="350"/>
      <c r="H227" s="102"/>
      <c r="I227" s="329"/>
      <c r="J227" s="195" t="str">
        <f>+_xlfn.CONCAT("M",J214,K227)</f>
        <v>M2,0311</v>
      </c>
      <c r="K227" s="195">
        <v>11</v>
      </c>
      <c r="L227" s="197">
        <f>+IFERROR(G227*H205,"")</f>
        <v>0</v>
      </c>
      <c r="M227" s="48">
        <f t="shared" si="16"/>
        <v>0</v>
      </c>
      <c r="N227" s="332">
        <f t="shared" si="17"/>
        <v>0</v>
      </c>
      <c r="O227" s="48"/>
    </row>
    <row r="228" spans="1:15" x14ac:dyDescent="0.3">
      <c r="A228" s="104" t="s">
        <v>81</v>
      </c>
      <c r="B228" s="105"/>
      <c r="C228" s="105"/>
      <c r="D228" s="105"/>
      <c r="E228" s="105"/>
      <c r="F228" s="105"/>
      <c r="G228" s="347"/>
      <c r="H228" s="190">
        <f>SUM(G217:G227)</f>
        <v>93846.443197199987</v>
      </c>
      <c r="I228" s="329"/>
      <c r="J228" s="195"/>
      <c r="K228" s="196" t="str">
        <f>+H207</f>
        <v>2,03</v>
      </c>
      <c r="L228" s="198">
        <f>SUM(L217:L227)</f>
        <v>11073880.297269598</v>
      </c>
      <c r="M228" s="330">
        <f>+H228</f>
        <v>93846.443197199987</v>
      </c>
      <c r="O228" s="48"/>
    </row>
    <row r="229" spans="1:15" x14ac:dyDescent="0.3">
      <c r="A229" s="91" t="s">
        <v>26</v>
      </c>
      <c r="B229" s="124"/>
      <c r="C229" s="125"/>
      <c r="D229" s="125"/>
      <c r="E229" s="126"/>
      <c r="F229" s="124"/>
      <c r="G229" s="351"/>
      <c r="H229" s="113"/>
      <c r="I229" s="329"/>
      <c r="J229" s="195"/>
      <c r="K229" s="195"/>
      <c r="L229" s="195"/>
      <c r="M229" s="195"/>
      <c r="O229" s="48"/>
    </row>
    <row r="230" spans="1:15" x14ac:dyDescent="0.3">
      <c r="A230" s="205" t="s">
        <v>57</v>
      </c>
      <c r="B230" s="217" t="s">
        <v>67</v>
      </c>
      <c r="C230" s="211" t="s">
        <v>82</v>
      </c>
      <c r="D230" s="211" t="s">
        <v>83</v>
      </c>
      <c r="E230" s="212" t="s">
        <v>61</v>
      </c>
      <c r="F230" s="207" t="s">
        <v>49</v>
      </c>
      <c r="G230" s="343" t="s">
        <v>71</v>
      </c>
      <c r="H230" s="215"/>
      <c r="I230" s="329"/>
      <c r="J230" s="195"/>
      <c r="K230" s="195"/>
      <c r="L230" s="195"/>
      <c r="M230" s="195"/>
      <c r="O230" s="48"/>
    </row>
    <row r="231" spans="1:15" x14ac:dyDescent="0.3">
      <c r="A231" s="155" t="s">
        <v>2285</v>
      </c>
      <c r="B231" s="115"/>
      <c r="C231" s="115">
        <v>1</v>
      </c>
      <c r="D231" s="127">
        <v>1</v>
      </c>
      <c r="E231" s="98">
        <f t="shared" ref="E231" si="18">1.0953*1200</f>
        <v>1314.36</v>
      </c>
      <c r="F231" s="128">
        <v>1</v>
      </c>
      <c r="G231" s="345">
        <f>E231*F231*D231</f>
        <v>1314.36</v>
      </c>
      <c r="H231" s="102"/>
      <c r="I231" s="329"/>
      <c r="J231" s="195"/>
      <c r="K231" s="195"/>
      <c r="L231" s="195"/>
      <c r="M231" s="195"/>
      <c r="O231" s="48"/>
    </row>
    <row r="232" spans="1:15" x14ac:dyDescent="0.3">
      <c r="A232" s="156"/>
      <c r="B232" s="178"/>
      <c r="C232" s="178"/>
      <c r="D232" s="122"/>
      <c r="E232" s="123"/>
      <c r="F232" s="179"/>
      <c r="G232" s="346">
        <f>E232*F232*D232</f>
        <v>0</v>
      </c>
      <c r="H232" s="102"/>
      <c r="I232" s="329"/>
      <c r="J232" s="195"/>
      <c r="K232" s="195"/>
      <c r="L232" s="195"/>
      <c r="M232" s="195"/>
      <c r="O232" s="48"/>
    </row>
    <row r="233" spans="1:15" x14ac:dyDescent="0.3">
      <c r="A233" s="104" t="s">
        <v>84</v>
      </c>
      <c r="B233" s="105"/>
      <c r="C233" s="105"/>
      <c r="D233" s="105"/>
      <c r="E233" s="105"/>
      <c r="F233" s="105"/>
      <c r="G233" s="347"/>
      <c r="H233" s="107">
        <f>G231+G232</f>
        <v>1314.36</v>
      </c>
      <c r="I233" s="329"/>
      <c r="J233" s="195"/>
      <c r="K233" s="195"/>
      <c r="L233" s="196" t="str">
        <f>+H207</f>
        <v>2,03</v>
      </c>
      <c r="M233" s="333">
        <f>+H233</f>
        <v>1314.36</v>
      </c>
      <c r="O233" s="48"/>
    </row>
    <row r="234" spans="1:15" x14ac:dyDescent="0.3">
      <c r="A234" s="130" t="s">
        <v>85</v>
      </c>
      <c r="B234" s="124"/>
      <c r="C234" s="124"/>
      <c r="D234" s="125"/>
      <c r="E234" s="126"/>
      <c r="F234" s="124"/>
      <c r="G234" s="351"/>
      <c r="H234" s="113"/>
      <c r="I234" s="329"/>
      <c r="J234" s="195"/>
      <c r="K234" s="195"/>
      <c r="L234" s="195"/>
      <c r="M234" s="195"/>
      <c r="O234" s="48"/>
    </row>
    <row r="235" spans="1:15" x14ac:dyDescent="0.3">
      <c r="A235" s="218" t="s">
        <v>57</v>
      </c>
      <c r="B235" s="211" t="s">
        <v>86</v>
      </c>
      <c r="C235" s="211" t="s">
        <v>87</v>
      </c>
      <c r="D235" s="211" t="s">
        <v>88</v>
      </c>
      <c r="E235" s="212" t="s">
        <v>89</v>
      </c>
      <c r="F235" s="207" t="s">
        <v>62</v>
      </c>
      <c r="G235" s="343" t="s">
        <v>63</v>
      </c>
      <c r="H235" s="215"/>
      <c r="I235" s="329"/>
      <c r="J235" s="195"/>
      <c r="K235" s="195"/>
      <c r="L235" s="195"/>
      <c r="M235" s="195"/>
      <c r="O235" s="48"/>
    </row>
    <row r="236" spans="1:15" x14ac:dyDescent="0.3">
      <c r="A236" s="181" t="s">
        <v>90</v>
      </c>
      <c r="B236" s="129">
        <v>1</v>
      </c>
      <c r="C236" s="131">
        <f>1.0953*60000</f>
        <v>65718</v>
      </c>
      <c r="D236" s="132">
        <v>1.75</v>
      </c>
      <c r="E236" s="133">
        <f>B236*C236*(D236)</f>
        <v>115006.5</v>
      </c>
      <c r="F236" s="134">
        <v>2.4325618515562648E-2</v>
      </c>
      <c r="G236" s="350">
        <f>E236*F236</f>
        <v>2797.6042458100555</v>
      </c>
      <c r="H236" s="100"/>
      <c r="I236" s="329"/>
      <c r="J236" s="195"/>
      <c r="K236" s="195"/>
      <c r="L236" s="195"/>
      <c r="M236" s="195"/>
      <c r="O236" s="48"/>
    </row>
    <row r="237" spans="1:15" x14ac:dyDescent="0.3">
      <c r="A237" s="183" t="s">
        <v>91</v>
      </c>
      <c r="B237" s="122">
        <v>1</v>
      </c>
      <c r="C237" s="184">
        <f>1.0953*2600000/30</f>
        <v>94926</v>
      </c>
      <c r="D237" s="185">
        <v>1.68</v>
      </c>
      <c r="E237" s="186">
        <f>B237*C237*(D237)</f>
        <v>159475.68</v>
      </c>
      <c r="F237" s="187">
        <f>F236</f>
        <v>2.4325618515562648E-2</v>
      </c>
      <c r="G237" s="352">
        <f>E237*F237</f>
        <v>3879.3445541899437</v>
      </c>
      <c r="H237" s="102"/>
      <c r="I237" s="329"/>
      <c r="J237" s="195"/>
      <c r="K237" s="195"/>
      <c r="L237" s="195"/>
      <c r="M237" s="195"/>
      <c r="O237" s="48"/>
    </row>
    <row r="238" spans="1:15" x14ac:dyDescent="0.3">
      <c r="A238" s="135" t="s">
        <v>92</v>
      </c>
      <c r="B238" s="136"/>
      <c r="C238" s="136"/>
      <c r="D238" s="136"/>
      <c r="E238" s="136"/>
      <c r="F238" s="136"/>
      <c r="G238" s="353"/>
      <c r="H238" s="190">
        <f>SUM(G236:G237)</f>
        <v>6676.9487999999992</v>
      </c>
      <c r="I238" s="329"/>
      <c r="J238" s="195"/>
      <c r="K238" s="195"/>
      <c r="L238" s="195"/>
      <c r="M238" s="196" t="str">
        <f>+H207</f>
        <v>2,03</v>
      </c>
      <c r="N238" s="330">
        <f>+H238</f>
        <v>6676.9487999999992</v>
      </c>
      <c r="O238" s="48"/>
    </row>
    <row r="239" spans="1:15" x14ac:dyDescent="0.3">
      <c r="A239" s="130" t="s">
        <v>93</v>
      </c>
      <c r="B239" s="138"/>
      <c r="C239" s="138"/>
      <c r="D239" s="138"/>
      <c r="E239" s="138"/>
      <c r="F239" s="138"/>
      <c r="G239" s="354"/>
      <c r="H239" s="139"/>
      <c r="I239" s="329"/>
      <c r="J239" s="195"/>
      <c r="K239" s="195"/>
      <c r="L239" s="195"/>
      <c r="M239" s="195"/>
      <c r="O239" s="48"/>
    </row>
    <row r="240" spans="1:15" x14ac:dyDescent="0.3">
      <c r="A240" s="219" t="s">
        <v>94</v>
      </c>
      <c r="B240" s="220"/>
      <c r="C240" s="220"/>
      <c r="D240" s="220"/>
      <c r="E240" s="220"/>
      <c r="F240" s="220"/>
      <c r="G240" s="355"/>
      <c r="H240" s="222">
        <f>H238+H233+H228+H214</f>
        <v>105615.4260599939</v>
      </c>
      <c r="I240" s="329"/>
      <c r="J240" s="195"/>
      <c r="K240" s="195"/>
      <c r="L240" s="195"/>
      <c r="M240" s="195"/>
      <c r="O240" s="48"/>
    </row>
    <row r="241" spans="1:15" x14ac:dyDescent="0.3">
      <c r="A241" s="140"/>
      <c r="B241" s="92"/>
      <c r="C241" s="141"/>
      <c r="D241" s="141"/>
      <c r="E241" s="93"/>
      <c r="F241" s="92"/>
      <c r="G241" s="356"/>
      <c r="H241" s="142"/>
      <c r="I241" s="329"/>
      <c r="J241" s="195"/>
      <c r="K241" s="195"/>
      <c r="L241" s="195"/>
      <c r="M241" s="195"/>
      <c r="O241" s="48"/>
    </row>
    <row r="242" spans="1:15" x14ac:dyDescent="0.3">
      <c r="A242" s="140"/>
      <c r="B242" s="92"/>
      <c r="C242" s="141"/>
      <c r="D242" s="143" t="s">
        <v>95</v>
      </c>
      <c r="E242" s="144"/>
      <c r="F242" s="144"/>
      <c r="G242" s="357"/>
      <c r="H242" s="146">
        <f>H240</f>
        <v>105615.4260599939</v>
      </c>
      <c r="I242" s="329"/>
      <c r="J242" s="195"/>
      <c r="K242" s="195"/>
      <c r="L242" s="195"/>
      <c r="M242" s="195"/>
      <c r="O242" s="48"/>
    </row>
    <row r="243" spans="1:15" x14ac:dyDescent="0.3">
      <c r="A243" s="140"/>
      <c r="B243" s="92"/>
      <c r="C243" s="141"/>
      <c r="D243" s="141"/>
      <c r="E243" s="93"/>
      <c r="F243" s="92"/>
      <c r="G243" s="356"/>
      <c r="H243" s="139"/>
      <c r="I243" s="329"/>
      <c r="J243" s="195"/>
      <c r="K243" s="195"/>
      <c r="L243" s="195"/>
      <c r="M243" s="195"/>
      <c r="O243" s="48"/>
    </row>
    <row r="244" spans="1:15" x14ac:dyDescent="0.3">
      <c r="A244" s="147" t="s">
        <v>96</v>
      </c>
      <c r="B244" s="92"/>
      <c r="C244" s="141"/>
      <c r="D244" s="141"/>
      <c r="E244" s="93"/>
      <c r="F244" s="92"/>
      <c r="G244" s="356"/>
      <c r="H244" s="139"/>
      <c r="I244" s="329"/>
      <c r="J244" s="195"/>
      <c r="K244" s="195"/>
      <c r="L244" s="195"/>
      <c r="M244" s="195"/>
      <c r="O244" s="48"/>
    </row>
    <row r="245" spans="1:15" x14ac:dyDescent="0.3">
      <c r="A245" s="148"/>
      <c r="B245" s="124"/>
      <c r="C245" s="125"/>
      <c r="D245" s="141"/>
      <c r="E245" s="157" t="s">
        <v>97</v>
      </c>
      <c r="F245" s="157"/>
      <c r="G245" s="358"/>
      <c r="H245" s="139"/>
      <c r="I245" s="329"/>
      <c r="J245" s="195"/>
      <c r="K245" s="195"/>
      <c r="L245" s="195"/>
      <c r="M245" s="195"/>
      <c r="O245" s="48"/>
    </row>
    <row r="246" spans="1:15" x14ac:dyDescent="0.3">
      <c r="A246" s="148"/>
      <c r="B246" s="124"/>
      <c r="C246" s="125"/>
      <c r="D246" s="141"/>
      <c r="E246" s="149" t="str">
        <f>IF('INF. GENERAL'!$B$19=0," ",'INF. GENERAL'!$B$19)</f>
        <v>JAVIER JOSÉ ROSADO MENDINUETA</v>
      </c>
      <c r="F246" s="150"/>
      <c r="G246" s="359"/>
      <c r="H246" s="139"/>
      <c r="I246" s="329"/>
      <c r="J246" s="195"/>
      <c r="K246" s="195"/>
      <c r="L246" s="195"/>
      <c r="M246" s="195"/>
      <c r="O246" s="48"/>
    </row>
    <row r="247" spans="1:15" x14ac:dyDescent="0.3">
      <c r="A247" s="148"/>
      <c r="B247" s="124"/>
      <c r="C247" s="125"/>
      <c r="D247" s="141"/>
      <c r="E247" s="160" t="str">
        <f>IF('INF. GENERAL'!$B$20=0," ",'INF. GENERAL'!$B$20)</f>
        <v>PROFESIONAL APOYO</v>
      </c>
      <c r="F247" s="158"/>
      <c r="G247" s="360"/>
      <c r="H247" s="139"/>
      <c r="I247" s="329"/>
      <c r="J247" s="195"/>
      <c r="K247" s="195"/>
      <c r="L247" s="195"/>
      <c r="M247" s="195"/>
      <c r="O247" s="48"/>
    </row>
    <row r="248" spans="1:15" x14ac:dyDescent="0.3">
      <c r="A248" s="148"/>
      <c r="B248" s="124"/>
      <c r="C248" s="125"/>
      <c r="D248" s="141"/>
      <c r="E248" s="160" t="str">
        <f>IF('INF. GENERAL'!$B$18=0," ",'INF. GENERAL'!$B$18)</f>
        <v>ALCALDÍA MUNICIPAL DE FUNDACIÓN - MAGDALENA</v>
      </c>
      <c r="F248" s="159"/>
      <c r="G248" s="361"/>
      <c r="H248" s="139"/>
      <c r="I248" s="329"/>
      <c r="J248" s="195"/>
      <c r="K248" s="195"/>
      <c r="L248" s="195"/>
      <c r="M248" s="195"/>
      <c r="O248" s="48"/>
    </row>
    <row r="249" spans="1:15" x14ac:dyDescent="0.3">
      <c r="A249" s="140"/>
      <c r="B249" s="92"/>
      <c r="C249" s="141"/>
      <c r="D249" s="141"/>
      <c r="E249" s="154" t="str">
        <f>IF('INF. GENERAL'!$B$21=0," ",'INF. GENERAL'!$B$21)</f>
        <v>MP: 08700-52350</v>
      </c>
      <c r="F249" s="152"/>
      <c r="G249" s="362"/>
      <c r="H249" s="139"/>
      <c r="I249" s="329"/>
      <c r="J249" s="195"/>
      <c r="K249" s="195"/>
      <c r="L249" s="195"/>
      <c r="M249" s="195"/>
      <c r="O249" s="48"/>
    </row>
    <row r="250" spans="1:15" ht="15" thickBot="1" x14ac:dyDescent="0.35">
      <c r="A250" s="164" t="s">
        <v>37</v>
      </c>
      <c r="B250" s="165"/>
      <c r="C250" s="166"/>
      <c r="D250" s="166"/>
      <c r="E250" s="167"/>
      <c r="F250" s="167"/>
      <c r="G250" s="363"/>
      <c r="H250" s="168" t="s">
        <v>37</v>
      </c>
      <c r="I250" s="329"/>
      <c r="J250" s="195"/>
      <c r="K250" s="195"/>
      <c r="L250" s="195"/>
      <c r="M250" s="195"/>
      <c r="O250" s="48"/>
    </row>
    <row r="251" spans="1:15" x14ac:dyDescent="0.3">
      <c r="A251" s="63" t="str">
        <f>+'INF. GENERAL'!$B$13</f>
        <v>REPUBLICA DE COLOMBIA</v>
      </c>
      <c r="B251" s="64"/>
      <c r="C251" s="64"/>
      <c r="D251" s="64"/>
      <c r="E251" s="64"/>
      <c r="F251" s="65"/>
      <c r="G251" s="66"/>
      <c r="H251" s="67"/>
      <c r="I251" s="329"/>
      <c r="J251" s="195"/>
      <c r="K251" s="195"/>
      <c r="L251" s="195"/>
      <c r="M251" s="195"/>
      <c r="O251" s="48"/>
    </row>
    <row r="252" spans="1:15" x14ac:dyDescent="0.3">
      <c r="A252" s="68" t="str">
        <f>+'INF. GENERAL'!$B$14</f>
        <v>FUNDACIÓN</v>
      </c>
      <c r="B252" s="69"/>
      <c r="C252" s="69"/>
      <c r="D252" s="69"/>
      <c r="E252" s="69"/>
      <c r="F252" s="70"/>
      <c r="G252" s="71"/>
      <c r="H252" s="72"/>
      <c r="I252" s="329"/>
      <c r="J252" s="195"/>
      <c r="K252" s="195"/>
      <c r="L252" s="195"/>
      <c r="M252" s="195"/>
      <c r="O252" s="48"/>
    </row>
    <row r="253" spans="1:15" ht="15" thickBot="1" x14ac:dyDescent="0.35">
      <c r="A253" s="73" t="str">
        <f>+'INF. GENERAL'!$B$15</f>
        <v>MAGDALENA</v>
      </c>
      <c r="B253" s="74"/>
      <c r="C253" s="74"/>
      <c r="D253" s="74"/>
      <c r="E253" s="74"/>
      <c r="F253" s="75"/>
      <c r="G253" s="71"/>
      <c r="H253" s="72"/>
      <c r="I253" s="329"/>
      <c r="J253" s="195"/>
      <c r="K253" s="195"/>
      <c r="L253" s="195"/>
      <c r="M253" s="195"/>
      <c r="O253" s="48"/>
    </row>
    <row r="254" spans="1:15" ht="28.2" thickBot="1" x14ac:dyDescent="0.35">
      <c r="A254" s="202" t="str">
        <f>+CONCATENATE('INF. GENERAL'!$A$4,'INF. GENERAL'!$B$4)</f>
        <v>OBJETO: ACTIVIDADES ADICIONALES A LA ADECUACIÓN DE LA CANCHA DE FÚTBOL (ID 2615), VEREDA COMUNIDAD CRISTALINA BAJA (ID 200), MUNICIPIO DE FUNDACION, MAGDALENA</v>
      </c>
      <c r="B254" s="203"/>
      <c r="C254" s="203"/>
      <c r="D254" s="203"/>
      <c r="E254" s="203"/>
      <c r="F254" s="204"/>
      <c r="G254" s="71"/>
      <c r="H254" s="72"/>
      <c r="I254" s="329"/>
      <c r="J254" s="195"/>
      <c r="K254" s="195"/>
      <c r="L254" s="195"/>
      <c r="M254" s="195"/>
      <c r="O254" s="48"/>
    </row>
    <row r="255" spans="1:15" ht="15" thickBot="1" x14ac:dyDescent="0.35">
      <c r="A255" s="76" t="s">
        <v>53</v>
      </c>
      <c r="B255" s="77"/>
      <c r="C255" s="77"/>
      <c r="D255" s="77"/>
      <c r="E255" s="77"/>
      <c r="F255" s="78"/>
      <c r="G255" s="79" t="s">
        <v>49</v>
      </c>
      <c r="H255" s="80">
        <f>+VLOOKUP(H257,PRESUPUESTO!$A$1:$F$973,6,FALSE)</f>
        <v>99</v>
      </c>
      <c r="I255" s="329"/>
      <c r="J255" s="195"/>
      <c r="K255" s="195"/>
      <c r="L255" s="195"/>
      <c r="M255" s="195"/>
      <c r="O255" s="48"/>
    </row>
    <row r="256" spans="1:15" ht="26.4" x14ac:dyDescent="0.3">
      <c r="A256" s="81" t="s">
        <v>54</v>
      </c>
      <c r="B256" s="82" t="str">
        <f>VLOOKUP(H257,PRESUPUESTO!$A$3:$F$973,3,FALSE)</f>
        <v>EXCAVACIONES, RELLENOS Y SISTEMA DE DRENAJE</v>
      </c>
      <c r="C256" s="83"/>
      <c r="D256" s="83"/>
      <c r="E256" s="84" t="s">
        <v>55</v>
      </c>
      <c r="F256" s="85" t="str">
        <f>+VLOOKUP(H257,PRESUPUESTO!$A$1:$F$973,5,FALSE)</f>
        <v>ml</v>
      </c>
      <c r="G256" s="86" t="s">
        <v>56</v>
      </c>
      <c r="H256" s="87"/>
      <c r="I256" s="329"/>
      <c r="J256" s="195"/>
      <c r="K256" s="195"/>
      <c r="L256" s="195"/>
      <c r="M256" s="195"/>
      <c r="O256" s="48"/>
    </row>
    <row r="257" spans="1:15" ht="15" thickBot="1" x14ac:dyDescent="0.35">
      <c r="A257" s="88" t="s">
        <v>20</v>
      </c>
      <c r="B257" s="89" t="str">
        <f>+VLOOKUP(H257,PRESUPUESTO!$A$1:$F$973,4,FALSE)</f>
        <v>Suministro e instalacion tuberia de alcantarillado corrugada 8"</v>
      </c>
      <c r="C257" s="89"/>
      <c r="D257" s="89"/>
      <c r="E257" s="89"/>
      <c r="F257" s="89"/>
      <c r="G257" s="90" t="s">
        <v>18</v>
      </c>
      <c r="H257" s="194" t="s">
        <v>2246</v>
      </c>
      <c r="I257" s="329"/>
      <c r="J257" s="195"/>
      <c r="K257" s="195"/>
      <c r="L257" s="195"/>
      <c r="M257" s="195"/>
      <c r="O257" s="48"/>
    </row>
    <row r="258" spans="1:15" ht="15" thickBot="1" x14ac:dyDescent="0.35">
      <c r="A258" s="91" t="s">
        <v>24</v>
      </c>
      <c r="B258" s="92"/>
      <c r="C258" s="92"/>
      <c r="D258" s="92"/>
      <c r="E258" s="93"/>
      <c r="F258" s="92"/>
      <c r="G258" s="94"/>
      <c r="H258" s="95"/>
      <c r="I258" s="329"/>
      <c r="J258" s="195"/>
      <c r="K258" s="195"/>
      <c r="L258" s="195"/>
      <c r="M258" s="195"/>
      <c r="O258" s="48"/>
    </row>
    <row r="259" spans="1:15" x14ac:dyDescent="0.3">
      <c r="A259" s="205" t="s">
        <v>57</v>
      </c>
      <c r="B259" s="216" t="s">
        <v>58</v>
      </c>
      <c r="C259" s="216" t="s">
        <v>59</v>
      </c>
      <c r="D259" s="216" t="s">
        <v>60</v>
      </c>
      <c r="E259" s="206" t="s">
        <v>61</v>
      </c>
      <c r="F259" s="207" t="s">
        <v>62</v>
      </c>
      <c r="G259" s="208" t="s">
        <v>63</v>
      </c>
      <c r="H259" s="209"/>
      <c r="I259" s="329"/>
      <c r="J259" s="195"/>
      <c r="K259" s="195"/>
      <c r="L259" s="195"/>
      <c r="M259" s="195"/>
      <c r="O259" s="48"/>
    </row>
    <row r="260" spans="1:15" x14ac:dyDescent="0.3">
      <c r="A260" s="96" t="s">
        <v>2286</v>
      </c>
      <c r="B260" s="96"/>
      <c r="C260" s="96"/>
      <c r="D260" s="97"/>
      <c r="E260" s="98"/>
      <c r="F260" s="99"/>
      <c r="G260" s="344">
        <f>1.0953*2857.55654757977</f>
        <v>3129.8816865641215</v>
      </c>
      <c r="H260" s="100"/>
      <c r="I260" s="329"/>
      <c r="J260" s="195"/>
      <c r="K260" s="195"/>
      <c r="L260" s="195"/>
      <c r="M260" s="195"/>
      <c r="O260" s="48"/>
    </row>
    <row r="261" spans="1:15" x14ac:dyDescent="0.3">
      <c r="A261" s="96" t="s">
        <v>2287</v>
      </c>
      <c r="B261" s="96"/>
      <c r="C261" s="96"/>
      <c r="D261" s="97"/>
      <c r="E261" s="98"/>
      <c r="F261" s="99"/>
      <c r="G261" s="344">
        <f>1.0953*1905.03769838651</f>
        <v>2086.5877910427444</v>
      </c>
      <c r="H261" s="100"/>
      <c r="I261" s="329"/>
      <c r="J261" s="195"/>
      <c r="K261" s="195"/>
      <c r="L261" s="195"/>
      <c r="M261" s="195"/>
      <c r="O261" s="48"/>
    </row>
    <row r="262" spans="1:15" x14ac:dyDescent="0.3">
      <c r="A262" s="96"/>
      <c r="B262" s="96"/>
      <c r="C262" s="96"/>
      <c r="D262" s="97"/>
      <c r="E262" s="98"/>
      <c r="F262" s="101"/>
      <c r="G262" s="345">
        <f>+F262*H288</f>
        <v>0</v>
      </c>
      <c r="H262" s="102"/>
      <c r="I262" s="329"/>
      <c r="J262" s="195"/>
      <c r="K262" s="195"/>
      <c r="L262" s="195"/>
      <c r="M262" s="195"/>
      <c r="O262" s="48"/>
    </row>
    <row r="263" spans="1:15" x14ac:dyDescent="0.3">
      <c r="A263" s="173"/>
      <c r="B263" s="173"/>
      <c r="C263" s="173"/>
      <c r="D263" s="174"/>
      <c r="E263" s="123"/>
      <c r="F263" s="175"/>
      <c r="G263" s="176"/>
      <c r="H263" s="103"/>
      <c r="I263" s="329"/>
      <c r="J263" s="195"/>
      <c r="K263" s="195"/>
      <c r="L263" s="195"/>
      <c r="M263" s="195"/>
      <c r="O263" s="48"/>
    </row>
    <row r="264" spans="1:15" x14ac:dyDescent="0.3">
      <c r="A264" s="104" t="s">
        <v>65</v>
      </c>
      <c r="B264" s="105"/>
      <c r="C264" s="105"/>
      <c r="D264" s="105"/>
      <c r="E264" s="105"/>
      <c r="F264" s="105"/>
      <c r="G264" s="106"/>
      <c r="H264" s="190">
        <f>SUM(G260:G263)</f>
        <v>5216.4694776068663</v>
      </c>
      <c r="I264" s="329"/>
      <c r="J264" s="196" t="str">
        <f>+H257</f>
        <v>2,04</v>
      </c>
      <c r="K264" s="330">
        <f>+H264</f>
        <v>5216.4694776068663</v>
      </c>
      <c r="L264" s="195"/>
      <c r="M264" s="195"/>
      <c r="O264" s="48"/>
    </row>
    <row r="265" spans="1:15" x14ac:dyDescent="0.3">
      <c r="A265" s="108" t="s">
        <v>25</v>
      </c>
      <c r="B265" s="109"/>
      <c r="C265" s="110"/>
      <c r="D265" s="110"/>
      <c r="E265" s="111"/>
      <c r="F265" s="109"/>
      <c r="G265" s="112"/>
      <c r="H265" s="113"/>
      <c r="I265" s="329"/>
      <c r="J265" s="195"/>
      <c r="K265" s="195"/>
      <c r="L265" s="195"/>
      <c r="M265" s="195"/>
      <c r="O265" s="48"/>
    </row>
    <row r="266" spans="1:15" x14ac:dyDescent="0.3">
      <c r="A266" s="210" t="s">
        <v>66</v>
      </c>
      <c r="B266" s="217" t="s">
        <v>67</v>
      </c>
      <c r="C266" s="216" t="s">
        <v>68</v>
      </c>
      <c r="D266" s="211" t="s">
        <v>69</v>
      </c>
      <c r="E266" s="212" t="s">
        <v>70</v>
      </c>
      <c r="F266" s="211" t="s">
        <v>49</v>
      </c>
      <c r="G266" s="213" t="s">
        <v>71</v>
      </c>
      <c r="H266" s="214"/>
      <c r="I266" s="329"/>
      <c r="J266" s="195"/>
      <c r="K266" s="195"/>
      <c r="L266" s="195"/>
      <c r="M266" s="195"/>
      <c r="O266" s="48"/>
    </row>
    <row r="267" spans="1:15" x14ac:dyDescent="0.3">
      <c r="A267" s="114" t="s">
        <v>1098</v>
      </c>
      <c r="B267" s="115"/>
      <c r="C267" s="115"/>
      <c r="D267" s="121" t="str">
        <f>IFERROR(VLOOKUP(MATERIALES_03548[[#This Row],[Descripcion]],INSUM_[#All],2,FALSE),"")</f>
        <v>Unidad</v>
      </c>
      <c r="E267" s="170">
        <f>IFERROR(VLOOKUP(MATERIALES_03548[[#This Row],[Descripcion]],INSUM_[#All],3,FALSE),"")</f>
        <v>380642.01</v>
      </c>
      <c r="F267" s="116">
        <f t="shared" ref="F267" si="19">1.03/6</f>
        <v>0.17166666666666666</v>
      </c>
      <c r="G267" s="117">
        <f t="shared" ref="G267:G277" si="20">+IFERROR(E267*F267,"")</f>
        <v>65343.545050000001</v>
      </c>
      <c r="H267" s="100"/>
      <c r="I267" s="329"/>
      <c r="J267" s="195" t="str">
        <f>+_xlfn.CONCAT("M",J264,K267)</f>
        <v>M2,041</v>
      </c>
      <c r="K267" s="195">
        <v>1</v>
      </c>
      <c r="L267" s="197">
        <f>+IFERROR(G267*H255,"")</f>
        <v>6469010.95995</v>
      </c>
      <c r="M267" s="48" t="str">
        <f>+A267</f>
        <v>Tuberia PVC Alcantarillado - Novafort 8" x 6m</v>
      </c>
      <c r="N267" s="332">
        <f>+F267</f>
        <v>0.17166666666666666</v>
      </c>
      <c r="O267" s="48"/>
    </row>
    <row r="268" spans="1:15" x14ac:dyDescent="0.3">
      <c r="A268" s="114"/>
      <c r="B268" s="118"/>
      <c r="C268" s="118"/>
      <c r="D268" s="121" t="str">
        <f>IFERROR(VLOOKUP(MATERIALES_03548[[#This Row],[Descripcion]],INSUM_[#All],2,FALSE),"")</f>
        <v/>
      </c>
      <c r="E268" s="170" t="str">
        <f>IFERROR(VLOOKUP(MATERIALES_03548[[#This Row],[Descripcion]],INSUM_[#All],3,FALSE),"")</f>
        <v/>
      </c>
      <c r="F268" s="116"/>
      <c r="G268" s="117" t="str">
        <f t="shared" si="20"/>
        <v/>
      </c>
      <c r="H268" s="102"/>
      <c r="I268" s="329"/>
      <c r="J268" s="195" t="str">
        <f>+_xlfn.CONCAT("M",J264,K268)</f>
        <v>M2,042</v>
      </c>
      <c r="K268" s="195">
        <v>2</v>
      </c>
      <c r="L268" s="197" t="str">
        <f>+IFERROR(G268*H255,"")</f>
        <v/>
      </c>
      <c r="M268" s="48">
        <f t="shared" ref="M268:M277" si="21">+A268</f>
        <v>0</v>
      </c>
      <c r="N268" s="332">
        <f t="shared" ref="N268:N277" si="22">+F268</f>
        <v>0</v>
      </c>
      <c r="O268" s="48"/>
    </row>
    <row r="269" spans="1:15" x14ac:dyDescent="0.3">
      <c r="A269" s="114"/>
      <c r="B269" s="118"/>
      <c r="C269" s="118"/>
      <c r="D269" s="121" t="str">
        <f>IFERROR(VLOOKUP(MATERIALES_03548[[#This Row],[Descripcion]],INSUM_[#All],2,FALSE),"")</f>
        <v/>
      </c>
      <c r="E269" s="170" t="str">
        <f>IFERROR(VLOOKUP(MATERIALES_03548[[#This Row],[Descripcion]],INSUM_[#All],3,FALSE),"")</f>
        <v/>
      </c>
      <c r="F269" s="116"/>
      <c r="G269" s="117" t="str">
        <f t="shared" si="20"/>
        <v/>
      </c>
      <c r="H269" s="102"/>
      <c r="I269" s="329"/>
      <c r="J269" s="195" t="str">
        <f>+_xlfn.CONCAT("M",J264,K269)</f>
        <v>M2,043</v>
      </c>
      <c r="K269" s="195">
        <v>3</v>
      </c>
      <c r="L269" s="197" t="str">
        <f>+IFERROR(G269*H255,"")</f>
        <v/>
      </c>
      <c r="M269" s="48">
        <f t="shared" si="21"/>
        <v>0</v>
      </c>
      <c r="N269" s="332">
        <f t="shared" si="22"/>
        <v>0</v>
      </c>
      <c r="O269" s="48"/>
    </row>
    <row r="270" spans="1:15" x14ac:dyDescent="0.3">
      <c r="A270" s="119"/>
      <c r="B270" s="120"/>
      <c r="C270" s="120"/>
      <c r="D270" s="121" t="str">
        <f>IFERROR(VLOOKUP(MATERIALES_03548[[#This Row],[Descripcion]],INSUM_[#All],2,FALSE),"")</f>
        <v/>
      </c>
      <c r="E270" s="170" t="str">
        <f>IFERROR(VLOOKUP(MATERIALES_03548[[#This Row],[Descripcion]],INSUM_[#All],3,FALSE),"")</f>
        <v/>
      </c>
      <c r="F270" s="121"/>
      <c r="G270" s="117" t="str">
        <f t="shared" si="20"/>
        <v/>
      </c>
      <c r="H270" s="102"/>
      <c r="I270" s="329"/>
      <c r="J270" s="195" t="str">
        <f>+_xlfn.CONCAT("M",J264,K270)</f>
        <v>M2,044</v>
      </c>
      <c r="K270" s="195">
        <v>4</v>
      </c>
      <c r="L270" s="197" t="str">
        <f>+IFERROR(G270*H255,"")</f>
        <v/>
      </c>
      <c r="M270" s="48">
        <f t="shared" si="21"/>
        <v>0</v>
      </c>
      <c r="N270" s="332">
        <f t="shared" si="22"/>
        <v>0</v>
      </c>
      <c r="O270" s="48"/>
    </row>
    <row r="271" spans="1:15" x14ac:dyDescent="0.3">
      <c r="A271" s="119"/>
      <c r="B271" s="120"/>
      <c r="C271" s="120"/>
      <c r="D271" s="121" t="str">
        <f>IFERROR(VLOOKUP(MATERIALES_03548[[#This Row],[Descripcion]],INSUM_[#All],2,FALSE),"")</f>
        <v/>
      </c>
      <c r="E271" s="170" t="str">
        <f>IFERROR(VLOOKUP(MATERIALES_03548[[#This Row],[Descripcion]],INSUM_[#All],3,FALSE),"")</f>
        <v/>
      </c>
      <c r="F271" s="121"/>
      <c r="G271" s="117" t="str">
        <f t="shared" si="20"/>
        <v/>
      </c>
      <c r="H271" s="102"/>
      <c r="I271" s="329"/>
      <c r="J271" s="195" t="str">
        <f>+_xlfn.CONCAT("M",J264,K271)</f>
        <v>M2,045</v>
      </c>
      <c r="K271" s="195">
        <v>5</v>
      </c>
      <c r="L271" s="197" t="str">
        <f>+IFERROR(G271*H255,"")</f>
        <v/>
      </c>
      <c r="M271" s="48">
        <f t="shared" si="21"/>
        <v>0</v>
      </c>
      <c r="N271" s="332">
        <f t="shared" si="22"/>
        <v>0</v>
      </c>
      <c r="O271" s="48"/>
    </row>
    <row r="272" spans="1:15" x14ac:dyDescent="0.3">
      <c r="A272" s="155"/>
      <c r="B272" s="118"/>
      <c r="C272" s="118"/>
      <c r="D272" s="121" t="str">
        <f>IFERROR(VLOOKUP(MATERIALES_03548[[#This Row],[Descripcion]],INSUM_[#All],2,FALSE),"")</f>
        <v/>
      </c>
      <c r="E272" s="170" t="str">
        <f>IFERROR(VLOOKUP(MATERIALES_03548[[#This Row],[Descripcion]],INSUM_[#All],3,FALSE),"")</f>
        <v/>
      </c>
      <c r="F272" s="116"/>
      <c r="G272" s="117" t="str">
        <f t="shared" si="20"/>
        <v/>
      </c>
      <c r="H272" s="102"/>
      <c r="I272" s="329"/>
      <c r="J272" s="195" t="str">
        <f>+_xlfn.CONCAT("M",J264,K272)</f>
        <v>M2,046</v>
      </c>
      <c r="K272" s="195">
        <v>6</v>
      </c>
      <c r="L272" s="197" t="str">
        <f>+IFERROR(G272*H255,"")</f>
        <v/>
      </c>
      <c r="M272" s="48">
        <f t="shared" si="21"/>
        <v>0</v>
      </c>
      <c r="N272" s="332">
        <f t="shared" si="22"/>
        <v>0</v>
      </c>
      <c r="O272" s="48"/>
    </row>
    <row r="273" spans="1:15" x14ac:dyDescent="0.3">
      <c r="A273" s="156"/>
      <c r="B273" s="120"/>
      <c r="C273" s="120"/>
      <c r="D273" s="121" t="str">
        <f>IFERROR(VLOOKUP(MATERIALES_03548[[#This Row],[Descripcion]],INSUM_[#All],2,FALSE),"")</f>
        <v/>
      </c>
      <c r="E273" s="170" t="str">
        <f>IFERROR(VLOOKUP(MATERIALES_03548[[#This Row],[Descripcion]],INSUM_[#All],3,FALSE),"")</f>
        <v/>
      </c>
      <c r="F273" s="121"/>
      <c r="G273" s="117" t="str">
        <f t="shared" si="20"/>
        <v/>
      </c>
      <c r="H273" s="102"/>
      <c r="I273" s="329"/>
      <c r="J273" s="195" t="str">
        <f>+_xlfn.CONCAT("M",J264,K273)</f>
        <v>M2,047</v>
      </c>
      <c r="K273" s="195">
        <v>7</v>
      </c>
      <c r="L273" s="197" t="str">
        <f>+IFERROR(G273*H255,"")</f>
        <v/>
      </c>
      <c r="M273" s="48">
        <f t="shared" si="21"/>
        <v>0</v>
      </c>
      <c r="N273" s="332">
        <f t="shared" si="22"/>
        <v>0</v>
      </c>
      <c r="O273" s="48"/>
    </row>
    <row r="274" spans="1:15" x14ac:dyDescent="0.3">
      <c r="A274" s="156"/>
      <c r="B274" s="120"/>
      <c r="C274" s="120"/>
      <c r="D274" s="121" t="str">
        <f>IFERROR(VLOOKUP(MATERIALES_03548[[#This Row],[Descripcion]],INSUM_[#All],2,FALSE),"")</f>
        <v/>
      </c>
      <c r="E274" s="170" t="str">
        <f>IFERROR(VLOOKUP(MATERIALES_03548[[#This Row],[Descripcion]],INSUM_[#All],3,FALSE),"")</f>
        <v/>
      </c>
      <c r="F274" s="121"/>
      <c r="G274" s="117" t="str">
        <f t="shared" si="20"/>
        <v/>
      </c>
      <c r="H274" s="102"/>
      <c r="I274" s="329"/>
      <c r="J274" s="195" t="str">
        <f>+_xlfn.CONCAT("M",J264,K274)</f>
        <v>M2,048</v>
      </c>
      <c r="K274" s="195">
        <v>8</v>
      </c>
      <c r="L274" s="197" t="str">
        <f>+IFERROR(G274*H255,"")</f>
        <v/>
      </c>
      <c r="M274" s="48">
        <f t="shared" si="21"/>
        <v>0</v>
      </c>
      <c r="N274" s="332">
        <f t="shared" si="22"/>
        <v>0</v>
      </c>
      <c r="O274" s="48"/>
    </row>
    <row r="275" spans="1:15" x14ac:dyDescent="0.3">
      <c r="A275" s="156"/>
      <c r="B275" s="120"/>
      <c r="C275" s="120"/>
      <c r="D275" s="121" t="str">
        <f>IFERROR(VLOOKUP(MATERIALES_03548[[#This Row],[Descripcion]],INSUM_[#All],2,FALSE),"")</f>
        <v/>
      </c>
      <c r="E275" s="170" t="str">
        <f>IFERROR(VLOOKUP(MATERIALES_03548[[#This Row],[Descripcion]],INSUM_[#All],3,FALSE),"")</f>
        <v/>
      </c>
      <c r="F275" s="121"/>
      <c r="G275" s="117" t="str">
        <f t="shared" si="20"/>
        <v/>
      </c>
      <c r="H275" s="102"/>
      <c r="I275" s="329"/>
      <c r="J275" s="195" t="str">
        <f>+_xlfn.CONCAT("M",J264,K275)</f>
        <v>M2,049</v>
      </c>
      <c r="K275" s="195">
        <v>9</v>
      </c>
      <c r="L275" s="197" t="str">
        <f>+IFERROR(G275*H255,"")</f>
        <v/>
      </c>
      <c r="M275" s="48">
        <f t="shared" si="21"/>
        <v>0</v>
      </c>
      <c r="N275" s="332">
        <f t="shared" si="22"/>
        <v>0</v>
      </c>
      <c r="O275" s="48"/>
    </row>
    <row r="276" spans="1:15" x14ac:dyDescent="0.3">
      <c r="A276" s="156"/>
      <c r="B276" s="120"/>
      <c r="C276" s="120"/>
      <c r="D276" s="121" t="str">
        <f>IFERROR(VLOOKUP(MATERIALES_03548[[#This Row],[Descripcion]],INSUM_[#All],2,FALSE),"")</f>
        <v/>
      </c>
      <c r="E276" s="170" t="str">
        <f>IFERROR(VLOOKUP(MATERIALES_03548[[#This Row],[Descripcion]],INSUM_[#All],3,FALSE),"")</f>
        <v/>
      </c>
      <c r="F276" s="121"/>
      <c r="G276" s="117" t="str">
        <f t="shared" si="20"/>
        <v/>
      </c>
      <c r="H276" s="102"/>
      <c r="I276" s="329"/>
      <c r="J276" s="195" t="str">
        <f>+_xlfn.CONCAT("M",J264,K276)</f>
        <v>M2,0410</v>
      </c>
      <c r="K276" s="195">
        <v>10</v>
      </c>
      <c r="L276" s="197" t="str">
        <f>+IFERROR(G276*H255,"")</f>
        <v/>
      </c>
      <c r="M276" s="48">
        <f t="shared" si="21"/>
        <v>0</v>
      </c>
      <c r="N276" s="332">
        <f t="shared" si="22"/>
        <v>0</v>
      </c>
      <c r="O276" s="48"/>
    </row>
    <row r="277" spans="1:15" x14ac:dyDescent="0.3">
      <c r="A277" s="156"/>
      <c r="B277" s="120"/>
      <c r="C277" s="120"/>
      <c r="D277" s="121" t="str">
        <f>IFERROR(VLOOKUP(MATERIALES_03548[[#This Row],[Descripcion]],INSUM_[#All],2,FALSE),"")</f>
        <v/>
      </c>
      <c r="E277" s="170" t="str">
        <f>IFERROR(VLOOKUP(MATERIALES_03548[[#This Row],[Descripcion]],INSUM_[#All],3,FALSE),"")</f>
        <v/>
      </c>
      <c r="F277" s="121"/>
      <c r="G277" s="117" t="str">
        <f t="shared" si="20"/>
        <v/>
      </c>
      <c r="H277" s="102"/>
      <c r="I277" s="329"/>
      <c r="J277" s="195" t="str">
        <f>+_xlfn.CONCAT("M",J264,K277)</f>
        <v>M2,0411</v>
      </c>
      <c r="K277" s="195">
        <v>11</v>
      </c>
      <c r="L277" s="197" t="str">
        <f>+IFERROR(G277*H255,"")</f>
        <v/>
      </c>
      <c r="M277" s="48">
        <f t="shared" si="21"/>
        <v>0</v>
      </c>
      <c r="N277" s="332">
        <f t="shared" si="22"/>
        <v>0</v>
      </c>
      <c r="O277" s="48"/>
    </row>
    <row r="278" spans="1:15" x14ac:dyDescent="0.3">
      <c r="A278" s="104" t="s">
        <v>81</v>
      </c>
      <c r="B278" s="105"/>
      <c r="C278" s="105"/>
      <c r="D278" s="105"/>
      <c r="E278" s="105"/>
      <c r="F278" s="105"/>
      <c r="G278" s="106"/>
      <c r="H278" s="190">
        <f>SUM(G267:G277)</f>
        <v>65343.545050000001</v>
      </c>
      <c r="I278" s="329"/>
      <c r="J278" s="195"/>
      <c r="K278" s="196" t="str">
        <f>+H257</f>
        <v>2,04</v>
      </c>
      <c r="L278" s="198">
        <f>SUM(L267:L277)</f>
        <v>6469010.95995</v>
      </c>
      <c r="M278" s="330">
        <f>+H278</f>
        <v>65343.545050000001</v>
      </c>
      <c r="O278" s="48"/>
    </row>
    <row r="279" spans="1:15" x14ac:dyDescent="0.3">
      <c r="A279" s="91" t="s">
        <v>26</v>
      </c>
      <c r="B279" s="124"/>
      <c r="C279" s="125"/>
      <c r="D279" s="125"/>
      <c r="E279" s="126"/>
      <c r="F279" s="124"/>
      <c r="G279" s="125"/>
      <c r="H279" s="113"/>
      <c r="I279" s="329"/>
      <c r="J279" s="195"/>
      <c r="K279" s="195"/>
      <c r="L279" s="195"/>
      <c r="M279" s="195"/>
      <c r="O279" s="48"/>
    </row>
    <row r="280" spans="1:15" x14ac:dyDescent="0.3">
      <c r="A280" s="205" t="s">
        <v>57</v>
      </c>
      <c r="B280" s="217" t="s">
        <v>67</v>
      </c>
      <c r="C280" s="211" t="s">
        <v>82</v>
      </c>
      <c r="D280" s="211" t="s">
        <v>83</v>
      </c>
      <c r="E280" s="212" t="s">
        <v>61</v>
      </c>
      <c r="F280" s="207" t="s">
        <v>49</v>
      </c>
      <c r="G280" s="208" t="s">
        <v>71</v>
      </c>
      <c r="H280" s="215"/>
      <c r="I280" s="329"/>
      <c r="J280" s="195"/>
      <c r="K280" s="195"/>
      <c r="L280" s="195"/>
      <c r="M280" s="195"/>
      <c r="O280" s="48"/>
    </row>
    <row r="281" spans="1:15" x14ac:dyDescent="0.3">
      <c r="A281" s="155" t="s">
        <v>2285</v>
      </c>
      <c r="B281" s="115"/>
      <c r="C281" s="115">
        <v>1</v>
      </c>
      <c r="D281" s="127">
        <v>1</v>
      </c>
      <c r="E281" s="98">
        <f t="shared" ref="E281" si="23">1.0953*1200</f>
        <v>1314.36</v>
      </c>
      <c r="F281" s="128">
        <v>1</v>
      </c>
      <c r="G281" s="345">
        <f>E281*F281*D281</f>
        <v>1314.36</v>
      </c>
      <c r="H281" s="102"/>
      <c r="I281" s="329"/>
      <c r="J281" s="195"/>
      <c r="K281" s="195"/>
      <c r="L281" s="195"/>
      <c r="M281" s="195"/>
      <c r="O281" s="48"/>
    </row>
    <row r="282" spans="1:15" x14ac:dyDescent="0.3">
      <c r="A282" s="156"/>
      <c r="B282" s="178"/>
      <c r="C282" s="178"/>
      <c r="D282" s="122"/>
      <c r="E282" s="123"/>
      <c r="F282" s="179"/>
      <c r="G282" s="180">
        <f>E282*F282*D282</f>
        <v>0</v>
      </c>
      <c r="H282" s="102"/>
      <c r="I282" s="329"/>
      <c r="J282" s="195"/>
      <c r="K282" s="195"/>
      <c r="L282" s="195"/>
      <c r="M282" s="195"/>
      <c r="O282" s="48"/>
    </row>
    <row r="283" spans="1:15" x14ac:dyDescent="0.3">
      <c r="A283" s="104" t="s">
        <v>84</v>
      </c>
      <c r="B283" s="105"/>
      <c r="C283" s="105"/>
      <c r="D283" s="105"/>
      <c r="E283" s="105"/>
      <c r="F283" s="105"/>
      <c r="G283" s="106"/>
      <c r="H283" s="107">
        <f>G281+G282</f>
        <v>1314.36</v>
      </c>
      <c r="I283" s="329"/>
      <c r="J283" s="195"/>
      <c r="K283" s="195"/>
      <c r="L283" s="196" t="str">
        <f>+H257</f>
        <v>2,04</v>
      </c>
      <c r="M283" s="333">
        <f>+H283</f>
        <v>1314.36</v>
      </c>
      <c r="O283" s="48"/>
    </row>
    <row r="284" spans="1:15" x14ac:dyDescent="0.3">
      <c r="A284" s="130" t="s">
        <v>85</v>
      </c>
      <c r="B284" s="124"/>
      <c r="C284" s="124"/>
      <c r="D284" s="125"/>
      <c r="E284" s="126"/>
      <c r="F284" s="124"/>
      <c r="G284" s="125"/>
      <c r="H284" s="113"/>
      <c r="I284" s="329"/>
      <c r="J284" s="195"/>
      <c r="K284" s="195"/>
      <c r="L284" s="195"/>
      <c r="M284" s="195"/>
      <c r="O284" s="48"/>
    </row>
    <row r="285" spans="1:15" x14ac:dyDescent="0.3">
      <c r="A285" s="218" t="s">
        <v>57</v>
      </c>
      <c r="B285" s="211" t="s">
        <v>86</v>
      </c>
      <c r="C285" s="211" t="s">
        <v>87</v>
      </c>
      <c r="D285" s="211" t="s">
        <v>88</v>
      </c>
      <c r="E285" s="212" t="s">
        <v>89</v>
      </c>
      <c r="F285" s="207" t="s">
        <v>62</v>
      </c>
      <c r="G285" s="208" t="s">
        <v>63</v>
      </c>
      <c r="H285" s="215"/>
      <c r="I285" s="329"/>
      <c r="J285" s="195"/>
      <c r="K285" s="195"/>
      <c r="L285" s="195"/>
      <c r="M285" s="195"/>
      <c r="O285" s="48"/>
    </row>
    <row r="286" spans="1:15" x14ac:dyDescent="0.3">
      <c r="A286" s="181" t="s">
        <v>90</v>
      </c>
      <c r="B286" s="129">
        <v>1</v>
      </c>
      <c r="C286" s="131">
        <f>1.0953*60000</f>
        <v>65718</v>
      </c>
      <c r="D286" s="132">
        <v>1.8540999999999999</v>
      </c>
      <c r="E286" s="133">
        <f>B286*C286*(D286)</f>
        <v>121847.7438</v>
      </c>
      <c r="F286" s="134">
        <v>0.08</v>
      </c>
      <c r="G286" s="182">
        <f>E286*F286</f>
        <v>9747.8195039999991</v>
      </c>
      <c r="H286" s="100"/>
      <c r="I286" s="329"/>
      <c r="J286" s="195"/>
      <c r="K286" s="195"/>
      <c r="L286" s="195"/>
      <c r="M286" s="195"/>
      <c r="O286" s="48"/>
    </row>
    <row r="287" spans="1:15" x14ac:dyDescent="0.3">
      <c r="A287" s="183" t="s">
        <v>91</v>
      </c>
      <c r="B287" s="122">
        <v>1</v>
      </c>
      <c r="C287" s="184">
        <f>1.0953*2600000/30</f>
        <v>94926</v>
      </c>
      <c r="D287" s="185">
        <v>1.8508</v>
      </c>
      <c r="E287" s="186">
        <f>B287*C287*(D287)</f>
        <v>175689.04079999999</v>
      </c>
      <c r="F287" s="187">
        <f>F286</f>
        <v>0.08</v>
      </c>
      <c r="G287" s="188">
        <f>E287*F287</f>
        <v>14055.123264</v>
      </c>
      <c r="H287" s="102"/>
      <c r="I287" s="329"/>
      <c r="J287" s="195"/>
      <c r="K287" s="195"/>
      <c r="L287" s="195"/>
      <c r="M287" s="195"/>
      <c r="O287" s="48"/>
    </row>
    <row r="288" spans="1:15" x14ac:dyDescent="0.3">
      <c r="A288" s="135" t="s">
        <v>92</v>
      </c>
      <c r="B288" s="136"/>
      <c r="C288" s="136"/>
      <c r="D288" s="136"/>
      <c r="E288" s="136"/>
      <c r="F288" s="136"/>
      <c r="G288" s="137"/>
      <c r="H288" s="190">
        <f>SUM(G286:G287)</f>
        <v>23802.942768000001</v>
      </c>
      <c r="I288" s="329"/>
      <c r="J288" s="195"/>
      <c r="K288" s="195"/>
      <c r="L288" s="195"/>
      <c r="M288" s="196" t="str">
        <f>+H257</f>
        <v>2,04</v>
      </c>
      <c r="N288" s="330">
        <f>+H288</f>
        <v>23802.942768000001</v>
      </c>
      <c r="O288" s="48"/>
    </row>
    <row r="289" spans="1:15" x14ac:dyDescent="0.3">
      <c r="A289" s="130" t="s">
        <v>93</v>
      </c>
      <c r="B289" s="138"/>
      <c r="C289" s="138"/>
      <c r="D289" s="138"/>
      <c r="E289" s="138"/>
      <c r="F289" s="138"/>
      <c r="G289" s="138"/>
      <c r="H289" s="139"/>
      <c r="I289" s="329"/>
      <c r="J289" s="195"/>
      <c r="K289" s="195"/>
      <c r="L289" s="195"/>
      <c r="M289" s="195"/>
      <c r="O289" s="48"/>
    </row>
    <row r="290" spans="1:15" x14ac:dyDescent="0.3">
      <c r="A290" s="219" t="s">
        <v>94</v>
      </c>
      <c r="B290" s="220"/>
      <c r="C290" s="220"/>
      <c r="D290" s="220"/>
      <c r="E290" s="220"/>
      <c r="F290" s="220"/>
      <c r="G290" s="221"/>
      <c r="H290" s="222">
        <f>H288+H283+H278+H264</f>
        <v>95677.317295606874</v>
      </c>
      <c r="I290" s="329"/>
      <c r="J290" s="195"/>
      <c r="K290" s="195"/>
      <c r="L290" s="195"/>
      <c r="M290" s="195"/>
      <c r="O290" s="48"/>
    </row>
    <row r="291" spans="1:15" x14ac:dyDescent="0.3">
      <c r="A291" s="140"/>
      <c r="B291" s="92"/>
      <c r="C291" s="141"/>
      <c r="D291" s="141"/>
      <c r="E291" s="93"/>
      <c r="F291" s="92"/>
      <c r="G291" s="141"/>
      <c r="H291" s="142"/>
      <c r="I291" s="329"/>
      <c r="J291" s="195"/>
      <c r="K291" s="195"/>
      <c r="L291" s="195"/>
      <c r="M291" s="195"/>
      <c r="O291" s="48"/>
    </row>
    <row r="292" spans="1:15" x14ac:dyDescent="0.3">
      <c r="A292" s="140"/>
      <c r="B292" s="92"/>
      <c r="C292" s="141"/>
      <c r="D292" s="143" t="s">
        <v>95</v>
      </c>
      <c r="E292" s="144"/>
      <c r="F292" s="144"/>
      <c r="G292" s="145"/>
      <c r="H292" s="146">
        <f>H290</f>
        <v>95677.317295606874</v>
      </c>
      <c r="I292" s="329"/>
      <c r="J292" s="195"/>
      <c r="K292" s="195"/>
      <c r="L292" s="195"/>
      <c r="M292" s="195"/>
      <c r="O292" s="48"/>
    </row>
    <row r="293" spans="1:15" x14ac:dyDescent="0.3">
      <c r="A293" s="140"/>
      <c r="B293" s="92"/>
      <c r="C293" s="141"/>
      <c r="D293" s="141"/>
      <c r="E293" s="93"/>
      <c r="F293" s="92"/>
      <c r="G293" s="141"/>
      <c r="H293" s="139"/>
      <c r="I293" s="329"/>
      <c r="J293" s="195"/>
      <c r="K293" s="195"/>
      <c r="L293" s="195"/>
      <c r="M293" s="195"/>
      <c r="O293" s="48"/>
    </row>
    <row r="294" spans="1:15" x14ac:dyDescent="0.3">
      <c r="A294" s="147" t="s">
        <v>96</v>
      </c>
      <c r="B294" s="92"/>
      <c r="C294" s="141"/>
      <c r="D294" s="141"/>
      <c r="E294" s="93"/>
      <c r="F294" s="92"/>
      <c r="G294" s="141"/>
      <c r="H294" s="139"/>
      <c r="I294" s="329"/>
      <c r="J294" s="195"/>
      <c r="K294" s="195"/>
      <c r="L294" s="195"/>
      <c r="M294" s="195"/>
      <c r="O294" s="48"/>
    </row>
    <row r="295" spans="1:15" x14ac:dyDescent="0.3">
      <c r="A295" s="148"/>
      <c r="B295" s="124"/>
      <c r="C295" s="125"/>
      <c r="D295" s="141"/>
      <c r="E295" s="157" t="s">
        <v>97</v>
      </c>
      <c r="F295" s="157"/>
      <c r="G295" s="157"/>
      <c r="H295" s="139"/>
      <c r="I295" s="329"/>
      <c r="J295" s="195"/>
      <c r="K295" s="195"/>
      <c r="L295" s="195"/>
      <c r="M295" s="195"/>
      <c r="O295" s="48"/>
    </row>
    <row r="296" spans="1:15" x14ac:dyDescent="0.3">
      <c r="A296" s="148"/>
      <c r="B296" s="124"/>
      <c r="C296" s="125"/>
      <c r="D296" s="141"/>
      <c r="E296" s="149" t="str">
        <f>IF('INF. GENERAL'!$B$19=0," ",'INF. GENERAL'!$B$19)</f>
        <v>JAVIER JOSÉ ROSADO MENDINUETA</v>
      </c>
      <c r="F296" s="150"/>
      <c r="G296" s="151"/>
      <c r="H296" s="139"/>
      <c r="I296" s="329"/>
      <c r="J296" s="195"/>
      <c r="K296" s="195"/>
      <c r="L296" s="195"/>
      <c r="M296" s="195"/>
      <c r="O296" s="48"/>
    </row>
    <row r="297" spans="1:15" x14ac:dyDescent="0.3">
      <c r="A297" s="148"/>
      <c r="B297" s="124"/>
      <c r="C297" s="125"/>
      <c r="D297" s="141"/>
      <c r="E297" s="160" t="str">
        <f>IF('INF. GENERAL'!$B$20=0," ",'INF. GENERAL'!$B$20)</f>
        <v>PROFESIONAL APOYO</v>
      </c>
      <c r="F297" s="158"/>
      <c r="G297" s="161"/>
      <c r="H297" s="139"/>
      <c r="I297" s="329"/>
      <c r="J297" s="195"/>
      <c r="K297" s="195"/>
      <c r="L297" s="195"/>
      <c r="M297" s="195"/>
      <c r="O297" s="48"/>
    </row>
    <row r="298" spans="1:15" x14ac:dyDescent="0.3">
      <c r="A298" s="148"/>
      <c r="B298" s="124"/>
      <c r="C298" s="125"/>
      <c r="D298" s="141"/>
      <c r="E298" s="160" t="str">
        <f>IF('INF. GENERAL'!$B$18=0," ",'INF. GENERAL'!$B$18)</f>
        <v>ALCALDÍA MUNICIPAL DE FUNDACIÓN - MAGDALENA</v>
      </c>
      <c r="F298" s="159"/>
      <c r="G298" s="162"/>
      <c r="H298" s="139"/>
      <c r="I298" s="329"/>
      <c r="J298" s="195"/>
      <c r="K298" s="195"/>
      <c r="L298" s="195"/>
      <c r="M298" s="195"/>
      <c r="O298" s="48"/>
    </row>
    <row r="299" spans="1:15" x14ac:dyDescent="0.3">
      <c r="A299" s="140"/>
      <c r="B299" s="92"/>
      <c r="C299" s="141"/>
      <c r="D299" s="141"/>
      <c r="E299" s="154" t="str">
        <f>IF('INF. GENERAL'!$B$21=0," ",'INF. GENERAL'!$B$21)</f>
        <v>MP: 08700-52350</v>
      </c>
      <c r="F299" s="152"/>
      <c r="G299" s="153"/>
      <c r="H299" s="139"/>
      <c r="I299" s="329"/>
      <c r="J299" s="195"/>
      <c r="K299" s="195"/>
      <c r="L299" s="195"/>
      <c r="M299" s="195"/>
      <c r="O299" s="48"/>
    </row>
    <row r="300" spans="1:15" ht="15" thickBot="1" x14ac:dyDescent="0.35">
      <c r="A300" s="164" t="s">
        <v>37</v>
      </c>
      <c r="B300" s="165"/>
      <c r="C300" s="166"/>
      <c r="D300" s="166"/>
      <c r="E300" s="167"/>
      <c r="F300" s="167"/>
      <c r="G300" s="167"/>
      <c r="H300" s="168" t="s">
        <v>37</v>
      </c>
      <c r="I300" s="329"/>
      <c r="J300" s="195"/>
      <c r="K300" s="195"/>
      <c r="L300" s="195"/>
      <c r="M300" s="195"/>
      <c r="O300" s="48"/>
    </row>
    <row r="301" spans="1:15" x14ac:dyDescent="0.3">
      <c r="A301" s="63" t="str">
        <f>+'INF. GENERAL'!$B$13</f>
        <v>REPUBLICA DE COLOMBIA</v>
      </c>
      <c r="B301" s="64"/>
      <c r="C301" s="64"/>
      <c r="D301" s="64"/>
      <c r="E301" s="64"/>
      <c r="F301" s="65"/>
      <c r="G301" s="66"/>
      <c r="H301" s="67"/>
      <c r="I301" s="329"/>
      <c r="J301" s="195"/>
      <c r="K301" s="195"/>
      <c r="L301" s="195"/>
      <c r="M301" s="195"/>
      <c r="O301" s="48"/>
    </row>
    <row r="302" spans="1:15" x14ac:dyDescent="0.3">
      <c r="A302" s="68" t="str">
        <f>+'INF. GENERAL'!$B$14</f>
        <v>FUNDACIÓN</v>
      </c>
      <c r="B302" s="69"/>
      <c r="C302" s="69"/>
      <c r="D302" s="69"/>
      <c r="E302" s="69"/>
      <c r="F302" s="70"/>
      <c r="G302" s="71"/>
      <c r="H302" s="72"/>
      <c r="I302" s="329"/>
      <c r="J302" s="195"/>
      <c r="K302" s="195"/>
      <c r="L302" s="195"/>
      <c r="M302" s="195"/>
      <c r="O302" s="48"/>
    </row>
    <row r="303" spans="1:15" ht="15" thickBot="1" x14ac:dyDescent="0.35">
      <c r="A303" s="73" t="str">
        <f>+'INF. GENERAL'!$B$15</f>
        <v>MAGDALENA</v>
      </c>
      <c r="B303" s="74"/>
      <c r="C303" s="74"/>
      <c r="D303" s="74"/>
      <c r="E303" s="74"/>
      <c r="F303" s="75"/>
      <c r="G303" s="71"/>
      <c r="H303" s="72"/>
      <c r="I303" s="329"/>
      <c r="J303" s="195"/>
      <c r="K303" s="195"/>
      <c r="L303" s="195"/>
      <c r="M303" s="195"/>
      <c r="O303" s="48"/>
    </row>
    <row r="304" spans="1:15" ht="28.2" thickBot="1" x14ac:dyDescent="0.35">
      <c r="A304" s="202" t="str">
        <f>+CONCATENATE('INF. GENERAL'!$A$4,'INF. GENERAL'!$B$4)</f>
        <v>OBJETO: ACTIVIDADES ADICIONALES A LA ADECUACIÓN DE LA CANCHA DE FÚTBOL (ID 2615), VEREDA COMUNIDAD CRISTALINA BAJA (ID 200), MUNICIPIO DE FUNDACION, MAGDALENA</v>
      </c>
      <c r="B304" s="203"/>
      <c r="C304" s="203"/>
      <c r="D304" s="203"/>
      <c r="E304" s="203"/>
      <c r="F304" s="204"/>
      <c r="G304" s="71"/>
      <c r="H304" s="72"/>
      <c r="I304" s="329"/>
      <c r="J304" s="195"/>
      <c r="K304" s="195"/>
      <c r="L304" s="195"/>
      <c r="M304" s="195"/>
      <c r="O304" s="48"/>
    </row>
    <row r="305" spans="1:15" ht="15" thickBot="1" x14ac:dyDescent="0.35">
      <c r="A305" s="76" t="s">
        <v>53</v>
      </c>
      <c r="B305" s="77"/>
      <c r="C305" s="77"/>
      <c r="D305" s="77"/>
      <c r="E305" s="77"/>
      <c r="F305" s="78"/>
      <c r="G305" s="79" t="s">
        <v>49</v>
      </c>
      <c r="H305" s="80">
        <f>+VLOOKUP(H307,PRESUPUESTO!$A$1:$F$973,6,FALSE)</f>
        <v>2</v>
      </c>
      <c r="I305" s="329"/>
      <c r="J305" s="195"/>
      <c r="K305" s="195"/>
      <c r="L305" s="195"/>
      <c r="M305" s="195"/>
      <c r="O305" s="48"/>
    </row>
    <row r="306" spans="1:15" ht="26.4" x14ac:dyDescent="0.3">
      <c r="A306" s="81" t="s">
        <v>54</v>
      </c>
      <c r="B306" s="82" t="str">
        <f>VLOOKUP(H307,PRESUPUESTO!$A$3:$F$973,3,FALSE)</f>
        <v>EXCAVACIONES, RELLENOS Y SISTEMA DE DRENAJE</v>
      </c>
      <c r="C306" s="83"/>
      <c r="D306" s="83"/>
      <c r="E306" s="84" t="s">
        <v>55</v>
      </c>
      <c r="F306" s="85" t="str">
        <f>+VLOOKUP(H307,PRESUPUESTO!$A$1:$F$973,5,FALSE)</f>
        <v>und</v>
      </c>
      <c r="G306" s="86" t="s">
        <v>56</v>
      </c>
      <c r="H306" s="87"/>
      <c r="I306" s="329"/>
      <c r="J306" s="195"/>
      <c r="K306" s="195"/>
      <c r="L306" s="195"/>
      <c r="M306" s="195"/>
      <c r="O306" s="48"/>
    </row>
    <row r="307" spans="1:15" ht="15" thickBot="1" x14ac:dyDescent="0.35">
      <c r="A307" s="88" t="s">
        <v>20</v>
      </c>
      <c r="B307" s="89" t="str">
        <f>+VLOOKUP(H307,PRESUPUESTO!$A$1:$F$973,4,FALSE)</f>
        <v>Manhole</v>
      </c>
      <c r="C307" s="89"/>
      <c r="D307" s="89"/>
      <c r="E307" s="89"/>
      <c r="F307" s="89"/>
      <c r="G307" s="90" t="s">
        <v>18</v>
      </c>
      <c r="H307" s="194" t="s">
        <v>2247</v>
      </c>
      <c r="I307" s="329"/>
      <c r="J307" s="195"/>
      <c r="K307" s="195"/>
      <c r="L307" s="195"/>
      <c r="M307" s="195"/>
      <c r="O307" s="48"/>
    </row>
    <row r="308" spans="1:15" ht="15" thickBot="1" x14ac:dyDescent="0.35">
      <c r="A308" s="91" t="s">
        <v>24</v>
      </c>
      <c r="B308" s="92"/>
      <c r="C308" s="92"/>
      <c r="D308" s="92"/>
      <c r="E308" s="93"/>
      <c r="F308" s="92"/>
      <c r="G308" s="94"/>
      <c r="H308" s="95"/>
      <c r="I308" s="329"/>
      <c r="J308" s="195"/>
      <c r="K308" s="195"/>
      <c r="L308" s="195"/>
      <c r="M308" s="195"/>
      <c r="O308" s="48"/>
    </row>
    <row r="309" spans="1:15" x14ac:dyDescent="0.3">
      <c r="A309" s="205" t="s">
        <v>57</v>
      </c>
      <c r="B309" s="216" t="s">
        <v>58</v>
      </c>
      <c r="C309" s="216" t="s">
        <v>59</v>
      </c>
      <c r="D309" s="216" t="s">
        <v>60</v>
      </c>
      <c r="E309" s="206" t="s">
        <v>61</v>
      </c>
      <c r="F309" s="207" t="s">
        <v>62</v>
      </c>
      <c r="G309" s="208" t="s">
        <v>63</v>
      </c>
      <c r="H309" s="209"/>
      <c r="I309" s="329"/>
      <c r="J309" s="195"/>
      <c r="K309" s="195"/>
      <c r="L309" s="195"/>
      <c r="M309" s="195"/>
      <c r="O309" s="48"/>
    </row>
    <row r="310" spans="1:15" x14ac:dyDescent="0.3">
      <c r="A310" s="96"/>
      <c r="B310" s="96"/>
      <c r="C310" s="96"/>
      <c r="D310" s="97"/>
      <c r="E310" s="98"/>
      <c r="F310" s="99"/>
      <c r="G310" s="171"/>
      <c r="H310" s="100"/>
      <c r="I310" s="329"/>
      <c r="J310" s="195"/>
      <c r="K310" s="195"/>
      <c r="L310" s="195"/>
      <c r="M310" s="195"/>
      <c r="O310" s="48"/>
    </row>
    <row r="311" spans="1:15" x14ac:dyDescent="0.3">
      <c r="A311" s="96" t="s">
        <v>2286</v>
      </c>
      <c r="B311" s="96"/>
      <c r="C311" s="96"/>
      <c r="D311" s="97"/>
      <c r="E311" s="98"/>
      <c r="F311" s="99"/>
      <c r="G311" s="171">
        <f>1.0953*118894.677396552</f>
        <v>130225.3401524434</v>
      </c>
      <c r="H311" s="100"/>
      <c r="I311" s="329"/>
      <c r="J311" s="195"/>
      <c r="K311" s="195"/>
      <c r="L311" s="195"/>
      <c r="M311" s="195"/>
      <c r="O311" s="48"/>
    </row>
    <row r="312" spans="1:15" x14ac:dyDescent="0.3">
      <c r="A312" s="96" t="s">
        <v>2287</v>
      </c>
      <c r="B312" s="96"/>
      <c r="C312" s="96"/>
      <c r="D312" s="97"/>
      <c r="E312" s="98"/>
      <c r="F312" s="101"/>
      <c r="G312" s="172">
        <f>1.0953*79263.1182643677</f>
        <v>86816.893434961938</v>
      </c>
      <c r="H312" s="102"/>
      <c r="I312" s="329"/>
      <c r="J312" s="195"/>
      <c r="K312" s="195"/>
      <c r="L312" s="195"/>
      <c r="M312" s="195"/>
      <c r="O312" s="48"/>
    </row>
    <row r="313" spans="1:15" x14ac:dyDescent="0.3">
      <c r="A313" s="173"/>
      <c r="B313" s="173"/>
      <c r="C313" s="173"/>
      <c r="D313" s="174"/>
      <c r="E313" s="123"/>
      <c r="F313" s="175"/>
      <c r="G313" s="176"/>
      <c r="H313" s="103"/>
      <c r="I313" s="329"/>
      <c r="J313" s="195"/>
      <c r="K313" s="195"/>
      <c r="L313" s="195"/>
      <c r="M313" s="195"/>
      <c r="O313" s="48"/>
    </row>
    <row r="314" spans="1:15" x14ac:dyDescent="0.3">
      <c r="A314" s="104" t="s">
        <v>65</v>
      </c>
      <c r="B314" s="105"/>
      <c r="C314" s="105"/>
      <c r="D314" s="105"/>
      <c r="E314" s="105"/>
      <c r="F314" s="105"/>
      <c r="G314" s="106"/>
      <c r="H314" s="190">
        <f>SUM(G310:G313)</f>
        <v>217042.23358740535</v>
      </c>
      <c r="I314" s="329"/>
      <c r="J314" s="196" t="str">
        <f>+H307</f>
        <v>2,05</v>
      </c>
      <c r="K314" s="330">
        <f>+H314</f>
        <v>217042.23358740535</v>
      </c>
      <c r="L314" s="195"/>
      <c r="M314" s="195"/>
      <c r="O314" s="48"/>
    </row>
    <row r="315" spans="1:15" x14ac:dyDescent="0.3">
      <c r="A315" s="108" t="s">
        <v>25</v>
      </c>
      <c r="B315" s="109"/>
      <c r="C315" s="110"/>
      <c r="D315" s="110"/>
      <c r="E315" s="111"/>
      <c r="F315" s="109"/>
      <c r="G315" s="112"/>
      <c r="H315" s="113"/>
      <c r="I315" s="329"/>
      <c r="J315" s="195"/>
      <c r="K315" s="195"/>
      <c r="L315" s="195"/>
      <c r="M315" s="195"/>
      <c r="O315" s="48"/>
    </row>
    <row r="316" spans="1:15" x14ac:dyDescent="0.3">
      <c r="A316" s="210" t="s">
        <v>66</v>
      </c>
      <c r="B316" s="217" t="s">
        <v>67</v>
      </c>
      <c r="C316" s="216" t="s">
        <v>68</v>
      </c>
      <c r="D316" s="211" t="s">
        <v>69</v>
      </c>
      <c r="E316" s="212" t="s">
        <v>70</v>
      </c>
      <c r="F316" s="211" t="s">
        <v>49</v>
      </c>
      <c r="G316" s="213" t="s">
        <v>71</v>
      </c>
      <c r="H316" s="214"/>
      <c r="I316" s="329"/>
      <c r="J316" s="195"/>
      <c r="K316" s="195"/>
      <c r="L316" s="195"/>
      <c r="M316" s="195"/>
      <c r="O316" s="48"/>
    </row>
    <row r="317" spans="1:15" x14ac:dyDescent="0.3">
      <c r="A317" s="114" t="s">
        <v>106</v>
      </c>
      <c r="B317" s="115"/>
      <c r="C317" s="115"/>
      <c r="D317" s="121" t="str">
        <f>IFERROR(VLOOKUP(MATERIALES_03552[[#This Row],[Descripcion]],INSUM_[#All],2,FALSE),"")</f>
        <v>Unidad</v>
      </c>
      <c r="E317" s="170">
        <f>IFERROR(VLOOKUP(MATERIALES_03552[[#This Row],[Descripcion]],INSUM_[#All],3,FALSE),"")</f>
        <v>39832.25</v>
      </c>
      <c r="F317" s="482">
        <v>8.8065000000000015</v>
      </c>
      <c r="G317" s="117">
        <f t="shared" ref="G317:G327" si="24">+IFERROR(E317*F317,"")</f>
        <v>350782.70962500008</v>
      </c>
      <c r="H317" s="100"/>
      <c r="I317" s="329"/>
      <c r="J317" s="195" t="str">
        <f>+_xlfn.CONCAT("M",J314,K317)</f>
        <v>M2,051</v>
      </c>
      <c r="K317" s="195">
        <v>1</v>
      </c>
      <c r="L317" s="197">
        <f>+IFERROR(G317*H305,"")</f>
        <v>701565.41925000015</v>
      </c>
      <c r="M317" s="48" t="str">
        <f>+A317</f>
        <v>Acero de refuerzo. Varilla corrugada w60 x 6m. Diámetro de 1/2”</v>
      </c>
      <c r="N317" s="332">
        <f>+F317</f>
        <v>8.8065000000000015</v>
      </c>
      <c r="O317" s="48"/>
    </row>
    <row r="318" spans="1:15" x14ac:dyDescent="0.3">
      <c r="A318" s="114" t="s">
        <v>190</v>
      </c>
      <c r="B318" s="118"/>
      <c r="C318" s="118"/>
      <c r="D318" s="121" t="str">
        <f>IFERROR(VLOOKUP(MATERIALES_03552[[#This Row],[Descripcion]],INSUM_[#All],2,FALSE),"")</f>
        <v>Kilogramo</v>
      </c>
      <c r="E318" s="170">
        <f>IFERROR(VLOOKUP(MATERIALES_03552[[#This Row],[Descripcion]],INSUM_[#All],3,FALSE),"")</f>
        <v>15126.22</v>
      </c>
      <c r="F318" s="482">
        <v>3.09</v>
      </c>
      <c r="G318" s="117">
        <f t="shared" si="24"/>
        <v>46740.019799999995</v>
      </c>
      <c r="H318" s="102"/>
      <c r="I318" s="329"/>
      <c r="J318" s="195" t="str">
        <f>+_xlfn.CONCAT("M",J314,K318)</f>
        <v>M2,052</v>
      </c>
      <c r="K318" s="195">
        <v>2</v>
      </c>
      <c r="L318" s="197">
        <f>+IFERROR(G318*H305,"")</f>
        <v>93480.039599999989</v>
      </c>
      <c r="M318" s="48" t="str">
        <f t="shared" ref="M318:M327" si="25">+A318</f>
        <v>Alambre galvanizado No. 18</v>
      </c>
      <c r="N318" s="332">
        <f t="shared" ref="N318:N327" si="26">+F318</f>
        <v>3.09</v>
      </c>
      <c r="O318" s="48"/>
    </row>
    <row r="319" spans="1:15" x14ac:dyDescent="0.3">
      <c r="A319" s="114" t="s">
        <v>72</v>
      </c>
      <c r="B319" s="118"/>
      <c r="C319" s="118"/>
      <c r="D319" s="121" t="str">
        <f>IFERROR(VLOOKUP(MATERIALES_03552[[#This Row],[Descripcion]],INSUM_[#All],2,FALSE),"")</f>
        <v>Unidad</v>
      </c>
      <c r="E319" s="170">
        <f>IFERROR(VLOOKUP(MATERIALES_03552[[#This Row],[Descripcion]],INSUM_[#All],3,FALSE),"")</f>
        <v>10330.58</v>
      </c>
      <c r="F319" s="482">
        <v>2.06</v>
      </c>
      <c r="G319" s="117">
        <f t="shared" si="24"/>
        <v>21280.9948</v>
      </c>
      <c r="H319" s="102"/>
      <c r="I319" s="329"/>
      <c r="J319" s="195" t="str">
        <f>+_xlfn.CONCAT("M",J314,K319)</f>
        <v>M2,053</v>
      </c>
      <c r="K319" s="195">
        <v>3</v>
      </c>
      <c r="L319" s="197">
        <f>+IFERROR(G319*H305,"")</f>
        <v>42561.989600000001</v>
      </c>
      <c r="M319" s="48" t="str">
        <f t="shared" si="25"/>
        <v>Puntilla con cabeza de 2" caja x 500 gr</v>
      </c>
      <c r="N319" s="332">
        <f t="shared" si="26"/>
        <v>2.06</v>
      </c>
      <c r="O319" s="48"/>
    </row>
    <row r="320" spans="1:15" x14ac:dyDescent="0.3">
      <c r="A320" s="119" t="s">
        <v>419</v>
      </c>
      <c r="B320" s="120"/>
      <c r="C320" s="120"/>
      <c r="D320" s="121" t="str">
        <f>IFERROR(VLOOKUP(MATERIALES_03552[[#This Row],[Descripcion]],INSUM_[#All],2,FALSE),"")</f>
        <v>Bulto</v>
      </c>
      <c r="E320" s="170">
        <f>IFERROR(VLOOKUP(MATERIALES_03552[[#This Row],[Descripcion]],INSUM_[#All],3,FALSE),"")</f>
        <v>50453.95</v>
      </c>
      <c r="F320" s="179">
        <f>(329.6/50)*2.41</f>
        <v>15.886720000000002</v>
      </c>
      <c r="G320" s="117">
        <f>+IFERROR(E320*F320,"")</f>
        <v>801547.77654400002</v>
      </c>
      <c r="H320" s="102"/>
      <c r="I320" s="329"/>
      <c r="J320" s="195" t="str">
        <f>+_xlfn.CONCAT("M",J314,K320)</f>
        <v>M2,054</v>
      </c>
      <c r="K320" s="195">
        <v>4</v>
      </c>
      <c r="L320" s="197">
        <f>+IFERROR(G320*H305,"")</f>
        <v>1603095.553088</v>
      </c>
      <c r="M320" s="48" t="str">
        <f t="shared" si="25"/>
        <v>Cemento gris bulto x 50 kilogramos</v>
      </c>
      <c r="N320" s="332">
        <f>+F320</f>
        <v>15.886720000000002</v>
      </c>
      <c r="O320" s="48"/>
    </row>
    <row r="321" spans="1:15" x14ac:dyDescent="0.3">
      <c r="A321" s="119" t="s">
        <v>215</v>
      </c>
      <c r="B321" s="120"/>
      <c r="C321" s="120"/>
      <c r="D321" s="121" t="str">
        <f>IFERROR(VLOOKUP(MATERIALES_03552[[#This Row],[Descripcion]],INSUM_[#All],2,FALSE),"")</f>
        <v>Metro cubico</v>
      </c>
      <c r="E321" s="170">
        <f>IFERROR(VLOOKUP(MATERIALES_03552[[#This Row],[Descripcion]],INSUM_[#All],3,FALSE),"")</f>
        <v>243964.03</v>
      </c>
      <c r="F321" s="179">
        <f>(0.52/1)*2.41</f>
        <v>1.2532000000000001</v>
      </c>
      <c r="G321" s="117">
        <f>+IFERROR(E321*F321,"")</f>
        <v>305735.722396</v>
      </c>
      <c r="H321" s="102"/>
      <c r="I321" s="329"/>
      <c r="J321" s="195" t="str">
        <f>+_xlfn.CONCAT("M",J314,K321)</f>
        <v>M2,055</v>
      </c>
      <c r="K321" s="195">
        <v>5</v>
      </c>
      <c r="L321" s="197">
        <f>+IFERROR(G321*H305,"")</f>
        <v>611471.44479199999</v>
      </c>
      <c r="M321" s="48" t="str">
        <f t="shared" si="25"/>
        <v>Arena de río</v>
      </c>
      <c r="N321" s="332">
        <f>+F321</f>
        <v>1.2532000000000001</v>
      </c>
      <c r="O321" s="48"/>
    </row>
    <row r="322" spans="1:15" x14ac:dyDescent="0.3">
      <c r="A322" s="119" t="s">
        <v>595</v>
      </c>
      <c r="B322" s="118"/>
      <c r="C322" s="118"/>
      <c r="D322" s="121" t="str">
        <f>IFERROR(VLOOKUP(MATERIALES_03552[[#This Row],[Descripcion]],INSUM_[#All],2,FALSE),"")</f>
        <v>Metro cubico</v>
      </c>
      <c r="E322" s="170">
        <f>IFERROR(VLOOKUP(MATERIALES_03552[[#This Row],[Descripcion]],INSUM_[#All],3,FALSE),"")</f>
        <v>288567.81</v>
      </c>
      <c r="F322" s="179">
        <f>(0.9/1)*2.41</f>
        <v>2.169</v>
      </c>
      <c r="G322" s="117">
        <f t="shared" si="24"/>
        <v>625903.57989000005</v>
      </c>
      <c r="H322" s="102"/>
      <c r="I322" s="329"/>
      <c r="J322" s="195" t="str">
        <f>+_xlfn.CONCAT("M",J314,K322)</f>
        <v>M2,056</v>
      </c>
      <c r="K322" s="195">
        <v>6</v>
      </c>
      <c r="L322" s="197">
        <f>+IFERROR(G322*H305,"")</f>
        <v>1251807.1597800001</v>
      </c>
      <c r="M322" s="48" t="str">
        <f t="shared" si="25"/>
        <v>Grava triturada 3/4"</v>
      </c>
      <c r="N322" s="332">
        <f t="shared" si="26"/>
        <v>2.169</v>
      </c>
      <c r="O322" s="48"/>
    </row>
    <row r="323" spans="1:15" x14ac:dyDescent="0.3">
      <c r="A323" s="119" t="s">
        <v>2300</v>
      </c>
      <c r="B323" s="120"/>
      <c r="C323" s="120"/>
      <c r="D323" s="121" t="s">
        <v>1284</v>
      </c>
      <c r="E323" s="170">
        <v>137258.26847622398</v>
      </c>
      <c r="F323" s="179">
        <v>2.4823000000000004</v>
      </c>
      <c r="G323" s="117">
        <f t="shared" si="24"/>
        <v>340716.19983853085</v>
      </c>
      <c r="H323" s="102"/>
      <c r="I323" s="329"/>
      <c r="J323" s="195" t="str">
        <f>+_xlfn.CONCAT("M",J314,K323)</f>
        <v>M2,057</v>
      </c>
      <c r="K323" s="195">
        <v>7</v>
      </c>
      <c r="L323" s="197">
        <f>+IFERROR(G323*H305,"")</f>
        <v>681432.39967706171</v>
      </c>
      <c r="M323" s="48" t="str">
        <f t="shared" si="25"/>
        <v>Concreto 3000 psi APORTE ALCALDIA</v>
      </c>
      <c r="N323" s="332">
        <f t="shared" si="26"/>
        <v>2.4823000000000004</v>
      </c>
      <c r="O323" s="48"/>
    </row>
    <row r="324" spans="1:15" x14ac:dyDescent="0.3">
      <c r="A324" s="155" t="s">
        <v>547</v>
      </c>
      <c r="B324" s="120"/>
      <c r="C324" s="120"/>
      <c r="D324" s="121" t="str">
        <f>IFERROR(VLOOKUP(MATERIALES_03552[[#This Row],[Descripcion]],INSUM_[#All],2,FALSE),"")</f>
        <v>Metro Lineal</v>
      </c>
      <c r="E324" s="170">
        <f>IFERROR(VLOOKUP(MATERIALES_03552[[#This Row],[Descripcion]],INSUM_[#All],3,FALSE),"")</f>
        <v>15821.64</v>
      </c>
      <c r="F324" s="482">
        <v>9.27</v>
      </c>
      <c r="G324" s="117">
        <f t="shared" si="24"/>
        <v>146666.60279999999</v>
      </c>
      <c r="H324" s="102"/>
      <c r="I324" s="329"/>
      <c r="J324" s="195" t="str">
        <f>+_xlfn.CONCAT("M",J314,K324)</f>
        <v>M2,058</v>
      </c>
      <c r="K324" s="195">
        <v>8</v>
      </c>
      <c r="L324" s="197">
        <f>+IFERROR(G324*H305,"")</f>
        <v>293333.20559999999</v>
      </c>
      <c r="M324" s="48" t="str">
        <f t="shared" si="25"/>
        <v>Cuartón en madera Otobo 2" x 4"</v>
      </c>
      <c r="N324" s="332">
        <f t="shared" si="26"/>
        <v>9.27</v>
      </c>
      <c r="O324" s="48"/>
    </row>
    <row r="325" spans="1:15" x14ac:dyDescent="0.3">
      <c r="A325" s="156" t="s">
        <v>600</v>
      </c>
      <c r="B325" s="120"/>
      <c r="C325" s="120"/>
      <c r="D325" s="121" t="str">
        <f>IFERROR(VLOOKUP(MATERIALES_03552[[#This Row],[Descripcion]],INSUM_[#All],2,FALSE),"")</f>
        <v>Unidad</v>
      </c>
      <c r="E325" s="170">
        <f>IFERROR(VLOOKUP(MATERIALES_03552[[#This Row],[Descripcion]],INSUM_[#All],3,FALSE),"")</f>
        <v>54637.62</v>
      </c>
      <c r="F325" s="179">
        <v>3.09</v>
      </c>
      <c r="G325" s="117">
        <f t="shared" si="24"/>
        <v>168830.2458</v>
      </c>
      <c r="H325" s="102"/>
      <c r="I325" s="329"/>
      <c r="J325" s="195" t="str">
        <f>+_xlfn.CONCAT("M",J314,K325)</f>
        <v>M2,059</v>
      </c>
      <c r="K325" s="195">
        <v>9</v>
      </c>
      <c r="L325" s="197">
        <f>+IFERROR(G325*H305,"")</f>
        <v>337660.49160000001</v>
      </c>
      <c r="M325" s="48" t="str">
        <f t="shared" si="25"/>
        <v>Guadua rolliza diámetro 12 cm x 5 m</v>
      </c>
      <c r="N325" s="332">
        <f t="shared" si="26"/>
        <v>3.09</v>
      </c>
      <c r="O325" s="48"/>
    </row>
    <row r="326" spans="1:15" x14ac:dyDescent="0.3">
      <c r="A326" s="156" t="s">
        <v>904</v>
      </c>
      <c r="B326" s="120"/>
      <c r="C326" s="120"/>
      <c r="D326" s="121" t="str">
        <f>IFERROR(VLOOKUP(MATERIALES_03552[[#This Row],[Descripcion]],INSUM_[#All],2,FALSE),"")</f>
        <v>Unidad</v>
      </c>
      <c r="E326" s="170">
        <f>IFERROR(VLOOKUP(MATERIALES_03552[[#This Row],[Descripcion]],INSUM_[#All],3,FALSE),"")</f>
        <v>69470.600000000006</v>
      </c>
      <c r="F326" s="179">
        <v>3.09</v>
      </c>
      <c r="G326" s="117">
        <f t="shared" si="24"/>
        <v>214664.15400000001</v>
      </c>
      <c r="H326" s="102"/>
      <c r="I326" s="329"/>
      <c r="J326" s="195" t="str">
        <f>+_xlfn.CONCAT("M",J314,K326)</f>
        <v>M2,0510</v>
      </c>
      <c r="K326" s="195">
        <v>10</v>
      </c>
      <c r="L326" s="197">
        <f>+IFERROR(G326*H305,"")</f>
        <v>429328.30800000002</v>
      </c>
      <c r="M326" s="48" t="str">
        <f t="shared" si="25"/>
        <v>Tabla madera canteada (0,25 x 0,0025 x 3ml)</v>
      </c>
      <c r="N326" s="332">
        <f t="shared" si="26"/>
        <v>3.09</v>
      </c>
      <c r="O326" s="48"/>
    </row>
    <row r="327" spans="1:15" x14ac:dyDescent="0.3">
      <c r="A327" s="156" t="s">
        <v>2158</v>
      </c>
      <c r="B327" s="120"/>
      <c r="C327" s="120"/>
      <c r="D327" s="121" t="str">
        <f>IFERROR(VLOOKUP(MATERIALES_03552[[#This Row],[Descripcion]],INSUM_[#All],2,FALSE),"")</f>
        <v>Unidad</v>
      </c>
      <c r="E327" s="170">
        <f>IFERROR(VLOOKUP(MATERIALES_03552[[#This Row],[Descripcion]],INSUM_[#All],3,FALSE),"")</f>
        <v>23015.19</v>
      </c>
      <c r="F327" s="179">
        <v>2.2248000000000001</v>
      </c>
      <c r="G327" s="117">
        <f t="shared" si="24"/>
        <v>51204.194711999997</v>
      </c>
      <c r="H327" s="102"/>
      <c r="I327" s="329"/>
      <c r="J327" s="195" t="str">
        <f>+_xlfn.CONCAT("M",J314,K327)</f>
        <v>M2,0511</v>
      </c>
      <c r="K327" s="195">
        <v>11</v>
      </c>
      <c r="L327" s="197">
        <f>+IFERROR(G327*H305,"")</f>
        <v>102408.38942399999</v>
      </c>
      <c r="M327" s="48" t="str">
        <f t="shared" si="25"/>
        <v>Acero de refuerzo. Varilla corrugada w60 x 6m. Diámetro de 3/8”</v>
      </c>
      <c r="N327" s="332">
        <f t="shared" si="26"/>
        <v>2.2248000000000001</v>
      </c>
      <c r="O327" s="48"/>
    </row>
    <row r="328" spans="1:15" x14ac:dyDescent="0.3">
      <c r="A328" s="104" t="s">
        <v>81</v>
      </c>
      <c r="B328" s="105"/>
      <c r="C328" s="105"/>
      <c r="D328" s="105"/>
      <c r="E328" s="105"/>
      <c r="F328" s="105"/>
      <c r="G328" s="106"/>
      <c r="H328" s="190">
        <f>SUM(G317:G327)</f>
        <v>3074072.200205531</v>
      </c>
      <c r="I328" s="329"/>
      <c r="J328" s="195"/>
      <c r="K328" s="196" t="str">
        <f>+H307</f>
        <v>2,05</v>
      </c>
      <c r="L328" s="198">
        <f>SUM(L317:L327)</f>
        <v>6148144.4004110619</v>
      </c>
      <c r="M328" s="330">
        <f>+H328</f>
        <v>3074072.200205531</v>
      </c>
      <c r="O328" s="48"/>
    </row>
    <row r="329" spans="1:15" x14ac:dyDescent="0.3">
      <c r="A329" s="91" t="s">
        <v>26</v>
      </c>
      <c r="B329" s="124"/>
      <c r="C329" s="125"/>
      <c r="D329" s="125"/>
      <c r="E329" s="126"/>
      <c r="F329" s="124"/>
      <c r="G329" s="125"/>
      <c r="H329" s="113"/>
      <c r="I329" s="329"/>
      <c r="J329" s="195"/>
      <c r="K329" s="195"/>
      <c r="L329" s="195"/>
      <c r="M329" s="195"/>
      <c r="O329" s="48"/>
    </row>
    <row r="330" spans="1:15" x14ac:dyDescent="0.3">
      <c r="A330" s="205" t="s">
        <v>57</v>
      </c>
      <c r="B330" s="217" t="s">
        <v>67</v>
      </c>
      <c r="C330" s="211" t="s">
        <v>82</v>
      </c>
      <c r="D330" s="211" t="s">
        <v>83</v>
      </c>
      <c r="E330" s="212" t="s">
        <v>61</v>
      </c>
      <c r="F330" s="207" t="s">
        <v>49</v>
      </c>
      <c r="G330" s="208" t="s">
        <v>71</v>
      </c>
      <c r="H330" s="215"/>
      <c r="I330" s="329"/>
      <c r="J330" s="195"/>
      <c r="K330" s="195"/>
      <c r="L330" s="195"/>
      <c r="M330" s="195"/>
      <c r="O330" s="48"/>
    </row>
    <row r="331" spans="1:15" x14ac:dyDescent="0.3">
      <c r="A331" s="155" t="s">
        <v>2285</v>
      </c>
      <c r="B331" s="115"/>
      <c r="C331" s="115">
        <v>1</v>
      </c>
      <c r="D331" s="127">
        <v>1</v>
      </c>
      <c r="E331" s="98">
        <f t="shared" ref="E331" si="27">1.0953*1200</f>
        <v>1314.36</v>
      </c>
      <c r="F331" s="128">
        <v>1</v>
      </c>
      <c r="G331" s="345">
        <f>E331*F331*D331</f>
        <v>1314.36</v>
      </c>
      <c r="H331" s="102"/>
      <c r="I331" s="329"/>
      <c r="J331" s="195"/>
      <c r="K331" s="195"/>
      <c r="L331" s="195"/>
      <c r="M331" s="195"/>
      <c r="O331" s="48"/>
    </row>
    <row r="332" spans="1:15" x14ac:dyDescent="0.3">
      <c r="A332" s="156"/>
      <c r="B332" s="178"/>
      <c r="C332" s="178"/>
      <c r="D332" s="122"/>
      <c r="E332" s="123"/>
      <c r="F332" s="179"/>
      <c r="G332" s="180">
        <f>E332*F332*D332</f>
        <v>0</v>
      </c>
      <c r="H332" s="102"/>
      <c r="I332" s="329"/>
      <c r="J332" s="195"/>
      <c r="K332" s="195"/>
      <c r="L332" s="195"/>
      <c r="M332" s="195"/>
      <c r="O332" s="48"/>
    </row>
    <row r="333" spans="1:15" x14ac:dyDescent="0.3">
      <c r="A333" s="104" t="s">
        <v>84</v>
      </c>
      <c r="B333" s="105"/>
      <c r="C333" s="105"/>
      <c r="D333" s="105"/>
      <c r="E333" s="105"/>
      <c r="F333" s="105"/>
      <c r="G333" s="106"/>
      <c r="H333" s="107">
        <f>G331+G332</f>
        <v>1314.36</v>
      </c>
      <c r="I333" s="329"/>
      <c r="J333" s="195"/>
      <c r="K333" s="195"/>
      <c r="L333" s="196" t="str">
        <f>+H307</f>
        <v>2,05</v>
      </c>
      <c r="M333" s="333">
        <f>+H333</f>
        <v>1314.36</v>
      </c>
      <c r="O333" s="48"/>
    </row>
    <row r="334" spans="1:15" x14ac:dyDescent="0.3">
      <c r="A334" s="130" t="s">
        <v>85</v>
      </c>
      <c r="B334" s="124"/>
      <c r="C334" s="124"/>
      <c r="D334" s="125"/>
      <c r="E334" s="126"/>
      <c r="F334" s="124"/>
      <c r="G334" s="125"/>
      <c r="H334" s="113"/>
      <c r="I334" s="329"/>
      <c r="J334" s="195"/>
      <c r="K334" s="195"/>
      <c r="L334" s="195"/>
      <c r="M334" s="195"/>
      <c r="O334" s="48"/>
    </row>
    <row r="335" spans="1:15" x14ac:dyDescent="0.3">
      <c r="A335" s="218" t="s">
        <v>57</v>
      </c>
      <c r="B335" s="211" t="s">
        <v>86</v>
      </c>
      <c r="C335" s="211" t="s">
        <v>87</v>
      </c>
      <c r="D335" s="211" t="s">
        <v>88</v>
      </c>
      <c r="E335" s="212" t="s">
        <v>89</v>
      </c>
      <c r="F335" s="207" t="s">
        <v>62</v>
      </c>
      <c r="G335" s="208" t="s">
        <v>63</v>
      </c>
      <c r="H335" s="215"/>
      <c r="I335" s="329"/>
      <c r="J335" s="195"/>
      <c r="K335" s="195"/>
      <c r="L335" s="195"/>
      <c r="M335" s="195"/>
      <c r="O335" s="48"/>
    </row>
    <row r="336" spans="1:15" x14ac:dyDescent="0.3">
      <c r="A336" s="181" t="s">
        <v>90</v>
      </c>
      <c r="B336" s="129">
        <v>1</v>
      </c>
      <c r="C336" s="131">
        <f>1.0953*60000</f>
        <v>65718</v>
      </c>
      <c r="D336" s="132">
        <v>1.8540999999999999</v>
      </c>
      <c r="E336" s="133">
        <f>B336*C336*(D336)</f>
        <v>121847.7438</v>
      </c>
      <c r="F336" s="134">
        <v>2</v>
      </c>
      <c r="G336" s="182">
        <f>E336*F336</f>
        <v>243695.48759999999</v>
      </c>
      <c r="H336" s="100"/>
      <c r="I336" s="329"/>
      <c r="J336" s="195"/>
      <c r="K336" s="195"/>
      <c r="L336" s="195"/>
      <c r="M336" s="195"/>
      <c r="O336" s="48"/>
    </row>
    <row r="337" spans="1:15" x14ac:dyDescent="0.3">
      <c r="A337" s="183" t="s">
        <v>91</v>
      </c>
      <c r="B337" s="122">
        <v>1</v>
      </c>
      <c r="C337" s="184">
        <f>1.0953*2600000/30</f>
        <v>94926</v>
      </c>
      <c r="D337" s="185">
        <v>1.8508</v>
      </c>
      <c r="E337" s="186">
        <f>B337*C337*(D337)</f>
        <v>175689.04079999999</v>
      </c>
      <c r="F337" s="187">
        <f>F336</f>
        <v>2</v>
      </c>
      <c r="G337" s="188">
        <f>E337*F337</f>
        <v>351378.08159999998</v>
      </c>
      <c r="H337" s="102"/>
      <c r="I337" s="329"/>
      <c r="J337" s="195"/>
      <c r="K337" s="195"/>
      <c r="L337" s="195"/>
      <c r="M337" s="195"/>
      <c r="O337" s="48"/>
    </row>
    <row r="338" spans="1:15" x14ac:dyDescent="0.3">
      <c r="A338" s="135" t="s">
        <v>92</v>
      </c>
      <c r="B338" s="136"/>
      <c r="C338" s="136"/>
      <c r="D338" s="136"/>
      <c r="E338" s="136"/>
      <c r="F338" s="136"/>
      <c r="G338" s="137"/>
      <c r="H338" s="190">
        <f>SUM(G336:G337)</f>
        <v>595073.56920000003</v>
      </c>
      <c r="I338" s="329"/>
      <c r="J338" s="195"/>
      <c r="K338" s="195"/>
      <c r="L338" s="195"/>
      <c r="M338" s="196" t="str">
        <f>+H307</f>
        <v>2,05</v>
      </c>
      <c r="N338" s="330">
        <f>+H338</f>
        <v>595073.56920000003</v>
      </c>
      <c r="O338" s="48"/>
    </row>
    <row r="339" spans="1:15" x14ac:dyDescent="0.3">
      <c r="A339" s="130" t="s">
        <v>93</v>
      </c>
      <c r="B339" s="138"/>
      <c r="C339" s="138"/>
      <c r="D339" s="138"/>
      <c r="E339" s="138"/>
      <c r="F339" s="138"/>
      <c r="G339" s="138"/>
      <c r="H339" s="139"/>
      <c r="I339" s="329"/>
      <c r="J339" s="195"/>
      <c r="K339" s="195"/>
      <c r="L339" s="195"/>
      <c r="M339" s="195"/>
      <c r="O339" s="48"/>
    </row>
    <row r="340" spans="1:15" x14ac:dyDescent="0.3">
      <c r="A340" s="219" t="s">
        <v>94</v>
      </c>
      <c r="B340" s="220"/>
      <c r="C340" s="220"/>
      <c r="D340" s="220"/>
      <c r="E340" s="220"/>
      <c r="F340" s="220"/>
      <c r="G340" s="221"/>
      <c r="H340" s="222">
        <f>H338+H333+H328+H314</f>
        <v>3887502.3629929363</v>
      </c>
      <c r="I340" s="329"/>
      <c r="J340" s="195"/>
      <c r="K340" s="195"/>
      <c r="L340" s="195"/>
      <c r="M340" s="195"/>
      <c r="O340" s="48"/>
    </row>
    <row r="341" spans="1:15" x14ac:dyDescent="0.3">
      <c r="A341" s="140"/>
      <c r="B341" s="92"/>
      <c r="C341" s="141"/>
      <c r="D341" s="141"/>
      <c r="E341" s="93"/>
      <c r="F341" s="92"/>
      <c r="G341" s="141"/>
      <c r="H341" s="142"/>
      <c r="I341" s="329"/>
      <c r="J341" s="195"/>
      <c r="K341" s="195"/>
      <c r="L341" s="195"/>
      <c r="M341" s="195"/>
      <c r="O341" s="48"/>
    </row>
    <row r="342" spans="1:15" x14ac:dyDescent="0.3">
      <c r="A342" s="140"/>
      <c r="B342" s="92"/>
      <c r="C342" s="141"/>
      <c r="D342" s="143" t="s">
        <v>95</v>
      </c>
      <c r="E342" s="144"/>
      <c r="F342" s="144"/>
      <c r="G342" s="145"/>
      <c r="H342" s="146">
        <f>H340</f>
        <v>3887502.3629929363</v>
      </c>
      <c r="I342" s="329"/>
      <c r="J342" s="195"/>
      <c r="K342" s="195"/>
      <c r="L342" s="195"/>
      <c r="M342" s="195"/>
      <c r="O342" s="48"/>
    </row>
    <row r="343" spans="1:15" x14ac:dyDescent="0.3">
      <c r="A343" s="140"/>
      <c r="B343" s="92"/>
      <c r="C343" s="141"/>
      <c r="D343" s="141"/>
      <c r="E343" s="93"/>
      <c r="F343" s="92"/>
      <c r="G343" s="141"/>
      <c r="H343" s="139"/>
      <c r="I343" s="329"/>
      <c r="J343" s="195"/>
      <c r="K343" s="195"/>
      <c r="L343" s="195"/>
      <c r="M343" s="195"/>
      <c r="O343" s="48"/>
    </row>
    <row r="344" spans="1:15" x14ac:dyDescent="0.3">
      <c r="A344" s="147" t="s">
        <v>96</v>
      </c>
      <c r="B344" s="92"/>
      <c r="C344" s="141"/>
      <c r="D344" s="141"/>
      <c r="E344" s="93"/>
      <c r="F344" s="92"/>
      <c r="G344" s="141"/>
      <c r="H344" s="139"/>
      <c r="I344" s="329"/>
      <c r="J344" s="195"/>
      <c r="K344" s="195"/>
      <c r="L344" s="195"/>
      <c r="M344" s="195"/>
      <c r="O344" s="48"/>
    </row>
    <row r="345" spans="1:15" x14ac:dyDescent="0.3">
      <c r="A345" s="148"/>
      <c r="B345" s="124"/>
      <c r="C345" s="125"/>
      <c r="D345" s="141"/>
      <c r="E345" s="157" t="s">
        <v>97</v>
      </c>
      <c r="F345" s="157"/>
      <c r="G345" s="157"/>
      <c r="H345" s="139"/>
      <c r="I345" s="329"/>
      <c r="J345" s="195"/>
      <c r="K345" s="195"/>
      <c r="L345" s="195"/>
      <c r="M345" s="195"/>
      <c r="O345" s="48"/>
    </row>
    <row r="346" spans="1:15" x14ac:dyDescent="0.3">
      <c r="A346" s="148"/>
      <c r="B346" s="124"/>
      <c r="C346" s="125"/>
      <c r="D346" s="141"/>
      <c r="E346" s="149" t="str">
        <f>IF('INF. GENERAL'!$B$19=0," ",'INF. GENERAL'!$B$19)</f>
        <v>JAVIER JOSÉ ROSADO MENDINUETA</v>
      </c>
      <c r="F346" s="150"/>
      <c r="G346" s="151"/>
      <c r="H346" s="139"/>
      <c r="I346" s="329"/>
      <c r="J346" s="195"/>
      <c r="K346" s="195"/>
      <c r="L346" s="195"/>
      <c r="M346" s="195"/>
      <c r="O346" s="48"/>
    </row>
    <row r="347" spans="1:15" x14ac:dyDescent="0.3">
      <c r="A347" s="148"/>
      <c r="B347" s="124"/>
      <c r="C347" s="125"/>
      <c r="D347" s="141"/>
      <c r="E347" s="160" t="str">
        <f>IF('INF. GENERAL'!$B$20=0," ",'INF. GENERAL'!$B$20)</f>
        <v>PROFESIONAL APOYO</v>
      </c>
      <c r="F347" s="158"/>
      <c r="G347" s="161"/>
      <c r="H347" s="139"/>
      <c r="I347" s="329"/>
      <c r="J347" s="195"/>
      <c r="K347" s="195"/>
      <c r="L347" s="195"/>
      <c r="M347" s="195"/>
      <c r="O347" s="48"/>
    </row>
    <row r="348" spans="1:15" x14ac:dyDescent="0.3">
      <c r="A348" s="148"/>
      <c r="B348" s="124"/>
      <c r="C348" s="125"/>
      <c r="D348" s="141"/>
      <c r="E348" s="160" t="str">
        <f>IF('INF. GENERAL'!$B$18=0," ",'INF. GENERAL'!$B$18)</f>
        <v>ALCALDÍA MUNICIPAL DE FUNDACIÓN - MAGDALENA</v>
      </c>
      <c r="F348" s="159"/>
      <c r="G348" s="162"/>
      <c r="H348" s="139"/>
      <c r="I348" s="329"/>
      <c r="J348" s="195"/>
      <c r="K348" s="195"/>
      <c r="L348" s="195"/>
      <c r="M348" s="195"/>
      <c r="O348" s="48"/>
    </row>
    <row r="349" spans="1:15" x14ac:dyDescent="0.3">
      <c r="A349" s="140"/>
      <c r="B349" s="92"/>
      <c r="C349" s="141"/>
      <c r="D349" s="141"/>
      <c r="E349" s="154" t="str">
        <f>IF('INF. GENERAL'!$B$21=0," ",'INF. GENERAL'!$B$21)</f>
        <v>MP: 08700-52350</v>
      </c>
      <c r="F349" s="152"/>
      <c r="G349" s="153"/>
      <c r="H349" s="139"/>
      <c r="I349" s="329"/>
      <c r="J349" s="195"/>
      <c r="K349" s="195"/>
      <c r="L349" s="195"/>
      <c r="M349" s="195"/>
      <c r="O349" s="48"/>
    </row>
    <row r="350" spans="1:15" ht="15" thickBot="1" x14ac:dyDescent="0.35">
      <c r="A350" s="164" t="s">
        <v>37</v>
      </c>
      <c r="B350" s="165"/>
      <c r="C350" s="166"/>
      <c r="D350" s="166"/>
      <c r="E350" s="167"/>
      <c r="F350" s="167"/>
      <c r="G350" s="167"/>
      <c r="H350" s="168" t="s">
        <v>37</v>
      </c>
      <c r="I350" s="329"/>
      <c r="J350" s="195"/>
      <c r="K350" s="195"/>
      <c r="L350" s="195"/>
      <c r="M350" s="195"/>
      <c r="O350" s="48"/>
    </row>
    <row r="351" spans="1:15" x14ac:dyDescent="0.3">
      <c r="A351" s="63" t="str">
        <f>+'INF. GENERAL'!$B$13</f>
        <v>REPUBLICA DE COLOMBIA</v>
      </c>
      <c r="B351" s="64"/>
      <c r="C351" s="64"/>
      <c r="D351" s="64"/>
      <c r="E351" s="64"/>
      <c r="F351" s="65"/>
      <c r="G351" s="337"/>
      <c r="H351" s="67"/>
      <c r="I351" s="329"/>
      <c r="J351" s="195"/>
      <c r="K351" s="195"/>
      <c r="L351" s="195"/>
      <c r="M351" s="195"/>
      <c r="O351" s="48"/>
    </row>
    <row r="352" spans="1:15" x14ac:dyDescent="0.3">
      <c r="A352" s="68" t="str">
        <f>+'INF. GENERAL'!$B$14</f>
        <v>FUNDACIÓN</v>
      </c>
      <c r="B352" s="69"/>
      <c r="C352" s="69"/>
      <c r="D352" s="69"/>
      <c r="E352" s="69"/>
      <c r="F352" s="70"/>
      <c r="G352" s="338"/>
      <c r="H352" s="72"/>
      <c r="I352" s="329"/>
      <c r="J352" s="195"/>
      <c r="K352" s="195"/>
      <c r="L352" s="195"/>
      <c r="M352" s="195"/>
      <c r="O352" s="48"/>
    </row>
    <row r="353" spans="1:15" ht="15" thickBot="1" x14ac:dyDescent="0.35">
      <c r="A353" s="73" t="str">
        <f>+'INF. GENERAL'!$B$15</f>
        <v>MAGDALENA</v>
      </c>
      <c r="B353" s="74"/>
      <c r="C353" s="74"/>
      <c r="D353" s="74"/>
      <c r="E353" s="74"/>
      <c r="F353" s="75"/>
      <c r="G353" s="338"/>
      <c r="H353" s="72"/>
      <c r="I353" s="329"/>
      <c r="J353" s="195"/>
      <c r="K353" s="195"/>
      <c r="L353" s="195"/>
      <c r="M353" s="195"/>
      <c r="O353" s="48"/>
    </row>
    <row r="354" spans="1:15" ht="28.2" thickBot="1" x14ac:dyDescent="0.35">
      <c r="A354" s="202" t="str">
        <f>+CONCATENATE('INF. GENERAL'!$A$4,'INF. GENERAL'!$B$4)</f>
        <v>OBJETO: ACTIVIDADES ADICIONALES A LA ADECUACIÓN DE LA CANCHA DE FÚTBOL (ID 2615), VEREDA COMUNIDAD CRISTALINA BAJA (ID 200), MUNICIPIO DE FUNDACION, MAGDALENA</v>
      </c>
      <c r="B354" s="203"/>
      <c r="C354" s="203"/>
      <c r="D354" s="203"/>
      <c r="E354" s="203"/>
      <c r="F354" s="204"/>
      <c r="G354" s="338"/>
      <c r="H354" s="72"/>
      <c r="I354" s="329"/>
      <c r="J354" s="195"/>
      <c r="K354" s="195"/>
      <c r="L354" s="195"/>
      <c r="M354" s="195"/>
      <c r="O354" s="48"/>
    </row>
    <row r="355" spans="1:15" ht="15" thickBot="1" x14ac:dyDescent="0.35">
      <c r="A355" s="76" t="s">
        <v>53</v>
      </c>
      <c r="B355" s="77"/>
      <c r="C355" s="77"/>
      <c r="D355" s="77"/>
      <c r="E355" s="77"/>
      <c r="F355" s="78"/>
      <c r="G355" s="339" t="s">
        <v>49</v>
      </c>
      <c r="H355" s="80">
        <f>+VLOOKUP(H357,PRESUPUESTO!$A$1:$F$973,6,FALSE)</f>
        <v>348.75</v>
      </c>
      <c r="I355" s="329"/>
      <c r="J355" s="195"/>
      <c r="K355" s="195"/>
      <c r="L355" s="195"/>
      <c r="M355" s="195"/>
      <c r="O355" s="48"/>
    </row>
    <row r="356" spans="1:15" ht="26.4" x14ac:dyDescent="0.3">
      <c r="A356" s="81" t="s">
        <v>54</v>
      </c>
      <c r="B356" s="82" t="str">
        <f>VLOOKUP(H357,PRESUPUESTO!$A$3:$F$973,3,FALSE)</f>
        <v>EXCAVACIONES, RELLENOS Y SISTEMA DE DRENAJE</v>
      </c>
      <c r="C356" s="83"/>
      <c r="D356" s="83"/>
      <c r="E356" s="84" t="s">
        <v>55</v>
      </c>
      <c r="F356" s="85" t="str">
        <f>+VLOOKUP(H357,PRESUPUESTO!$A$1:$F$973,5,FALSE)</f>
        <v>m3</v>
      </c>
      <c r="G356" s="340" t="s">
        <v>56</v>
      </c>
      <c r="H356" s="87"/>
      <c r="I356" s="329"/>
      <c r="J356" s="195"/>
      <c r="K356" s="195"/>
      <c r="L356" s="195"/>
      <c r="M356" s="195"/>
      <c r="O356" s="48"/>
    </row>
    <row r="357" spans="1:15" ht="15" thickBot="1" x14ac:dyDescent="0.35">
      <c r="A357" s="88" t="s">
        <v>20</v>
      </c>
      <c r="B357" s="89" t="str">
        <f>+VLOOKUP(H357,PRESUPUESTO!$A$1:$F$973,4,FALSE)</f>
        <v>Nivelación del terreno con corte</v>
      </c>
      <c r="C357" s="89"/>
      <c r="D357" s="89"/>
      <c r="E357" s="89"/>
      <c r="F357" s="89"/>
      <c r="G357" s="341" t="s">
        <v>18</v>
      </c>
      <c r="H357" s="194" t="s">
        <v>2297</v>
      </c>
      <c r="I357" s="329"/>
      <c r="J357" s="195"/>
      <c r="K357" s="195"/>
      <c r="L357" s="195"/>
      <c r="M357" s="195"/>
      <c r="O357" s="48"/>
    </row>
    <row r="358" spans="1:15" ht="15" thickBot="1" x14ac:dyDescent="0.35">
      <c r="A358" s="91" t="s">
        <v>24</v>
      </c>
      <c r="B358" s="92"/>
      <c r="C358" s="92"/>
      <c r="D358" s="92"/>
      <c r="E358" s="93"/>
      <c r="F358" s="92"/>
      <c r="G358" s="342"/>
      <c r="H358" s="95"/>
      <c r="I358" s="329"/>
      <c r="J358" s="195"/>
      <c r="K358" s="195"/>
      <c r="L358" s="195"/>
      <c r="M358" s="195"/>
      <c r="O358" s="48"/>
    </row>
    <row r="359" spans="1:15" x14ac:dyDescent="0.3">
      <c r="A359" s="205" t="s">
        <v>57</v>
      </c>
      <c r="B359" s="216" t="s">
        <v>58</v>
      </c>
      <c r="C359" s="216" t="s">
        <v>59</v>
      </c>
      <c r="D359" s="216" t="s">
        <v>60</v>
      </c>
      <c r="E359" s="206" t="s">
        <v>61</v>
      </c>
      <c r="F359" s="207" t="s">
        <v>62</v>
      </c>
      <c r="G359" s="343" t="s">
        <v>63</v>
      </c>
      <c r="H359" s="209"/>
      <c r="I359" s="329"/>
      <c r="J359" s="195"/>
      <c r="K359" s="195"/>
      <c r="L359" s="195"/>
      <c r="M359" s="195"/>
      <c r="O359" s="48"/>
    </row>
    <row r="360" spans="1:15" ht="39.6" x14ac:dyDescent="0.3">
      <c r="A360" s="488" t="s">
        <v>2372</v>
      </c>
      <c r="B360" s="96"/>
      <c r="C360" s="96"/>
      <c r="D360" s="97"/>
      <c r="E360" s="98">
        <f>1.0953*120000</f>
        <v>131436</v>
      </c>
      <c r="F360" s="336">
        <v>0.04</v>
      </c>
      <c r="G360" s="344">
        <f>+EQUIPOS_03620[[#This Row],[Tarifa]]*EQUIPOS_03620[[#This Row],[Rendimiento]]</f>
        <v>5257.4400000000005</v>
      </c>
      <c r="H360" s="100"/>
      <c r="I360" s="329"/>
      <c r="J360" s="487">
        <v>20591.64</v>
      </c>
      <c r="K360" s="195"/>
      <c r="L360" s="195"/>
      <c r="M360" s="195"/>
      <c r="O360" s="48"/>
    </row>
    <row r="361" spans="1:15" x14ac:dyDescent="0.3">
      <c r="A361" s="96" t="s">
        <v>2286</v>
      </c>
      <c r="B361" s="96"/>
      <c r="C361" s="96"/>
      <c r="D361" s="97"/>
      <c r="E361" s="98"/>
      <c r="F361" s="101"/>
      <c r="G361" s="345">
        <v>6175.4696999999996</v>
      </c>
      <c r="H361" s="100"/>
      <c r="I361" s="329"/>
      <c r="J361" s="195"/>
      <c r="K361" s="195"/>
      <c r="L361" s="195"/>
      <c r="M361" s="195"/>
      <c r="O361" s="48"/>
    </row>
    <row r="362" spans="1:15" x14ac:dyDescent="0.3">
      <c r="A362" s="173" t="s">
        <v>2287</v>
      </c>
      <c r="B362" s="173"/>
      <c r="C362" s="173"/>
      <c r="D362" s="174"/>
      <c r="E362" s="123"/>
      <c r="F362" s="175"/>
      <c r="G362" s="346">
        <v>4116.9798000000001</v>
      </c>
      <c r="H362" s="102"/>
      <c r="I362" s="329"/>
      <c r="J362" s="195">
        <v>15334.2</v>
      </c>
      <c r="K362" s="195"/>
      <c r="L362" s="195"/>
      <c r="M362" s="195"/>
      <c r="O362" s="48"/>
    </row>
    <row r="363" spans="1:15" x14ac:dyDescent="0.3">
      <c r="A363" s="173"/>
      <c r="B363" s="173"/>
      <c r="C363" s="173"/>
      <c r="D363" s="174"/>
      <c r="E363" s="123"/>
      <c r="F363" s="175"/>
      <c r="G363" s="346"/>
      <c r="H363" s="102"/>
      <c r="I363" s="329"/>
      <c r="J363" s="195"/>
      <c r="K363" s="195"/>
      <c r="L363" s="195"/>
      <c r="M363" s="195"/>
      <c r="O363" s="48"/>
    </row>
    <row r="364" spans="1:15" x14ac:dyDescent="0.3">
      <c r="A364" s="173"/>
      <c r="B364" s="173"/>
      <c r="C364" s="173"/>
      <c r="D364" s="174"/>
      <c r="E364" s="123"/>
      <c r="F364" s="175"/>
      <c r="G364" s="346"/>
      <c r="H364" s="103"/>
      <c r="I364" s="329"/>
      <c r="J364" s="195"/>
      <c r="K364" s="195"/>
      <c r="L364" s="195"/>
      <c r="M364" s="195"/>
      <c r="O364" s="48"/>
    </row>
    <row r="365" spans="1:15" x14ac:dyDescent="0.3">
      <c r="A365" s="104" t="s">
        <v>65</v>
      </c>
      <c r="B365" s="105"/>
      <c r="C365" s="105"/>
      <c r="D365" s="105"/>
      <c r="E365" s="105"/>
      <c r="F365" s="105"/>
      <c r="G365" s="347"/>
      <c r="H365" s="190">
        <f>SUM(G360:G364)</f>
        <v>15549.889500000001</v>
      </c>
      <c r="I365" s="329"/>
      <c r="J365" s="196" t="str">
        <f>+H357</f>
        <v>2,06</v>
      </c>
      <c r="K365" s="330">
        <f>+H365</f>
        <v>15549.889500000001</v>
      </c>
      <c r="L365" s="195"/>
      <c r="M365" s="195"/>
      <c r="O365" s="48"/>
    </row>
    <row r="366" spans="1:15" x14ac:dyDescent="0.3">
      <c r="A366" s="108" t="s">
        <v>25</v>
      </c>
      <c r="B366" s="109"/>
      <c r="C366" s="110"/>
      <c r="D366" s="110"/>
      <c r="E366" s="111"/>
      <c r="F366" s="109"/>
      <c r="G366" s="348"/>
      <c r="H366" s="113"/>
      <c r="I366" s="329"/>
      <c r="J366" s="195"/>
      <c r="K366" s="195"/>
      <c r="L366" s="195"/>
      <c r="M366" s="195"/>
      <c r="O366" s="48"/>
    </row>
    <row r="367" spans="1:15" x14ac:dyDescent="0.3">
      <c r="A367" s="210" t="s">
        <v>66</v>
      </c>
      <c r="B367" s="217" t="s">
        <v>67</v>
      </c>
      <c r="C367" s="216" t="s">
        <v>68</v>
      </c>
      <c r="D367" s="211" t="s">
        <v>69</v>
      </c>
      <c r="E367" s="212" t="s">
        <v>70</v>
      </c>
      <c r="F367" s="211" t="s">
        <v>49</v>
      </c>
      <c r="G367" s="349" t="s">
        <v>71</v>
      </c>
      <c r="H367" s="214"/>
      <c r="I367" s="329"/>
      <c r="J367" s="195"/>
      <c r="K367" s="195"/>
      <c r="L367" s="195"/>
      <c r="M367" s="195"/>
      <c r="O367" s="48"/>
    </row>
    <row r="368" spans="1:15" x14ac:dyDescent="0.3">
      <c r="A368" s="114"/>
      <c r="B368" s="115"/>
      <c r="C368" s="115"/>
      <c r="D368" s="121" t="str">
        <f>IFERROR(VLOOKUP(MATERIALES_03519[[#This Row],[Descripcion]],INSUM_[#All],2,FALSE),"")</f>
        <v/>
      </c>
      <c r="E368" s="170" t="str">
        <f>IFERROR(VLOOKUP(MATERIALES_03519[[#This Row],[Descripcion]],INSUM_[#All],3,FALSE),"")</f>
        <v/>
      </c>
      <c r="F368" s="116"/>
      <c r="G368" s="350" t="str">
        <f t="shared" ref="G368:G378" si="28">+IFERROR(E368*F368,"")</f>
        <v/>
      </c>
      <c r="H368" s="100"/>
      <c r="I368" s="329"/>
      <c r="J368" s="195" t="str">
        <f>+_xlfn.CONCAT("M",J365,K368)</f>
        <v>M2,061</v>
      </c>
      <c r="K368" s="195">
        <v>1</v>
      </c>
      <c r="L368" s="197" t="str">
        <f>+IFERROR(G368*H355,"")</f>
        <v/>
      </c>
      <c r="M368" s="48">
        <f>+A368</f>
        <v>0</v>
      </c>
      <c r="N368" s="332">
        <f>+F368</f>
        <v>0</v>
      </c>
      <c r="O368" s="48"/>
    </row>
    <row r="369" spans="1:15" x14ac:dyDescent="0.3">
      <c r="A369" s="114"/>
      <c r="B369" s="118"/>
      <c r="C369" s="118"/>
      <c r="D369" s="121" t="str">
        <f>IFERROR(VLOOKUP(MATERIALES_03519[[#This Row],[Descripcion]],INSUM_[#All],2,FALSE),"")</f>
        <v/>
      </c>
      <c r="E369" s="170" t="str">
        <f>IFERROR(VLOOKUP(MATERIALES_03519[[#This Row],[Descripcion]],INSUM_[#All],3,FALSE),"")</f>
        <v/>
      </c>
      <c r="F369" s="116"/>
      <c r="G369" s="350" t="str">
        <f t="shared" si="28"/>
        <v/>
      </c>
      <c r="H369" s="102"/>
      <c r="I369" s="329"/>
      <c r="J369" s="195" t="str">
        <f>+_xlfn.CONCAT("M",J365,K369)</f>
        <v>M2,062</v>
      </c>
      <c r="K369" s="195">
        <v>2</v>
      </c>
      <c r="L369" s="197" t="str">
        <f>+IFERROR(G369*H355,"")</f>
        <v/>
      </c>
      <c r="M369" s="48">
        <f t="shared" ref="M369:M378" si="29">+A369</f>
        <v>0</v>
      </c>
      <c r="N369" s="332">
        <f t="shared" ref="N369:N378" si="30">+F369</f>
        <v>0</v>
      </c>
      <c r="O369" s="48"/>
    </row>
    <row r="370" spans="1:15" x14ac:dyDescent="0.3">
      <c r="A370" s="114"/>
      <c r="B370" s="118"/>
      <c r="C370" s="118"/>
      <c r="D370" s="121" t="str">
        <f>IFERROR(VLOOKUP(MATERIALES_03519[[#This Row],[Descripcion]],INSUM_[#All],2,FALSE),"")</f>
        <v/>
      </c>
      <c r="E370" s="170" t="str">
        <f>IFERROR(VLOOKUP(MATERIALES_03519[[#This Row],[Descripcion]],INSUM_[#All],3,FALSE),"")</f>
        <v/>
      </c>
      <c r="F370" s="116"/>
      <c r="G370" s="350" t="str">
        <f t="shared" si="28"/>
        <v/>
      </c>
      <c r="H370" s="102"/>
      <c r="I370" s="329"/>
      <c r="J370" s="195" t="str">
        <f>+_xlfn.CONCAT("M",J365,K370)</f>
        <v>M2,063</v>
      </c>
      <c r="K370" s="195">
        <v>3</v>
      </c>
      <c r="L370" s="197" t="str">
        <f>+IFERROR(G370*H355,"")</f>
        <v/>
      </c>
      <c r="M370" s="48">
        <f t="shared" si="29"/>
        <v>0</v>
      </c>
      <c r="N370" s="332">
        <f t="shared" si="30"/>
        <v>0</v>
      </c>
      <c r="O370" s="48"/>
    </row>
    <row r="371" spans="1:15" x14ac:dyDescent="0.3">
      <c r="A371" s="119"/>
      <c r="B371" s="120"/>
      <c r="C371" s="120"/>
      <c r="D371" s="121" t="str">
        <f>IFERROR(VLOOKUP(MATERIALES_03519[[#This Row],[Descripcion]],INSUM_[#All],2,FALSE),"")</f>
        <v/>
      </c>
      <c r="E371" s="170" t="str">
        <f>IFERROR(VLOOKUP(MATERIALES_03519[[#This Row],[Descripcion]],INSUM_[#All],3,FALSE),"")</f>
        <v/>
      </c>
      <c r="F371" s="121"/>
      <c r="G371" s="350" t="str">
        <f t="shared" si="28"/>
        <v/>
      </c>
      <c r="H371" s="102"/>
      <c r="I371" s="329"/>
      <c r="J371" s="195" t="str">
        <f>+_xlfn.CONCAT("M",J365,K371)</f>
        <v>M2,064</v>
      </c>
      <c r="K371" s="195">
        <v>4</v>
      </c>
      <c r="L371" s="197" t="str">
        <f>+IFERROR(G371*H355,"")</f>
        <v/>
      </c>
      <c r="M371" s="48">
        <f t="shared" si="29"/>
        <v>0</v>
      </c>
      <c r="N371" s="332">
        <f t="shared" si="30"/>
        <v>0</v>
      </c>
      <c r="O371" s="48"/>
    </row>
    <row r="372" spans="1:15" x14ac:dyDescent="0.3">
      <c r="A372" s="119"/>
      <c r="B372" s="120"/>
      <c r="C372" s="120"/>
      <c r="D372" s="121" t="str">
        <f>IFERROR(VLOOKUP(MATERIALES_03519[[#This Row],[Descripcion]],INSUM_[#All],2,FALSE),"")</f>
        <v/>
      </c>
      <c r="E372" s="170" t="str">
        <f>IFERROR(VLOOKUP(MATERIALES_03519[[#This Row],[Descripcion]],INSUM_[#All],3,FALSE),"")</f>
        <v/>
      </c>
      <c r="F372" s="121"/>
      <c r="G372" s="350" t="str">
        <f t="shared" si="28"/>
        <v/>
      </c>
      <c r="H372" s="102"/>
      <c r="I372" s="329"/>
      <c r="J372" s="195" t="str">
        <f>+_xlfn.CONCAT("M",J365,K372)</f>
        <v>M2,065</v>
      </c>
      <c r="K372" s="195">
        <v>5</v>
      </c>
      <c r="L372" s="197" t="str">
        <f>+IFERROR(G372*H355,"")</f>
        <v/>
      </c>
      <c r="M372" s="48">
        <f t="shared" si="29"/>
        <v>0</v>
      </c>
      <c r="N372" s="332">
        <f t="shared" si="30"/>
        <v>0</v>
      </c>
      <c r="O372" s="48"/>
    </row>
    <row r="373" spans="1:15" x14ac:dyDescent="0.3">
      <c r="A373" s="155"/>
      <c r="B373" s="118"/>
      <c r="C373" s="118"/>
      <c r="D373" s="121" t="str">
        <f>IFERROR(VLOOKUP(MATERIALES_03519[[#This Row],[Descripcion]],INSUM_[#All],2,FALSE),"")</f>
        <v/>
      </c>
      <c r="E373" s="170" t="str">
        <f>IFERROR(VLOOKUP(MATERIALES_03519[[#This Row],[Descripcion]],INSUM_[#All],3,FALSE),"")</f>
        <v/>
      </c>
      <c r="F373" s="116"/>
      <c r="G373" s="350" t="str">
        <f t="shared" si="28"/>
        <v/>
      </c>
      <c r="H373" s="102"/>
      <c r="I373" s="329"/>
      <c r="J373" s="195" t="str">
        <f>+_xlfn.CONCAT("M",J365,K373)</f>
        <v>M2,066</v>
      </c>
      <c r="K373" s="195">
        <v>6</v>
      </c>
      <c r="L373" s="197" t="str">
        <f>+IFERROR(G373*H355,"")</f>
        <v/>
      </c>
      <c r="M373" s="48">
        <f t="shared" si="29"/>
        <v>0</v>
      </c>
      <c r="N373" s="332">
        <f t="shared" si="30"/>
        <v>0</v>
      </c>
      <c r="O373" s="48"/>
    </row>
    <row r="374" spans="1:15" x14ac:dyDescent="0.3">
      <c r="A374" s="156"/>
      <c r="B374" s="120"/>
      <c r="C374" s="120"/>
      <c r="D374" s="121" t="str">
        <f>IFERROR(VLOOKUP(MATERIALES_03519[[#This Row],[Descripcion]],INSUM_[#All],2,FALSE),"")</f>
        <v/>
      </c>
      <c r="E374" s="170" t="str">
        <f>IFERROR(VLOOKUP(MATERIALES_03519[[#This Row],[Descripcion]],INSUM_[#All],3,FALSE),"")</f>
        <v/>
      </c>
      <c r="F374" s="121"/>
      <c r="G374" s="350" t="str">
        <f t="shared" si="28"/>
        <v/>
      </c>
      <c r="H374" s="102"/>
      <c r="I374" s="329"/>
      <c r="J374" s="195" t="str">
        <f>+_xlfn.CONCAT("M",J365,K374)</f>
        <v>M2,067</v>
      </c>
      <c r="K374" s="195">
        <v>7</v>
      </c>
      <c r="L374" s="197" t="str">
        <f>+IFERROR(G374*H355,"")</f>
        <v/>
      </c>
      <c r="M374" s="48">
        <f t="shared" si="29"/>
        <v>0</v>
      </c>
      <c r="N374" s="332">
        <f t="shared" si="30"/>
        <v>0</v>
      </c>
      <c r="O374" s="48"/>
    </row>
    <row r="375" spans="1:15" x14ac:dyDescent="0.3">
      <c r="A375" s="156"/>
      <c r="B375" s="120"/>
      <c r="C375" s="120"/>
      <c r="D375" s="121" t="str">
        <f>IFERROR(VLOOKUP(MATERIALES_03519[[#This Row],[Descripcion]],INSUM_[#All],2,FALSE),"")</f>
        <v/>
      </c>
      <c r="E375" s="170" t="str">
        <f>IFERROR(VLOOKUP(MATERIALES_03519[[#This Row],[Descripcion]],INSUM_[#All],3,FALSE),"")</f>
        <v/>
      </c>
      <c r="F375" s="121"/>
      <c r="G375" s="350" t="str">
        <f t="shared" si="28"/>
        <v/>
      </c>
      <c r="H375" s="102"/>
      <c r="I375" s="329"/>
      <c r="J375" s="195" t="str">
        <f>+_xlfn.CONCAT("M",J365,K375)</f>
        <v>M2,068</v>
      </c>
      <c r="K375" s="195">
        <v>8</v>
      </c>
      <c r="L375" s="197" t="str">
        <f>+IFERROR(G375*H355,"")</f>
        <v/>
      </c>
      <c r="M375" s="48">
        <f t="shared" si="29"/>
        <v>0</v>
      </c>
      <c r="N375" s="332">
        <f t="shared" si="30"/>
        <v>0</v>
      </c>
      <c r="O375" s="48"/>
    </row>
    <row r="376" spans="1:15" x14ac:dyDescent="0.3">
      <c r="A376" s="156"/>
      <c r="B376" s="120"/>
      <c r="C376" s="120"/>
      <c r="D376" s="121" t="str">
        <f>IFERROR(VLOOKUP(MATERIALES_03519[[#This Row],[Descripcion]],INSUM_[#All],2,FALSE),"")</f>
        <v/>
      </c>
      <c r="E376" s="170" t="str">
        <f>IFERROR(VLOOKUP(MATERIALES_03519[[#This Row],[Descripcion]],INSUM_[#All],3,FALSE),"")</f>
        <v/>
      </c>
      <c r="F376" s="121"/>
      <c r="G376" s="350" t="str">
        <f t="shared" si="28"/>
        <v/>
      </c>
      <c r="H376" s="102"/>
      <c r="I376" s="329"/>
      <c r="J376" s="195" t="str">
        <f>+_xlfn.CONCAT("M",J365,K376)</f>
        <v>M2,069</v>
      </c>
      <c r="K376" s="195">
        <v>9</v>
      </c>
      <c r="L376" s="197" t="str">
        <f>+IFERROR(G376*H355,"")</f>
        <v/>
      </c>
      <c r="M376" s="48">
        <f t="shared" si="29"/>
        <v>0</v>
      </c>
      <c r="N376" s="332">
        <f t="shared" si="30"/>
        <v>0</v>
      </c>
      <c r="O376" s="48"/>
    </row>
    <row r="377" spans="1:15" x14ac:dyDescent="0.3">
      <c r="A377" s="156"/>
      <c r="B377" s="120"/>
      <c r="C377" s="120"/>
      <c r="D377" s="121" t="str">
        <f>IFERROR(VLOOKUP(MATERIALES_03519[[#This Row],[Descripcion]],INSUM_[#All],2,FALSE),"")</f>
        <v/>
      </c>
      <c r="E377" s="170" t="str">
        <f>IFERROR(VLOOKUP(MATERIALES_03519[[#This Row],[Descripcion]],INSUM_[#All],3,FALSE),"")</f>
        <v/>
      </c>
      <c r="F377" s="121"/>
      <c r="G377" s="350" t="str">
        <f t="shared" si="28"/>
        <v/>
      </c>
      <c r="H377" s="102"/>
      <c r="I377" s="329"/>
      <c r="J377" s="195" t="str">
        <f>+_xlfn.CONCAT("M",J365,K377)</f>
        <v>M2,0610</v>
      </c>
      <c r="K377" s="195">
        <v>10</v>
      </c>
      <c r="L377" s="197" t="str">
        <f>+IFERROR(G377*H355,"")</f>
        <v/>
      </c>
      <c r="M377" s="48">
        <f t="shared" si="29"/>
        <v>0</v>
      </c>
      <c r="N377" s="332">
        <f t="shared" si="30"/>
        <v>0</v>
      </c>
      <c r="O377" s="48"/>
    </row>
    <row r="378" spans="1:15" x14ac:dyDescent="0.3">
      <c r="A378" s="156"/>
      <c r="B378" s="120"/>
      <c r="C378" s="120"/>
      <c r="D378" s="121" t="str">
        <f>IFERROR(VLOOKUP(MATERIALES_03519[[#This Row],[Descripcion]],INSUM_[#All],2,FALSE),"")</f>
        <v/>
      </c>
      <c r="E378" s="170" t="str">
        <f>IFERROR(VLOOKUP(MATERIALES_03519[[#This Row],[Descripcion]],INSUM_[#All],3,FALSE),"")</f>
        <v/>
      </c>
      <c r="F378" s="121"/>
      <c r="G378" s="350" t="str">
        <f t="shared" si="28"/>
        <v/>
      </c>
      <c r="H378" s="102"/>
      <c r="I378" s="329"/>
      <c r="J378" s="195" t="str">
        <f>+_xlfn.CONCAT("M",J365,K378)</f>
        <v>M2,0611</v>
      </c>
      <c r="K378" s="195">
        <v>11</v>
      </c>
      <c r="L378" s="197" t="str">
        <f>+IFERROR(G378*H355,"")</f>
        <v/>
      </c>
      <c r="M378" s="48">
        <f t="shared" si="29"/>
        <v>0</v>
      </c>
      <c r="N378" s="332">
        <f t="shared" si="30"/>
        <v>0</v>
      </c>
      <c r="O378" s="48"/>
    </row>
    <row r="379" spans="1:15" x14ac:dyDescent="0.3">
      <c r="A379" s="104" t="s">
        <v>81</v>
      </c>
      <c r="B379" s="105"/>
      <c r="C379" s="105"/>
      <c r="D379" s="105"/>
      <c r="E379" s="105"/>
      <c r="F379" s="105"/>
      <c r="G379" s="347"/>
      <c r="H379" s="190">
        <f>SUM(G368:G378)</f>
        <v>0</v>
      </c>
      <c r="I379" s="329"/>
      <c r="J379" s="195"/>
      <c r="K379" s="196" t="str">
        <f>+H357</f>
        <v>2,06</v>
      </c>
      <c r="L379" s="198">
        <f>SUM(L368:L378)</f>
        <v>0</v>
      </c>
      <c r="M379" s="330">
        <f>+H379</f>
        <v>0</v>
      </c>
      <c r="O379" s="48"/>
    </row>
    <row r="380" spans="1:15" x14ac:dyDescent="0.3">
      <c r="A380" s="91" t="s">
        <v>26</v>
      </c>
      <c r="B380" s="124"/>
      <c r="C380" s="125"/>
      <c r="D380" s="125"/>
      <c r="E380" s="126"/>
      <c r="F380" s="124"/>
      <c r="G380" s="351"/>
      <c r="H380" s="113"/>
      <c r="I380" s="329"/>
      <c r="J380" s="195"/>
      <c r="K380" s="195"/>
      <c r="L380" s="195"/>
      <c r="M380" s="195"/>
      <c r="O380" s="48"/>
    </row>
    <row r="381" spans="1:15" x14ac:dyDescent="0.3">
      <c r="A381" s="205" t="s">
        <v>57</v>
      </c>
      <c r="B381" s="217" t="s">
        <v>67</v>
      </c>
      <c r="C381" s="211" t="s">
        <v>82</v>
      </c>
      <c r="D381" s="211" t="s">
        <v>83</v>
      </c>
      <c r="E381" s="212" t="s">
        <v>61</v>
      </c>
      <c r="F381" s="207" t="s">
        <v>49</v>
      </c>
      <c r="G381" s="343" t="s">
        <v>71</v>
      </c>
      <c r="H381" s="215"/>
      <c r="I381" s="329"/>
      <c r="J381" s="195"/>
      <c r="K381" s="195"/>
      <c r="L381" s="195"/>
      <c r="M381" s="195"/>
      <c r="O381" s="48"/>
    </row>
    <row r="382" spans="1:15" x14ac:dyDescent="0.3">
      <c r="A382" s="155"/>
      <c r="B382" s="115"/>
      <c r="C382" s="115"/>
      <c r="D382" s="127"/>
      <c r="E382" s="98"/>
      <c r="F382" s="128"/>
      <c r="G382" s="345"/>
      <c r="H382" s="102"/>
      <c r="I382" s="329"/>
      <c r="J382" s="195"/>
      <c r="K382" s="195"/>
      <c r="L382" s="195"/>
      <c r="M382" s="195"/>
      <c r="O382" s="48"/>
    </row>
    <row r="383" spans="1:15" x14ac:dyDescent="0.3">
      <c r="A383" s="156"/>
      <c r="B383" s="178"/>
      <c r="C383" s="178"/>
      <c r="D383" s="122"/>
      <c r="E383" s="123"/>
      <c r="F383" s="179"/>
      <c r="G383" s="346">
        <f>E383*F383*D383</f>
        <v>0</v>
      </c>
      <c r="H383" s="102"/>
      <c r="I383" s="329"/>
      <c r="J383" s="195"/>
      <c r="K383" s="195"/>
      <c r="L383" s="195"/>
      <c r="M383" s="195"/>
      <c r="O383" s="48"/>
    </row>
    <row r="384" spans="1:15" x14ac:dyDescent="0.3">
      <c r="A384" s="104" t="s">
        <v>84</v>
      </c>
      <c r="B384" s="105"/>
      <c r="C384" s="105"/>
      <c r="D384" s="105"/>
      <c r="E384" s="105"/>
      <c r="F384" s="105"/>
      <c r="G384" s="347"/>
      <c r="H384" s="107">
        <f>G382+G383</f>
        <v>0</v>
      </c>
      <c r="I384" s="329"/>
      <c r="J384" s="195"/>
      <c r="K384" s="195"/>
      <c r="L384" s="196" t="str">
        <f>+H357</f>
        <v>2,06</v>
      </c>
      <c r="M384" s="333">
        <f>+H384</f>
        <v>0</v>
      </c>
      <c r="O384" s="48"/>
    </row>
    <row r="385" spans="1:15" x14ac:dyDescent="0.3">
      <c r="A385" s="130" t="s">
        <v>85</v>
      </c>
      <c r="B385" s="124"/>
      <c r="C385" s="124"/>
      <c r="D385" s="125"/>
      <c r="E385" s="126"/>
      <c r="F385" s="124"/>
      <c r="G385" s="351"/>
      <c r="H385" s="113"/>
      <c r="I385" s="329"/>
      <c r="J385" s="195"/>
      <c r="K385" s="195"/>
      <c r="L385" s="195"/>
      <c r="M385" s="195"/>
      <c r="O385" s="48"/>
    </row>
    <row r="386" spans="1:15" x14ac:dyDescent="0.3">
      <c r="A386" s="218" t="s">
        <v>57</v>
      </c>
      <c r="B386" s="211" t="s">
        <v>86</v>
      </c>
      <c r="C386" s="211" t="s">
        <v>87</v>
      </c>
      <c r="D386" s="211" t="s">
        <v>88</v>
      </c>
      <c r="E386" s="212" t="s">
        <v>89</v>
      </c>
      <c r="F386" s="207" t="s">
        <v>62</v>
      </c>
      <c r="G386" s="343" t="s">
        <v>63</v>
      </c>
      <c r="H386" s="215"/>
      <c r="I386" s="329"/>
      <c r="J386" s="195"/>
      <c r="K386" s="195"/>
      <c r="L386" s="195"/>
      <c r="M386" s="195"/>
      <c r="O386" s="48"/>
    </row>
    <row r="387" spans="1:15" x14ac:dyDescent="0.3">
      <c r="A387" s="181" t="s">
        <v>90</v>
      </c>
      <c r="B387" s="129">
        <v>1</v>
      </c>
      <c r="C387" s="131">
        <f>1.0953*60000</f>
        <v>65718</v>
      </c>
      <c r="D387" s="132">
        <v>1.75</v>
      </c>
      <c r="E387" s="133">
        <f>B387*C387*(D387)</f>
        <v>115006.5</v>
      </c>
      <c r="F387" s="134">
        <v>0.15214967900000001</v>
      </c>
      <c r="G387" s="350">
        <f>E387*F387</f>
        <v>17498.202057913502</v>
      </c>
      <c r="H387" s="100"/>
      <c r="I387" s="329"/>
      <c r="J387" s="483"/>
      <c r="K387" s="195"/>
      <c r="L387" s="195"/>
      <c r="M387" s="195"/>
      <c r="O387" s="48"/>
    </row>
    <row r="388" spans="1:15" x14ac:dyDescent="0.3">
      <c r="A388" s="183" t="s">
        <v>91</v>
      </c>
      <c r="B388" s="122">
        <v>1</v>
      </c>
      <c r="C388" s="184">
        <f>1.0953*2600000/30</f>
        <v>94926</v>
      </c>
      <c r="D388" s="185">
        <v>1.68</v>
      </c>
      <c r="E388" s="186">
        <f>B388*C388*(D388)</f>
        <v>159475.68</v>
      </c>
      <c r="F388" s="187">
        <v>9.2259201284544262E-2</v>
      </c>
      <c r="G388" s="352">
        <f>E388*F388</f>
        <v>14713.098861109569</v>
      </c>
      <c r="H388" s="102"/>
      <c r="I388" s="329"/>
      <c r="J388" s="195"/>
      <c r="K388" s="195"/>
      <c r="L388" s="195"/>
      <c r="M388" s="195"/>
      <c r="O388" s="48"/>
    </row>
    <row r="389" spans="1:15" x14ac:dyDescent="0.3">
      <c r="A389" s="135" t="s">
        <v>92</v>
      </c>
      <c r="B389" s="136"/>
      <c r="C389" s="136"/>
      <c r="D389" s="136"/>
      <c r="E389" s="136"/>
      <c r="F389" s="136"/>
      <c r="G389" s="353"/>
      <c r="H389" s="190">
        <f>SUM(G387:G388)</f>
        <v>32211.300919023073</v>
      </c>
      <c r="I389" s="329"/>
      <c r="J389" s="195"/>
      <c r="K389" s="195"/>
      <c r="L389" s="195"/>
      <c r="M389" s="196" t="str">
        <f>+H357</f>
        <v>2,06</v>
      </c>
      <c r="N389" s="330">
        <f>+H389</f>
        <v>32211.300919023073</v>
      </c>
      <c r="O389" s="48"/>
    </row>
    <row r="390" spans="1:15" x14ac:dyDescent="0.3">
      <c r="A390" s="130" t="s">
        <v>93</v>
      </c>
      <c r="B390" s="138"/>
      <c r="C390" s="138"/>
      <c r="D390" s="138"/>
      <c r="E390" s="138"/>
      <c r="F390" s="138"/>
      <c r="G390" s="354"/>
      <c r="H390" s="139"/>
      <c r="I390" s="329"/>
      <c r="J390" s="195"/>
      <c r="K390" s="195"/>
      <c r="L390" s="195"/>
      <c r="M390" s="195"/>
      <c r="O390" s="48"/>
    </row>
    <row r="391" spans="1:15" x14ac:dyDescent="0.3">
      <c r="A391" s="219" t="s">
        <v>94</v>
      </c>
      <c r="B391" s="220"/>
      <c r="C391" s="220"/>
      <c r="D391" s="220"/>
      <c r="E391" s="220"/>
      <c r="F391" s="220"/>
      <c r="G391" s="355"/>
      <c r="H391" s="222">
        <f>H389+H384+H379+H365</f>
        <v>47761.190419023071</v>
      </c>
      <c r="I391" s="329"/>
      <c r="J391" s="195"/>
      <c r="K391" s="195"/>
      <c r="L391" s="195"/>
      <c r="M391" s="195"/>
      <c r="O391" s="48"/>
    </row>
    <row r="392" spans="1:15" x14ac:dyDescent="0.3">
      <c r="A392" s="140"/>
      <c r="B392" s="92"/>
      <c r="C392" s="141"/>
      <c r="D392" s="141"/>
      <c r="E392" s="93"/>
      <c r="F392" s="92"/>
      <c r="G392" s="356"/>
      <c r="H392" s="142"/>
      <c r="I392" s="329"/>
      <c r="J392" s="195"/>
      <c r="K392" s="195"/>
      <c r="L392" s="195"/>
      <c r="M392" s="195"/>
      <c r="O392" s="48"/>
    </row>
    <row r="393" spans="1:15" x14ac:dyDescent="0.3">
      <c r="A393" s="140"/>
      <c r="B393" s="92"/>
      <c r="C393" s="141"/>
      <c r="D393" s="143" t="s">
        <v>95</v>
      </c>
      <c r="E393" s="144"/>
      <c r="F393" s="144"/>
      <c r="G393" s="357"/>
      <c r="H393" s="146">
        <f>H391</f>
        <v>47761.190419023071</v>
      </c>
      <c r="I393" s="329"/>
      <c r="J393" s="195"/>
      <c r="K393" s="195"/>
      <c r="L393" s="195"/>
      <c r="M393" s="195"/>
      <c r="O393" s="48"/>
    </row>
    <row r="394" spans="1:15" x14ac:dyDescent="0.3">
      <c r="A394" s="140"/>
      <c r="B394" s="92"/>
      <c r="C394" s="141"/>
      <c r="D394" s="141"/>
      <c r="E394" s="93"/>
      <c r="F394" s="92"/>
      <c r="G394" s="356"/>
      <c r="H394" s="139"/>
      <c r="I394" s="329"/>
      <c r="J394" s="195"/>
      <c r="K394" s="195"/>
      <c r="L394" s="195"/>
      <c r="M394" s="195"/>
      <c r="O394" s="48"/>
    </row>
    <row r="395" spans="1:15" x14ac:dyDescent="0.3">
      <c r="A395" s="147" t="s">
        <v>96</v>
      </c>
      <c r="B395" s="92"/>
      <c r="C395" s="141"/>
      <c r="D395" s="141"/>
      <c r="E395" s="93"/>
      <c r="F395" s="92"/>
      <c r="G395" s="356"/>
      <c r="H395" s="139"/>
      <c r="I395" s="329"/>
      <c r="J395" s="195"/>
      <c r="K395" s="195"/>
      <c r="L395" s="195"/>
      <c r="M395" s="195"/>
      <c r="O395" s="48"/>
    </row>
    <row r="396" spans="1:15" x14ac:dyDescent="0.3">
      <c r="A396" s="148"/>
      <c r="B396" s="124"/>
      <c r="C396" s="125"/>
      <c r="D396" s="141"/>
      <c r="E396" s="157" t="s">
        <v>97</v>
      </c>
      <c r="F396" s="157"/>
      <c r="G396" s="358"/>
      <c r="H396" s="139"/>
      <c r="I396" s="329"/>
      <c r="J396" s="195"/>
      <c r="K396" s="195"/>
      <c r="L396" s="195"/>
      <c r="M396" s="195"/>
      <c r="O396" s="48"/>
    </row>
    <row r="397" spans="1:15" x14ac:dyDescent="0.3">
      <c r="A397" s="148"/>
      <c r="B397" s="124"/>
      <c r="C397" s="125"/>
      <c r="D397" s="141"/>
      <c r="E397" s="149" t="str">
        <f>IF('INF. GENERAL'!$B$19=0," ",'INF. GENERAL'!$B$19)</f>
        <v>JAVIER JOSÉ ROSADO MENDINUETA</v>
      </c>
      <c r="F397" s="150"/>
      <c r="G397" s="359"/>
      <c r="H397" s="139"/>
      <c r="I397" s="329"/>
      <c r="J397" s="195"/>
      <c r="K397" s="195"/>
      <c r="L397" s="195"/>
      <c r="M397" s="195"/>
      <c r="O397" s="48"/>
    </row>
    <row r="398" spans="1:15" x14ac:dyDescent="0.3">
      <c r="A398" s="148"/>
      <c r="B398" s="124"/>
      <c r="C398" s="125"/>
      <c r="D398" s="141"/>
      <c r="E398" s="160" t="str">
        <f>IF('INF. GENERAL'!$B$20=0," ",'INF. GENERAL'!$B$20)</f>
        <v>PROFESIONAL APOYO</v>
      </c>
      <c r="F398" s="158"/>
      <c r="G398" s="360"/>
      <c r="H398" s="139"/>
      <c r="I398" s="329"/>
      <c r="J398" s="195"/>
      <c r="K398" s="195"/>
      <c r="L398" s="195"/>
      <c r="M398" s="195"/>
      <c r="O398" s="48"/>
    </row>
    <row r="399" spans="1:15" x14ac:dyDescent="0.3">
      <c r="A399" s="148"/>
      <c r="B399" s="124"/>
      <c r="C399" s="125"/>
      <c r="D399" s="141"/>
      <c r="E399" s="160" t="str">
        <f>IF('INF. GENERAL'!$B$18=0," ",'INF. GENERAL'!$B$18)</f>
        <v>ALCALDÍA MUNICIPAL DE FUNDACIÓN - MAGDALENA</v>
      </c>
      <c r="F399" s="159"/>
      <c r="G399" s="361"/>
      <c r="H399" s="139"/>
      <c r="I399" s="329"/>
      <c r="J399" s="195"/>
      <c r="K399" s="195"/>
      <c r="L399" s="195"/>
      <c r="M399" s="195"/>
      <c r="O399" s="48"/>
    </row>
    <row r="400" spans="1:15" x14ac:dyDescent="0.3">
      <c r="A400" s="140"/>
      <c r="B400" s="92"/>
      <c r="C400" s="141"/>
      <c r="D400" s="141"/>
      <c r="E400" s="154" t="str">
        <f>IF('INF. GENERAL'!$B$21=0," ",'INF. GENERAL'!$B$21)</f>
        <v>MP: 08700-52350</v>
      </c>
      <c r="F400" s="152"/>
      <c r="G400" s="362"/>
      <c r="H400" s="139"/>
      <c r="I400" s="329"/>
      <c r="J400" s="195"/>
      <c r="K400" s="195"/>
      <c r="L400" s="195"/>
      <c r="M400" s="195"/>
      <c r="O400" s="48"/>
    </row>
    <row r="401" spans="1:15" ht="15" thickBot="1" x14ac:dyDescent="0.35">
      <c r="A401" s="164" t="s">
        <v>37</v>
      </c>
      <c r="B401" s="165"/>
      <c r="C401" s="166"/>
      <c r="D401" s="166"/>
      <c r="E401" s="167"/>
      <c r="F401" s="167"/>
      <c r="G401" s="363"/>
      <c r="H401" s="168" t="s">
        <v>37</v>
      </c>
      <c r="I401" s="329"/>
      <c r="J401" s="195"/>
      <c r="K401" s="195"/>
      <c r="L401" s="195"/>
      <c r="M401" s="195"/>
      <c r="O401" s="48"/>
    </row>
    <row r="402" spans="1:15" x14ac:dyDescent="0.3">
      <c r="A402" s="63" t="str">
        <f>+'INF. GENERAL'!$B$13</f>
        <v>REPUBLICA DE COLOMBIA</v>
      </c>
      <c r="B402" s="64"/>
      <c r="C402" s="64"/>
      <c r="D402" s="64"/>
      <c r="E402" s="64"/>
      <c r="F402" s="65"/>
      <c r="G402" s="337"/>
      <c r="H402" s="67"/>
      <c r="I402" s="329"/>
      <c r="J402" s="195"/>
      <c r="K402" s="195"/>
      <c r="L402" s="195"/>
      <c r="M402" s="195"/>
      <c r="O402" s="48"/>
    </row>
    <row r="403" spans="1:15" x14ac:dyDescent="0.3">
      <c r="A403" s="68" t="str">
        <f>+'INF. GENERAL'!$B$14</f>
        <v>FUNDACIÓN</v>
      </c>
      <c r="B403" s="69"/>
      <c r="C403" s="69"/>
      <c r="D403" s="69"/>
      <c r="E403" s="69"/>
      <c r="F403" s="70"/>
      <c r="G403" s="338"/>
      <c r="H403" s="72"/>
      <c r="I403" s="329"/>
      <c r="J403" s="195"/>
      <c r="K403" s="195"/>
      <c r="L403" s="195"/>
      <c r="M403" s="195"/>
      <c r="O403" s="48"/>
    </row>
    <row r="404" spans="1:15" ht="15" thickBot="1" x14ac:dyDescent="0.35">
      <c r="A404" s="73" t="str">
        <f>+'INF. GENERAL'!$B$15</f>
        <v>MAGDALENA</v>
      </c>
      <c r="B404" s="74"/>
      <c r="C404" s="74"/>
      <c r="D404" s="74"/>
      <c r="E404" s="74"/>
      <c r="F404" s="75"/>
      <c r="G404" s="338"/>
      <c r="H404" s="72"/>
      <c r="I404" s="329"/>
      <c r="J404" s="195"/>
      <c r="K404" s="195"/>
      <c r="L404" s="195"/>
      <c r="M404" s="195"/>
      <c r="O404" s="48"/>
    </row>
    <row r="405" spans="1:15" ht="28.2" thickBot="1" x14ac:dyDescent="0.35">
      <c r="A405" s="202" t="str">
        <f>+CONCATENATE('INF. GENERAL'!$A$4,'INF. GENERAL'!$B$4)</f>
        <v>OBJETO: ACTIVIDADES ADICIONALES A LA ADECUACIÓN DE LA CANCHA DE FÚTBOL (ID 2615), VEREDA COMUNIDAD CRISTALINA BAJA (ID 200), MUNICIPIO DE FUNDACION, MAGDALENA</v>
      </c>
      <c r="B405" s="203"/>
      <c r="C405" s="203"/>
      <c r="D405" s="203"/>
      <c r="E405" s="203"/>
      <c r="F405" s="204"/>
      <c r="G405" s="338"/>
      <c r="H405" s="72"/>
      <c r="I405" s="329"/>
      <c r="J405" s="195"/>
      <c r="K405" s="195"/>
      <c r="L405" s="195"/>
      <c r="M405" s="195"/>
      <c r="O405" s="48"/>
    </row>
    <row r="406" spans="1:15" ht="15" thickBot="1" x14ac:dyDescent="0.35">
      <c r="A406" s="76" t="s">
        <v>53</v>
      </c>
      <c r="B406" s="77"/>
      <c r="C406" s="77"/>
      <c r="D406" s="77"/>
      <c r="E406" s="77"/>
      <c r="F406" s="78"/>
      <c r="G406" s="339" t="s">
        <v>49</v>
      </c>
      <c r="H406" s="80">
        <f>+VLOOKUP(H408,PRESUPUESTO!$A$1:$F$973,6,FALSE)</f>
        <v>586.19000000000005</v>
      </c>
      <c r="I406" s="329"/>
      <c r="J406" s="195"/>
      <c r="K406" s="195"/>
      <c r="L406" s="195"/>
      <c r="M406" s="195"/>
      <c r="O406" s="48"/>
    </row>
    <row r="407" spans="1:15" ht="26.4" x14ac:dyDescent="0.3">
      <c r="A407" s="81" t="s">
        <v>54</v>
      </c>
      <c r="B407" s="82" t="str">
        <f>VLOOKUP(H408,PRESUPUESTO!$A$3:$F$973,3,FALSE)</f>
        <v>EXCAVACIONES, RELLENOS Y SISTEMA DE DRENAJE</v>
      </c>
      <c r="C407" s="83"/>
      <c r="D407" s="83"/>
      <c r="E407" s="84" t="s">
        <v>55</v>
      </c>
      <c r="F407" s="85" t="str">
        <f>+VLOOKUP(H408,PRESUPUESTO!$A$1:$F$973,5,FALSE)</f>
        <v>m3</v>
      </c>
      <c r="G407" s="340" t="s">
        <v>56</v>
      </c>
      <c r="H407" s="87"/>
      <c r="I407" s="329"/>
      <c r="J407" s="195"/>
      <c r="K407" s="195"/>
      <c r="L407" s="195"/>
      <c r="M407" s="195"/>
      <c r="O407" s="48"/>
    </row>
    <row r="408" spans="1:15" ht="15" thickBot="1" x14ac:dyDescent="0.35">
      <c r="A408" s="88" t="s">
        <v>20</v>
      </c>
      <c r="B408" s="89" t="str">
        <f>+VLOOKUP(H408,PRESUPUESTO!$A$1:$F$973,4,FALSE)</f>
        <v>Nivelacion y relleno de la cancha, incluye compactacion</v>
      </c>
      <c r="C408" s="89"/>
      <c r="D408" s="89"/>
      <c r="E408" s="89"/>
      <c r="F408" s="89"/>
      <c r="G408" s="341" t="s">
        <v>18</v>
      </c>
      <c r="H408" s="194" t="s">
        <v>2296</v>
      </c>
      <c r="I408" s="329"/>
      <c r="J408" s="195"/>
      <c r="K408" s="195"/>
      <c r="L408" s="195"/>
      <c r="M408" s="195"/>
      <c r="O408" s="48"/>
    </row>
    <row r="409" spans="1:15" ht="15" thickBot="1" x14ac:dyDescent="0.35">
      <c r="A409" s="91" t="s">
        <v>24</v>
      </c>
      <c r="B409" s="92"/>
      <c r="C409" s="92"/>
      <c r="D409" s="92"/>
      <c r="E409" s="93"/>
      <c r="F409" s="92"/>
      <c r="G409" s="342"/>
      <c r="H409" s="95"/>
      <c r="I409" s="329"/>
      <c r="J409" s="195"/>
      <c r="K409" s="195"/>
      <c r="L409" s="195"/>
      <c r="M409" s="195"/>
      <c r="O409" s="48"/>
    </row>
    <row r="410" spans="1:15" x14ac:dyDescent="0.3">
      <c r="A410" s="205" t="s">
        <v>57</v>
      </c>
      <c r="B410" s="216" t="s">
        <v>58</v>
      </c>
      <c r="C410" s="216" t="s">
        <v>59</v>
      </c>
      <c r="D410" s="216" t="s">
        <v>60</v>
      </c>
      <c r="E410" s="206" t="s">
        <v>61</v>
      </c>
      <c r="F410" s="207" t="s">
        <v>62</v>
      </c>
      <c r="G410" s="343" t="s">
        <v>63</v>
      </c>
      <c r="H410" s="209"/>
      <c r="I410" s="329"/>
      <c r="J410" s="195"/>
      <c r="K410" s="195"/>
      <c r="L410" s="195"/>
      <c r="M410" s="195"/>
      <c r="O410" s="48"/>
    </row>
    <row r="411" spans="1:15" ht="39.6" x14ac:dyDescent="0.3">
      <c r="A411" s="488" t="s">
        <v>2372</v>
      </c>
      <c r="B411" s="96"/>
      <c r="C411" s="96"/>
      <c r="D411" s="97"/>
      <c r="E411" s="98">
        <f>1.0953*120000</f>
        <v>131436</v>
      </c>
      <c r="F411" s="336">
        <v>4.5649593718615891E-2</v>
      </c>
      <c r="G411" s="344">
        <f>+EQUIPOS_03628[[#This Row],[Tarifa]]*EQUIPOS_03628[[#This Row],[Rendimiento]]</f>
        <v>5999.9999999999982</v>
      </c>
      <c r="H411" s="100"/>
      <c r="I411" s="329">
        <v>16000</v>
      </c>
      <c r="J411" s="195"/>
      <c r="K411" s="195"/>
      <c r="L411" s="195"/>
      <c r="M411" s="195"/>
      <c r="O411" s="48"/>
    </row>
    <row r="412" spans="1:15" x14ac:dyDescent="0.3">
      <c r="A412" s="96"/>
      <c r="B412" s="96"/>
      <c r="C412" s="96"/>
      <c r="D412" s="97"/>
      <c r="E412" s="98"/>
      <c r="F412" s="336"/>
      <c r="G412" s="344"/>
      <c r="H412" s="100"/>
      <c r="I412" s="329"/>
      <c r="J412" s="195"/>
      <c r="K412" s="195"/>
      <c r="L412" s="195"/>
      <c r="M412" s="195"/>
      <c r="O412" s="48"/>
    </row>
    <row r="413" spans="1:15" x14ac:dyDescent="0.3">
      <c r="A413" s="96" t="s">
        <v>2286</v>
      </c>
      <c r="B413" s="96"/>
      <c r="C413" s="96"/>
      <c r="D413" s="97"/>
      <c r="E413" s="98"/>
      <c r="F413" s="336"/>
      <c r="G413" s="344">
        <v>6175.4696999999996</v>
      </c>
      <c r="H413" s="102"/>
      <c r="I413" s="329"/>
      <c r="J413" s="195"/>
      <c r="K413" s="195"/>
      <c r="L413" s="195"/>
      <c r="M413" s="195"/>
      <c r="O413" s="48"/>
    </row>
    <row r="414" spans="1:15" x14ac:dyDescent="0.3">
      <c r="A414" s="96" t="s">
        <v>2287</v>
      </c>
      <c r="B414" s="96"/>
      <c r="C414" s="96"/>
      <c r="D414" s="97"/>
      <c r="E414" s="98"/>
      <c r="F414" s="336"/>
      <c r="G414" s="344">
        <v>4116.9798000000001</v>
      </c>
      <c r="H414" s="102"/>
      <c r="I414" s="329"/>
      <c r="J414" s="195"/>
      <c r="K414" s="195"/>
      <c r="L414" s="195"/>
      <c r="M414" s="195"/>
      <c r="O414" s="48"/>
    </row>
    <row r="415" spans="1:15" x14ac:dyDescent="0.3">
      <c r="A415" s="96"/>
      <c r="B415" s="96"/>
      <c r="C415" s="96"/>
      <c r="D415" s="97"/>
      <c r="E415" s="98"/>
      <c r="F415" s="101"/>
      <c r="G415" s="345">
        <f>+F415*H441</f>
        <v>0</v>
      </c>
      <c r="H415" s="102"/>
      <c r="I415" s="329"/>
      <c r="J415" s="195"/>
      <c r="K415" s="195"/>
      <c r="L415" s="195"/>
      <c r="M415" s="195"/>
      <c r="O415" s="48"/>
    </row>
    <row r="416" spans="1:15" x14ac:dyDescent="0.3">
      <c r="A416" s="173"/>
      <c r="B416" s="173"/>
      <c r="C416" s="173"/>
      <c r="D416" s="174"/>
      <c r="E416" s="123"/>
      <c r="F416" s="175"/>
      <c r="G416" s="346"/>
      <c r="H416" s="103"/>
      <c r="I416" s="329"/>
      <c r="J416" s="195"/>
      <c r="K416" s="195"/>
      <c r="L416" s="195"/>
      <c r="M416" s="195"/>
      <c r="O416" s="48"/>
    </row>
    <row r="417" spans="1:15" x14ac:dyDescent="0.3">
      <c r="A417" s="104" t="s">
        <v>65</v>
      </c>
      <c r="B417" s="105"/>
      <c r="C417" s="105"/>
      <c r="D417" s="105"/>
      <c r="E417" s="105"/>
      <c r="F417" s="105"/>
      <c r="G417" s="347"/>
      <c r="H417" s="190">
        <f>SUM(G411:G416)</f>
        <v>16292.449499999999</v>
      </c>
      <c r="I417" s="329"/>
      <c r="J417" s="196" t="str">
        <f>+H408</f>
        <v>2,07</v>
      </c>
      <c r="K417" s="330">
        <f>+H417</f>
        <v>16292.449499999999</v>
      </c>
      <c r="L417" s="195"/>
      <c r="M417" s="195"/>
      <c r="O417" s="48"/>
    </row>
    <row r="418" spans="1:15" x14ac:dyDescent="0.3">
      <c r="A418" s="108" t="s">
        <v>25</v>
      </c>
      <c r="B418" s="109"/>
      <c r="C418" s="110"/>
      <c r="D418" s="110"/>
      <c r="E418" s="111"/>
      <c r="F418" s="109"/>
      <c r="G418" s="348"/>
      <c r="H418" s="113"/>
      <c r="I418" s="329"/>
      <c r="J418" s="195"/>
      <c r="K418" s="195"/>
      <c r="L418" s="195"/>
      <c r="M418" s="195"/>
      <c r="O418" s="48"/>
    </row>
    <row r="419" spans="1:15" x14ac:dyDescent="0.3">
      <c r="A419" s="210" t="s">
        <v>66</v>
      </c>
      <c r="B419" s="217" t="s">
        <v>67</v>
      </c>
      <c r="C419" s="216" t="s">
        <v>68</v>
      </c>
      <c r="D419" s="211" t="s">
        <v>69</v>
      </c>
      <c r="E419" s="212" t="s">
        <v>70</v>
      </c>
      <c r="F419" s="211" t="s">
        <v>49</v>
      </c>
      <c r="G419" s="349" t="s">
        <v>71</v>
      </c>
      <c r="H419" s="214"/>
      <c r="I419" s="329"/>
      <c r="J419" s="195"/>
      <c r="K419" s="195"/>
      <c r="L419" s="195"/>
      <c r="M419" s="195"/>
      <c r="O419" s="48"/>
    </row>
    <row r="420" spans="1:15" x14ac:dyDescent="0.3">
      <c r="A420" s="114" t="s">
        <v>216</v>
      </c>
      <c r="B420" s="115"/>
      <c r="C420" s="115"/>
      <c r="D420" s="121" t="str">
        <f>IFERROR(VLOOKUP(MATERIALES_03527[[#This Row],[Descripcion]],INSUM_[#All],2,FALSE),"")</f>
        <v>Metro cubico</v>
      </c>
      <c r="E420" s="170">
        <f>IFERROR(VLOOKUP(MATERIALES_03527[[#This Row],[Descripcion]],INSUM_[#All],3,FALSE),"")</f>
        <v>312239.94</v>
      </c>
      <c r="F420" s="116">
        <v>1.0049999999999999</v>
      </c>
      <c r="G420" s="350">
        <f t="shared" ref="G420:G430" si="31">+IFERROR(E420*F420,"")</f>
        <v>313801.13969999994</v>
      </c>
      <c r="H420" s="100"/>
      <c r="I420" s="329"/>
      <c r="J420" s="195" t="str">
        <f>+_xlfn.CONCAT("M",J417,K420)</f>
        <v>M2,071</v>
      </c>
      <c r="K420" s="195">
        <v>1</v>
      </c>
      <c r="L420" s="197">
        <f>+IFERROR(G420*H406,"")</f>
        <v>183947090.08074299</v>
      </c>
      <c r="M420" s="48" t="str">
        <f>+A420</f>
        <v>Arena fina</v>
      </c>
      <c r="N420" s="332">
        <f>+F420</f>
        <v>1.0049999999999999</v>
      </c>
      <c r="O420" s="48"/>
    </row>
    <row r="421" spans="1:15" x14ac:dyDescent="0.3">
      <c r="A421" s="114" t="s">
        <v>79</v>
      </c>
      <c r="B421" s="118"/>
      <c r="C421" s="118"/>
      <c r="D421" s="121" t="str">
        <f>IFERROR(VLOOKUP(MATERIALES_03527[[#This Row],[Descripcion]],INSUM_[#All],2,FALSE),"")</f>
        <v xml:space="preserve">GALON </v>
      </c>
      <c r="E421" s="170">
        <f>IFERROR(VLOOKUP(MATERIALES_03527[[#This Row],[Descripcion]],INSUM_[#All],3,FALSE),"")</f>
        <v>23939.74</v>
      </c>
      <c r="F421" s="116">
        <v>0.08</v>
      </c>
      <c r="G421" s="350">
        <f t="shared" si="31"/>
        <v>1915.1792000000003</v>
      </c>
      <c r="H421" s="102"/>
      <c r="I421" s="329"/>
      <c r="J421" s="195" t="str">
        <f>+_xlfn.CONCAT("M",J417,K421)</f>
        <v>M2,072</v>
      </c>
      <c r="K421" s="195">
        <v>2</v>
      </c>
      <c r="L421" s="197">
        <f>+IFERROR(G421*H406,"")</f>
        <v>1122658.8952480003</v>
      </c>
      <c r="M421" s="48" t="str">
        <f t="shared" ref="M421:M430" si="32">+A421</f>
        <v>A.C.P.M.</v>
      </c>
      <c r="N421" s="332">
        <f t="shared" ref="N421:N430" si="33">+F421</f>
        <v>0.08</v>
      </c>
      <c r="O421" s="48"/>
    </row>
    <row r="422" spans="1:15" x14ac:dyDescent="0.3">
      <c r="A422" s="114"/>
      <c r="B422" s="118"/>
      <c r="C422" s="118"/>
      <c r="D422" s="121" t="str">
        <f>IFERROR(VLOOKUP(MATERIALES_03527[[#This Row],[Descripcion]],INSUM_[#All],2,FALSE),"")</f>
        <v/>
      </c>
      <c r="E422" s="170" t="str">
        <f>IFERROR(VLOOKUP(MATERIALES_03527[[#This Row],[Descripcion]],INSUM_[#All],3,FALSE),"")</f>
        <v/>
      </c>
      <c r="F422" s="116"/>
      <c r="G422" s="350" t="str">
        <f t="shared" si="31"/>
        <v/>
      </c>
      <c r="H422" s="102"/>
      <c r="I422" s="329"/>
      <c r="J422" s="195" t="str">
        <f>+_xlfn.CONCAT("M",J417,K422)</f>
        <v>M2,073</v>
      </c>
      <c r="K422" s="195">
        <v>3</v>
      </c>
      <c r="L422" s="197" t="str">
        <f>+IFERROR(G422*H406,"")</f>
        <v/>
      </c>
      <c r="M422" s="48">
        <f t="shared" si="32"/>
        <v>0</v>
      </c>
      <c r="N422" s="332">
        <f t="shared" si="33"/>
        <v>0</v>
      </c>
      <c r="O422" s="48"/>
    </row>
    <row r="423" spans="1:15" x14ac:dyDescent="0.3">
      <c r="A423" s="119"/>
      <c r="B423" s="120"/>
      <c r="C423" s="120"/>
      <c r="D423" s="121" t="str">
        <f>IFERROR(VLOOKUP(MATERIALES_03527[[#This Row],[Descripcion]],INSUM_[#All],2,FALSE),"")</f>
        <v/>
      </c>
      <c r="E423" s="170" t="str">
        <f>IFERROR(VLOOKUP(MATERIALES_03527[[#This Row],[Descripcion]],INSUM_[#All],3,FALSE),"")</f>
        <v/>
      </c>
      <c r="F423" s="121"/>
      <c r="G423" s="350" t="str">
        <f t="shared" si="31"/>
        <v/>
      </c>
      <c r="H423" s="102"/>
      <c r="I423" s="329"/>
      <c r="J423" s="195" t="str">
        <f>+_xlfn.CONCAT("M",J417,K423)</f>
        <v>M2,074</v>
      </c>
      <c r="K423" s="195">
        <v>4</v>
      </c>
      <c r="L423" s="197" t="str">
        <f>+IFERROR(G423*H406,"")</f>
        <v/>
      </c>
      <c r="M423" s="48">
        <f t="shared" si="32"/>
        <v>0</v>
      </c>
      <c r="N423" s="332">
        <f t="shared" si="33"/>
        <v>0</v>
      </c>
      <c r="O423" s="48"/>
    </row>
    <row r="424" spans="1:15" x14ac:dyDescent="0.3">
      <c r="A424" s="119"/>
      <c r="B424" s="120"/>
      <c r="C424" s="120"/>
      <c r="D424" s="121" t="str">
        <f>IFERROR(VLOOKUP(MATERIALES_03527[[#This Row],[Descripcion]],INSUM_[#All],2,FALSE),"")</f>
        <v/>
      </c>
      <c r="E424" s="170" t="str">
        <f>IFERROR(VLOOKUP(MATERIALES_03527[[#This Row],[Descripcion]],INSUM_[#All],3,FALSE),"")</f>
        <v/>
      </c>
      <c r="F424" s="121"/>
      <c r="G424" s="350" t="str">
        <f t="shared" si="31"/>
        <v/>
      </c>
      <c r="H424" s="102"/>
      <c r="I424" s="329"/>
      <c r="J424" s="195" t="str">
        <f>+_xlfn.CONCAT("M",J417,K424)</f>
        <v>M2,075</v>
      </c>
      <c r="K424" s="195">
        <v>5</v>
      </c>
      <c r="L424" s="197" t="str">
        <f>+IFERROR(G424*H406,"")</f>
        <v/>
      </c>
      <c r="M424" s="48">
        <f t="shared" si="32"/>
        <v>0</v>
      </c>
      <c r="N424" s="332">
        <f t="shared" si="33"/>
        <v>0</v>
      </c>
      <c r="O424" s="48"/>
    </row>
    <row r="425" spans="1:15" x14ac:dyDescent="0.3">
      <c r="A425" s="155"/>
      <c r="B425" s="118"/>
      <c r="C425" s="118"/>
      <c r="D425" s="121" t="str">
        <f>IFERROR(VLOOKUP(MATERIALES_03527[[#This Row],[Descripcion]],INSUM_[#All],2,FALSE),"")</f>
        <v/>
      </c>
      <c r="E425" s="170" t="str">
        <f>IFERROR(VLOOKUP(MATERIALES_03527[[#This Row],[Descripcion]],INSUM_[#All],3,FALSE),"")</f>
        <v/>
      </c>
      <c r="F425" s="116"/>
      <c r="G425" s="350" t="str">
        <f t="shared" si="31"/>
        <v/>
      </c>
      <c r="H425" s="102"/>
      <c r="I425" s="329"/>
      <c r="J425" s="195" t="str">
        <f>+_xlfn.CONCAT("M",J417,K425)</f>
        <v>M2,076</v>
      </c>
      <c r="K425" s="195">
        <v>6</v>
      </c>
      <c r="L425" s="197" t="str">
        <f>+IFERROR(G425*H406,"")</f>
        <v/>
      </c>
      <c r="M425" s="48">
        <f t="shared" si="32"/>
        <v>0</v>
      </c>
      <c r="N425" s="332">
        <f t="shared" si="33"/>
        <v>0</v>
      </c>
      <c r="O425" s="48"/>
    </row>
    <row r="426" spans="1:15" x14ac:dyDescent="0.3">
      <c r="A426" s="156"/>
      <c r="B426" s="120"/>
      <c r="C426" s="120"/>
      <c r="D426" s="121" t="str">
        <f>IFERROR(VLOOKUP(MATERIALES_03527[[#This Row],[Descripcion]],INSUM_[#All],2,FALSE),"")</f>
        <v/>
      </c>
      <c r="E426" s="170" t="str">
        <f>IFERROR(VLOOKUP(MATERIALES_03527[[#This Row],[Descripcion]],INSUM_[#All],3,FALSE),"")</f>
        <v/>
      </c>
      <c r="F426" s="121"/>
      <c r="G426" s="350" t="str">
        <f t="shared" si="31"/>
        <v/>
      </c>
      <c r="H426" s="102"/>
      <c r="I426" s="329"/>
      <c r="J426" s="195" t="str">
        <f>+_xlfn.CONCAT("M",J417,K426)</f>
        <v>M2,077</v>
      </c>
      <c r="K426" s="195">
        <v>7</v>
      </c>
      <c r="L426" s="197" t="str">
        <f>+IFERROR(G426*H406,"")</f>
        <v/>
      </c>
      <c r="M426" s="48">
        <f t="shared" si="32"/>
        <v>0</v>
      </c>
      <c r="N426" s="332">
        <f t="shared" si="33"/>
        <v>0</v>
      </c>
      <c r="O426" s="48"/>
    </row>
    <row r="427" spans="1:15" x14ac:dyDescent="0.3">
      <c r="A427" s="156"/>
      <c r="B427" s="120"/>
      <c r="C427" s="120"/>
      <c r="D427" s="121" t="str">
        <f>IFERROR(VLOOKUP(MATERIALES_03527[[#This Row],[Descripcion]],INSUM_[#All],2,FALSE),"")</f>
        <v/>
      </c>
      <c r="E427" s="170" t="str">
        <f>IFERROR(VLOOKUP(MATERIALES_03527[[#This Row],[Descripcion]],INSUM_[#All],3,FALSE),"")</f>
        <v/>
      </c>
      <c r="F427" s="121"/>
      <c r="G427" s="350" t="str">
        <f t="shared" si="31"/>
        <v/>
      </c>
      <c r="H427" s="102"/>
      <c r="I427" s="329"/>
      <c r="J427" s="195" t="str">
        <f>+_xlfn.CONCAT("M",J417,K427)</f>
        <v>M2,078</v>
      </c>
      <c r="K427" s="195">
        <v>8</v>
      </c>
      <c r="L427" s="197" t="str">
        <f>+IFERROR(G427*H406,"")</f>
        <v/>
      </c>
      <c r="M427" s="48">
        <f t="shared" si="32"/>
        <v>0</v>
      </c>
      <c r="N427" s="332">
        <f t="shared" si="33"/>
        <v>0</v>
      </c>
      <c r="O427" s="48"/>
    </row>
    <row r="428" spans="1:15" x14ac:dyDescent="0.3">
      <c r="A428" s="156"/>
      <c r="B428" s="120"/>
      <c r="C428" s="120"/>
      <c r="D428" s="121" t="str">
        <f>IFERROR(VLOOKUP(MATERIALES_03527[[#This Row],[Descripcion]],INSUM_[#All],2,FALSE),"")</f>
        <v/>
      </c>
      <c r="E428" s="170" t="str">
        <f>IFERROR(VLOOKUP(MATERIALES_03527[[#This Row],[Descripcion]],INSUM_[#All],3,FALSE),"")</f>
        <v/>
      </c>
      <c r="F428" s="121"/>
      <c r="G428" s="350" t="str">
        <f t="shared" si="31"/>
        <v/>
      </c>
      <c r="H428" s="102"/>
      <c r="I428" s="329"/>
      <c r="J428" s="195" t="str">
        <f>+_xlfn.CONCAT("M",J417,K428)</f>
        <v>M2,079</v>
      </c>
      <c r="K428" s="195">
        <v>9</v>
      </c>
      <c r="L428" s="197" t="str">
        <f>+IFERROR(G428*H406,"")</f>
        <v/>
      </c>
      <c r="M428" s="48">
        <f t="shared" si="32"/>
        <v>0</v>
      </c>
      <c r="N428" s="332">
        <f t="shared" si="33"/>
        <v>0</v>
      </c>
      <c r="O428" s="48"/>
    </row>
    <row r="429" spans="1:15" x14ac:dyDescent="0.3">
      <c r="A429" s="156"/>
      <c r="B429" s="120"/>
      <c r="C429" s="120"/>
      <c r="D429" s="121" t="str">
        <f>IFERROR(VLOOKUP(MATERIALES_03527[[#This Row],[Descripcion]],INSUM_[#All],2,FALSE),"")</f>
        <v/>
      </c>
      <c r="E429" s="170" t="str">
        <f>IFERROR(VLOOKUP(MATERIALES_03527[[#This Row],[Descripcion]],INSUM_[#All],3,FALSE),"")</f>
        <v/>
      </c>
      <c r="F429" s="121"/>
      <c r="G429" s="350" t="str">
        <f t="shared" si="31"/>
        <v/>
      </c>
      <c r="H429" s="102"/>
      <c r="I429" s="329"/>
      <c r="J429" s="195" t="str">
        <f>+_xlfn.CONCAT("M",J417,K429)</f>
        <v>M2,0710</v>
      </c>
      <c r="K429" s="195">
        <v>10</v>
      </c>
      <c r="L429" s="197" t="str">
        <f>+IFERROR(G429*H406,"")</f>
        <v/>
      </c>
      <c r="M429" s="48">
        <f t="shared" si="32"/>
        <v>0</v>
      </c>
      <c r="N429" s="332">
        <f t="shared" si="33"/>
        <v>0</v>
      </c>
      <c r="O429" s="48"/>
    </row>
    <row r="430" spans="1:15" x14ac:dyDescent="0.3">
      <c r="A430" s="156"/>
      <c r="B430" s="120"/>
      <c r="C430" s="120"/>
      <c r="D430" s="121" t="str">
        <f>IFERROR(VLOOKUP(MATERIALES_03527[[#This Row],[Descripcion]],INSUM_[#All],2,FALSE),"")</f>
        <v/>
      </c>
      <c r="E430" s="170" t="str">
        <f>IFERROR(VLOOKUP(MATERIALES_03527[[#This Row],[Descripcion]],INSUM_[#All],3,FALSE),"")</f>
        <v/>
      </c>
      <c r="F430" s="121"/>
      <c r="G430" s="350" t="str">
        <f t="shared" si="31"/>
        <v/>
      </c>
      <c r="H430" s="102"/>
      <c r="I430" s="329"/>
      <c r="J430" s="195" t="str">
        <f>+_xlfn.CONCAT("M",J417,K430)</f>
        <v>M2,0711</v>
      </c>
      <c r="K430" s="195">
        <v>11</v>
      </c>
      <c r="L430" s="197" t="str">
        <f>+IFERROR(G430*H406,"")</f>
        <v/>
      </c>
      <c r="M430" s="48">
        <f t="shared" si="32"/>
        <v>0</v>
      </c>
      <c r="N430" s="332">
        <f t="shared" si="33"/>
        <v>0</v>
      </c>
      <c r="O430" s="48"/>
    </row>
    <row r="431" spans="1:15" x14ac:dyDescent="0.3">
      <c r="A431" s="104" t="s">
        <v>81</v>
      </c>
      <c r="B431" s="105"/>
      <c r="C431" s="105"/>
      <c r="D431" s="105"/>
      <c r="E431" s="105"/>
      <c r="F431" s="105"/>
      <c r="G431" s="347"/>
      <c r="H431" s="190">
        <f>SUM(G420:G430)</f>
        <v>315716.31889999995</v>
      </c>
      <c r="I431" s="329"/>
      <c r="J431" s="195"/>
      <c r="K431" s="196" t="str">
        <f>+H408</f>
        <v>2,07</v>
      </c>
      <c r="L431" s="198">
        <f>SUM(L420:L430)</f>
        <v>185069748.97599098</v>
      </c>
      <c r="M431" s="330">
        <f>+H431</f>
        <v>315716.31889999995</v>
      </c>
      <c r="O431" s="48"/>
    </row>
    <row r="432" spans="1:15" x14ac:dyDescent="0.3">
      <c r="A432" s="91" t="s">
        <v>26</v>
      </c>
      <c r="B432" s="124"/>
      <c r="C432" s="125"/>
      <c r="D432" s="125"/>
      <c r="E432" s="126"/>
      <c r="F432" s="124"/>
      <c r="G432" s="351"/>
      <c r="H432" s="113"/>
      <c r="I432" s="329"/>
      <c r="J432" s="195"/>
      <c r="K432" s="195"/>
      <c r="L432" s="195"/>
      <c r="M432" s="195"/>
      <c r="O432" s="48"/>
    </row>
    <row r="433" spans="1:15" x14ac:dyDescent="0.3">
      <c r="A433" s="205" t="s">
        <v>57</v>
      </c>
      <c r="B433" s="217" t="s">
        <v>67</v>
      </c>
      <c r="C433" s="211" t="s">
        <v>82</v>
      </c>
      <c r="D433" s="211" t="s">
        <v>83</v>
      </c>
      <c r="E433" s="212" t="s">
        <v>61</v>
      </c>
      <c r="F433" s="207" t="s">
        <v>49</v>
      </c>
      <c r="G433" s="343" t="s">
        <v>71</v>
      </c>
      <c r="H433" s="215"/>
      <c r="I433" s="329"/>
      <c r="J433" s="195"/>
      <c r="K433" s="195"/>
      <c r="L433" s="195"/>
      <c r="M433" s="195"/>
      <c r="O433" s="48"/>
    </row>
    <row r="434" spans="1:15" x14ac:dyDescent="0.3">
      <c r="A434" s="155"/>
      <c r="B434" s="115"/>
      <c r="C434" s="115"/>
      <c r="D434" s="127"/>
      <c r="E434" s="98"/>
      <c r="F434" s="128"/>
      <c r="G434" s="345"/>
      <c r="H434" s="102"/>
      <c r="I434" s="329"/>
      <c r="J434" s="195"/>
      <c r="K434" s="195"/>
      <c r="L434" s="195"/>
      <c r="M434" s="195"/>
      <c r="O434" s="48"/>
    </row>
    <row r="435" spans="1:15" x14ac:dyDescent="0.3">
      <c r="A435" s="156"/>
      <c r="B435" s="178"/>
      <c r="C435" s="178"/>
      <c r="D435" s="122"/>
      <c r="E435" s="123"/>
      <c r="F435" s="179"/>
      <c r="G435" s="346">
        <f>E435*F435*D435</f>
        <v>0</v>
      </c>
      <c r="H435" s="102"/>
      <c r="I435" s="329"/>
      <c r="J435" s="195"/>
      <c r="K435" s="195"/>
      <c r="L435" s="195"/>
      <c r="M435" s="195"/>
      <c r="O435" s="48"/>
    </row>
    <row r="436" spans="1:15" x14ac:dyDescent="0.3">
      <c r="A436" s="104" t="s">
        <v>84</v>
      </c>
      <c r="B436" s="105"/>
      <c r="C436" s="105"/>
      <c r="D436" s="105"/>
      <c r="E436" s="105"/>
      <c r="F436" s="105"/>
      <c r="G436" s="347"/>
      <c r="H436" s="107">
        <f>G434+G435</f>
        <v>0</v>
      </c>
      <c r="I436" s="329"/>
      <c r="J436" s="195"/>
      <c r="K436" s="195"/>
      <c r="L436" s="196" t="str">
        <f>+H408</f>
        <v>2,07</v>
      </c>
      <c r="M436" s="333">
        <f>+H436</f>
        <v>0</v>
      </c>
      <c r="O436" s="48"/>
    </row>
    <row r="437" spans="1:15" x14ac:dyDescent="0.3">
      <c r="A437" s="130" t="s">
        <v>85</v>
      </c>
      <c r="B437" s="124"/>
      <c r="C437" s="124"/>
      <c r="D437" s="125"/>
      <c r="E437" s="126"/>
      <c r="F437" s="124"/>
      <c r="G437" s="351"/>
      <c r="H437" s="113"/>
      <c r="I437" s="329"/>
      <c r="J437" s="195"/>
      <c r="K437" s="195"/>
      <c r="L437" s="195"/>
      <c r="M437" s="195"/>
      <c r="O437" s="48"/>
    </row>
    <row r="438" spans="1:15" x14ac:dyDescent="0.3">
      <c r="A438" s="218" t="s">
        <v>57</v>
      </c>
      <c r="B438" s="211" t="s">
        <v>86</v>
      </c>
      <c r="C438" s="211" t="s">
        <v>87</v>
      </c>
      <c r="D438" s="211" t="s">
        <v>88</v>
      </c>
      <c r="E438" s="212" t="s">
        <v>89</v>
      </c>
      <c r="F438" s="207" t="s">
        <v>62</v>
      </c>
      <c r="G438" s="343" t="s">
        <v>63</v>
      </c>
      <c r="H438" s="215"/>
      <c r="I438" s="329"/>
      <c r="J438" s="195"/>
      <c r="K438" s="195"/>
      <c r="L438" s="195"/>
      <c r="M438" s="195"/>
      <c r="O438" s="48"/>
    </row>
    <row r="439" spans="1:15" x14ac:dyDescent="0.3">
      <c r="A439" s="181" t="s">
        <v>90</v>
      </c>
      <c r="B439" s="129">
        <v>1</v>
      </c>
      <c r="C439" s="131">
        <f>1.0953*60000</f>
        <v>65718</v>
      </c>
      <c r="D439" s="132">
        <v>1.75</v>
      </c>
      <c r="E439" s="133">
        <f>B439*C439*(D439)</f>
        <v>115006.5</v>
      </c>
      <c r="F439" s="134">
        <v>0.13757926578062976</v>
      </c>
      <c r="G439" s="350">
        <f>E439*F439</f>
        <v>15822.509829999997</v>
      </c>
      <c r="H439" s="100"/>
      <c r="I439" s="329"/>
      <c r="J439" s="195"/>
      <c r="K439" s="195"/>
      <c r="L439" s="195"/>
      <c r="M439" s="195"/>
      <c r="O439" s="48"/>
    </row>
    <row r="440" spans="1:15" x14ac:dyDescent="0.3">
      <c r="A440" s="183" t="s">
        <v>91</v>
      </c>
      <c r="B440" s="122">
        <v>1</v>
      </c>
      <c r="C440" s="184">
        <f>1.0953*2600000/30</f>
        <v>94926</v>
      </c>
      <c r="D440" s="185">
        <v>1.68</v>
      </c>
      <c r="E440" s="186">
        <f>B440*C440*(D440)</f>
        <v>159475.68</v>
      </c>
      <c r="F440" s="187">
        <v>0.05</v>
      </c>
      <c r="G440" s="352">
        <f>E440*F440</f>
        <v>7973.7839999999997</v>
      </c>
      <c r="H440" s="102"/>
      <c r="I440" s="329"/>
      <c r="J440" s="195"/>
      <c r="K440" s="195"/>
      <c r="L440" s="195"/>
      <c r="M440" s="195"/>
      <c r="O440" s="48"/>
    </row>
    <row r="441" spans="1:15" x14ac:dyDescent="0.3">
      <c r="A441" s="135" t="s">
        <v>92</v>
      </c>
      <c r="B441" s="136"/>
      <c r="C441" s="136"/>
      <c r="D441" s="136"/>
      <c r="E441" s="136"/>
      <c r="F441" s="136"/>
      <c r="G441" s="353"/>
      <c r="H441" s="190">
        <f>SUM(G439:G440)</f>
        <v>23796.293829999995</v>
      </c>
      <c r="I441" s="329"/>
      <c r="J441" s="483"/>
      <c r="K441" s="195"/>
      <c r="L441" s="195"/>
      <c r="M441" s="196" t="str">
        <f>+H408</f>
        <v>2,07</v>
      </c>
      <c r="N441" s="330">
        <f>+H441</f>
        <v>23796.293829999995</v>
      </c>
      <c r="O441" s="48"/>
    </row>
    <row r="442" spans="1:15" x14ac:dyDescent="0.3">
      <c r="A442" s="130" t="s">
        <v>93</v>
      </c>
      <c r="B442" s="138"/>
      <c r="C442" s="138"/>
      <c r="D442" s="138"/>
      <c r="E442" s="138"/>
      <c r="F442" s="138"/>
      <c r="G442" s="354"/>
      <c r="H442" s="139"/>
      <c r="I442" s="329"/>
      <c r="J442" s="195"/>
      <c r="K442" s="195"/>
      <c r="L442" s="195"/>
      <c r="M442" s="195"/>
      <c r="O442" s="48"/>
    </row>
    <row r="443" spans="1:15" x14ac:dyDescent="0.3">
      <c r="A443" s="219" t="s">
        <v>94</v>
      </c>
      <c r="B443" s="220"/>
      <c r="C443" s="220"/>
      <c r="D443" s="220"/>
      <c r="E443" s="220"/>
      <c r="F443" s="220"/>
      <c r="G443" s="355"/>
      <c r="H443" s="222">
        <f>H441+H436+H431+H417</f>
        <v>355805.06222999992</v>
      </c>
      <c r="I443" s="329"/>
      <c r="J443" s="195"/>
      <c r="K443" s="195"/>
      <c r="L443" s="195"/>
      <c r="M443" s="195"/>
      <c r="O443" s="48"/>
    </row>
    <row r="444" spans="1:15" x14ac:dyDescent="0.3">
      <c r="A444" s="140"/>
      <c r="B444" s="92"/>
      <c r="C444" s="141"/>
      <c r="D444" s="141"/>
      <c r="E444" s="93"/>
      <c r="F444" s="92"/>
      <c r="G444" s="356"/>
      <c r="H444" s="142"/>
      <c r="I444" s="329"/>
      <c r="J444" s="195"/>
      <c r="K444" s="195"/>
      <c r="L444" s="195"/>
      <c r="M444" s="195"/>
      <c r="O444" s="48"/>
    </row>
    <row r="445" spans="1:15" x14ac:dyDescent="0.3">
      <c r="A445" s="140"/>
      <c r="B445" s="92"/>
      <c r="C445" s="141"/>
      <c r="D445" s="143" t="s">
        <v>95</v>
      </c>
      <c r="E445" s="144"/>
      <c r="F445" s="144"/>
      <c r="G445" s="357"/>
      <c r="H445" s="146">
        <f>H443</f>
        <v>355805.06222999992</v>
      </c>
      <c r="I445" s="329"/>
      <c r="J445" s="195"/>
      <c r="K445" s="195"/>
      <c r="L445" s="195"/>
      <c r="M445" s="195"/>
      <c r="O445" s="48"/>
    </row>
    <row r="446" spans="1:15" x14ac:dyDescent="0.3">
      <c r="A446" s="140"/>
      <c r="B446" s="92"/>
      <c r="C446" s="141"/>
      <c r="D446" s="141"/>
      <c r="E446" s="93"/>
      <c r="F446" s="92"/>
      <c r="G446" s="356"/>
      <c r="H446" s="139"/>
      <c r="I446" s="329"/>
      <c r="J446" s="195"/>
      <c r="K446" s="195"/>
      <c r="L446" s="195"/>
      <c r="M446" s="195"/>
      <c r="O446" s="48"/>
    </row>
    <row r="447" spans="1:15" x14ac:dyDescent="0.3">
      <c r="A447" s="147" t="s">
        <v>96</v>
      </c>
      <c r="B447" s="92"/>
      <c r="C447" s="141"/>
      <c r="D447" s="141"/>
      <c r="E447" s="93"/>
      <c r="F447" s="92"/>
      <c r="G447" s="356"/>
      <c r="H447" s="139"/>
      <c r="I447" s="329"/>
      <c r="J447" s="195"/>
      <c r="K447" s="195"/>
      <c r="L447" s="195"/>
      <c r="M447" s="195"/>
      <c r="O447" s="48"/>
    </row>
    <row r="448" spans="1:15" x14ac:dyDescent="0.3">
      <c r="A448" s="148"/>
      <c r="B448" s="124"/>
      <c r="C448" s="125"/>
      <c r="D448" s="141"/>
      <c r="E448" s="157" t="s">
        <v>97</v>
      </c>
      <c r="F448" s="157"/>
      <c r="G448" s="358"/>
      <c r="H448" s="139"/>
      <c r="I448" s="329"/>
      <c r="J448" s="195"/>
      <c r="K448" s="195"/>
      <c r="L448" s="195"/>
      <c r="M448" s="195"/>
      <c r="O448" s="48"/>
    </row>
    <row r="449" spans="1:15" x14ac:dyDescent="0.3">
      <c r="A449" s="148"/>
      <c r="B449" s="124"/>
      <c r="C449" s="125"/>
      <c r="D449" s="141"/>
      <c r="E449" s="149" t="str">
        <f>IF('INF. GENERAL'!$B$19=0," ",'INF. GENERAL'!$B$19)</f>
        <v>JAVIER JOSÉ ROSADO MENDINUETA</v>
      </c>
      <c r="F449" s="150"/>
      <c r="G449" s="359"/>
      <c r="H449" s="139"/>
      <c r="I449" s="329"/>
      <c r="J449" s="195"/>
      <c r="K449" s="195"/>
      <c r="L449" s="195"/>
      <c r="M449" s="195"/>
      <c r="O449" s="48"/>
    </row>
    <row r="450" spans="1:15" x14ac:dyDescent="0.3">
      <c r="A450" s="148"/>
      <c r="B450" s="124"/>
      <c r="C450" s="125"/>
      <c r="D450" s="141"/>
      <c r="E450" s="160" t="str">
        <f>IF('INF. GENERAL'!$B$20=0," ",'INF. GENERAL'!$B$20)</f>
        <v>PROFESIONAL APOYO</v>
      </c>
      <c r="F450" s="158"/>
      <c r="G450" s="360"/>
      <c r="H450" s="139"/>
      <c r="I450" s="329"/>
      <c r="J450" s="195"/>
      <c r="K450" s="195"/>
      <c r="L450" s="195"/>
      <c r="M450" s="195"/>
      <c r="O450" s="48"/>
    </row>
    <row r="451" spans="1:15" x14ac:dyDescent="0.3">
      <c r="A451" s="148"/>
      <c r="B451" s="124"/>
      <c r="C451" s="125"/>
      <c r="D451" s="141"/>
      <c r="E451" s="160" t="str">
        <f>IF('INF. GENERAL'!$B$18=0," ",'INF. GENERAL'!$B$18)</f>
        <v>ALCALDÍA MUNICIPAL DE FUNDACIÓN - MAGDALENA</v>
      </c>
      <c r="F451" s="159"/>
      <c r="G451" s="361"/>
      <c r="H451" s="139"/>
      <c r="I451" s="329"/>
      <c r="J451" s="195"/>
      <c r="K451" s="195"/>
      <c r="L451" s="195"/>
      <c r="M451" s="195"/>
      <c r="O451" s="48"/>
    </row>
    <row r="452" spans="1:15" x14ac:dyDescent="0.3">
      <c r="A452" s="140"/>
      <c r="B452" s="92"/>
      <c r="C452" s="141"/>
      <c r="D452" s="141"/>
      <c r="E452" s="154" t="str">
        <f>IF('INF. GENERAL'!$B$21=0," ",'INF. GENERAL'!$B$21)</f>
        <v>MP: 08700-52350</v>
      </c>
      <c r="F452" s="152"/>
      <c r="G452" s="362"/>
      <c r="H452" s="139"/>
      <c r="I452" s="329"/>
      <c r="J452" s="195"/>
      <c r="K452" s="195"/>
      <c r="L452" s="195"/>
      <c r="M452" s="195"/>
      <c r="O452" s="48"/>
    </row>
    <row r="453" spans="1:15" ht="15" thickBot="1" x14ac:dyDescent="0.35">
      <c r="A453" s="164" t="s">
        <v>37</v>
      </c>
      <c r="B453" s="165"/>
      <c r="C453" s="166"/>
      <c r="D453" s="166"/>
      <c r="E453" s="167"/>
      <c r="F453" s="167"/>
      <c r="G453" s="363"/>
      <c r="H453" s="168" t="s">
        <v>37</v>
      </c>
      <c r="I453" s="329"/>
      <c r="J453" s="195"/>
      <c r="K453" s="195"/>
      <c r="L453" s="195"/>
      <c r="M453" s="195"/>
      <c r="O453" s="48"/>
    </row>
    <row r="454" spans="1:15" x14ac:dyDescent="0.3">
      <c r="A454" s="63" t="str">
        <f>+'INF. GENERAL'!$B$13</f>
        <v>REPUBLICA DE COLOMBIA</v>
      </c>
      <c r="B454" s="64"/>
      <c r="C454" s="64"/>
      <c r="D454" s="64"/>
      <c r="E454" s="64"/>
      <c r="F454" s="65"/>
      <c r="G454" s="337"/>
      <c r="H454" s="67"/>
      <c r="I454" s="329"/>
      <c r="J454" s="195"/>
      <c r="K454" s="195"/>
      <c r="L454" s="195"/>
      <c r="M454" s="195"/>
      <c r="O454" s="48"/>
    </row>
    <row r="455" spans="1:15" x14ac:dyDescent="0.3">
      <c r="A455" s="68" t="str">
        <f>+'INF. GENERAL'!$B$14</f>
        <v>FUNDACIÓN</v>
      </c>
      <c r="B455" s="69"/>
      <c r="C455" s="69"/>
      <c r="D455" s="69"/>
      <c r="E455" s="69"/>
      <c r="F455" s="70"/>
      <c r="G455" s="338"/>
      <c r="H455" s="72"/>
      <c r="I455" s="329"/>
      <c r="J455" s="195"/>
      <c r="K455" s="195"/>
      <c r="L455" s="195"/>
      <c r="M455" s="195"/>
      <c r="O455" s="48"/>
    </row>
    <row r="456" spans="1:15" ht="15" thickBot="1" x14ac:dyDescent="0.35">
      <c r="A456" s="73" t="str">
        <f>+'INF. GENERAL'!$B$15</f>
        <v>MAGDALENA</v>
      </c>
      <c r="B456" s="74"/>
      <c r="C456" s="74"/>
      <c r="D456" s="74"/>
      <c r="E456" s="74"/>
      <c r="F456" s="75"/>
      <c r="G456" s="338"/>
      <c r="H456" s="72"/>
      <c r="I456" s="329"/>
      <c r="J456" s="195"/>
      <c r="K456" s="195"/>
      <c r="L456" s="195"/>
      <c r="M456" s="195"/>
      <c r="O456" s="48"/>
    </row>
    <row r="457" spans="1:15" ht="28.2" thickBot="1" x14ac:dyDescent="0.35">
      <c r="A457" s="202" t="str">
        <f>+CONCATENATE('INF. GENERAL'!$A$4,'INF. GENERAL'!$B$4)</f>
        <v>OBJETO: ACTIVIDADES ADICIONALES A LA ADECUACIÓN DE LA CANCHA DE FÚTBOL (ID 2615), VEREDA COMUNIDAD CRISTALINA BAJA (ID 200), MUNICIPIO DE FUNDACION, MAGDALENA</v>
      </c>
      <c r="B457" s="203"/>
      <c r="C457" s="203"/>
      <c r="D457" s="203"/>
      <c r="E457" s="203"/>
      <c r="F457" s="204"/>
      <c r="G457" s="338"/>
      <c r="H457" s="72"/>
      <c r="I457" s="329"/>
      <c r="J457" s="195"/>
      <c r="K457" s="195"/>
      <c r="L457" s="195"/>
      <c r="M457" s="195"/>
      <c r="O457" s="48"/>
    </row>
    <row r="458" spans="1:15" ht="15" thickBot="1" x14ac:dyDescent="0.35">
      <c r="A458" s="76" t="s">
        <v>53</v>
      </c>
      <c r="B458" s="77"/>
      <c r="C458" s="77"/>
      <c r="D458" s="77"/>
      <c r="E458" s="77"/>
      <c r="F458" s="78"/>
      <c r="G458" s="339" t="s">
        <v>49</v>
      </c>
      <c r="H458" s="80">
        <f>+VLOOKUP(H460,PRESUPUESTO!$A$1:$F$973,6,FALSE)</f>
        <v>44</v>
      </c>
      <c r="I458" s="329"/>
      <c r="J458" s="195"/>
      <c r="K458" s="195"/>
      <c r="L458" s="195"/>
      <c r="M458" s="195"/>
      <c r="O458" s="48"/>
    </row>
    <row r="459" spans="1:15" x14ac:dyDescent="0.3">
      <c r="A459" s="81" t="s">
        <v>54</v>
      </c>
      <c r="B459" s="82" t="str">
        <f>VLOOKUP(H460,PRESUPUESTO!$A$3:$F$973,3,FALSE)</f>
        <v>ESTRUCTURAS DE CONTENCIÓN</v>
      </c>
      <c r="C459" s="83"/>
      <c r="D459" s="83"/>
      <c r="E459" s="84" t="s">
        <v>55</v>
      </c>
      <c r="F459" s="85" t="str">
        <f>+VLOOKUP(H460,PRESUPUESTO!$A$1:$F$973,5,FALSE)</f>
        <v>ml</v>
      </c>
      <c r="G459" s="340" t="s">
        <v>56</v>
      </c>
      <c r="H459" s="87"/>
      <c r="I459" s="329"/>
      <c r="J459" s="195"/>
      <c r="K459" s="195"/>
      <c r="L459" s="195"/>
      <c r="M459" s="195"/>
      <c r="O459" s="48"/>
    </row>
    <row r="460" spans="1:15" ht="15" thickBot="1" x14ac:dyDescent="0.35">
      <c r="A460" s="88" t="s">
        <v>20</v>
      </c>
      <c r="B460" s="89" t="str">
        <f>+VLOOKUP(H460,PRESUPUESTO!$A$1:$F$973,4,FALSE)</f>
        <v>Muro de gaviones</v>
      </c>
      <c r="C460" s="89"/>
      <c r="D460" s="89"/>
      <c r="E460" s="89"/>
      <c r="F460" s="89"/>
      <c r="G460" s="341" t="s">
        <v>18</v>
      </c>
      <c r="H460" s="194" t="s">
        <v>2250</v>
      </c>
      <c r="I460" s="329"/>
      <c r="J460" s="195"/>
      <c r="K460" s="195"/>
      <c r="L460" s="195"/>
      <c r="M460" s="195"/>
      <c r="O460" s="48"/>
    </row>
    <row r="461" spans="1:15" ht="15" thickBot="1" x14ac:dyDescent="0.35">
      <c r="A461" s="91" t="s">
        <v>24</v>
      </c>
      <c r="B461" s="92"/>
      <c r="C461" s="92"/>
      <c r="D461" s="92"/>
      <c r="E461" s="93"/>
      <c r="F461" s="92"/>
      <c r="G461" s="342"/>
      <c r="H461" s="95"/>
      <c r="I461" s="329"/>
      <c r="J461" s="195"/>
      <c r="K461" s="195"/>
      <c r="L461" s="195"/>
      <c r="M461" s="195"/>
      <c r="O461" s="48"/>
    </row>
    <row r="462" spans="1:15" x14ac:dyDescent="0.3">
      <c r="A462" s="205" t="s">
        <v>57</v>
      </c>
      <c r="B462" s="216" t="s">
        <v>58</v>
      </c>
      <c r="C462" s="216" t="s">
        <v>59</v>
      </c>
      <c r="D462" s="216" t="s">
        <v>60</v>
      </c>
      <c r="E462" s="206" t="s">
        <v>61</v>
      </c>
      <c r="F462" s="207" t="s">
        <v>62</v>
      </c>
      <c r="G462" s="343" t="s">
        <v>63</v>
      </c>
      <c r="H462" s="209"/>
      <c r="I462" s="329"/>
      <c r="J462" s="195"/>
      <c r="K462" s="195"/>
      <c r="L462" s="195"/>
      <c r="M462" s="195"/>
      <c r="O462" s="48"/>
    </row>
    <row r="463" spans="1:15" x14ac:dyDescent="0.3">
      <c r="A463" s="96" t="s">
        <v>2286</v>
      </c>
      <c r="B463" s="96"/>
      <c r="C463" s="96"/>
      <c r="D463" s="97"/>
      <c r="E463" s="98"/>
      <c r="F463" s="99"/>
      <c r="G463" s="344">
        <f>1.0953*10146.2156076313</f>
        <v>11113.149955038563</v>
      </c>
      <c r="H463" s="100"/>
      <c r="I463" s="329"/>
      <c r="J463" s="195"/>
      <c r="K463" s="195"/>
      <c r="L463" s="195"/>
      <c r="M463" s="195"/>
      <c r="O463" s="48"/>
    </row>
    <row r="464" spans="1:15" x14ac:dyDescent="0.3">
      <c r="A464" s="96" t="s">
        <v>2287</v>
      </c>
      <c r="B464" s="96"/>
      <c r="C464" s="96"/>
      <c r="D464" s="97"/>
      <c r="E464" s="98"/>
      <c r="F464" s="99"/>
      <c r="G464" s="344">
        <f>1.0953*6764.14373842085</f>
        <v>7408.7666366923568</v>
      </c>
      <c r="H464" s="100"/>
      <c r="I464" s="329"/>
      <c r="J464" s="195"/>
      <c r="K464" s="195"/>
      <c r="L464" s="195"/>
      <c r="M464" s="195"/>
      <c r="O464" s="48"/>
    </row>
    <row r="465" spans="1:15" x14ac:dyDescent="0.3">
      <c r="A465" s="96"/>
      <c r="B465" s="96"/>
      <c r="C465" s="96"/>
      <c r="D465" s="97"/>
      <c r="E465" s="98"/>
      <c r="F465" s="101"/>
      <c r="G465" s="345"/>
      <c r="H465" s="102"/>
      <c r="I465" s="329"/>
      <c r="J465" s="195"/>
      <c r="K465" s="195"/>
      <c r="L465" s="195"/>
      <c r="M465" s="195"/>
      <c r="O465" s="48"/>
    </row>
    <row r="466" spans="1:15" x14ac:dyDescent="0.3">
      <c r="A466" s="173"/>
      <c r="B466" s="173"/>
      <c r="C466" s="173"/>
      <c r="D466" s="174"/>
      <c r="E466" s="123"/>
      <c r="F466" s="175"/>
      <c r="G466" s="346"/>
      <c r="H466" s="103"/>
      <c r="I466" s="329"/>
      <c r="J466" s="195"/>
      <c r="K466" s="195"/>
      <c r="L466" s="195"/>
      <c r="M466" s="195"/>
      <c r="O466" s="48"/>
    </row>
    <row r="467" spans="1:15" x14ac:dyDescent="0.3">
      <c r="A467" s="104" t="s">
        <v>65</v>
      </c>
      <c r="B467" s="105"/>
      <c r="C467" s="105"/>
      <c r="D467" s="105"/>
      <c r="E467" s="105"/>
      <c r="F467" s="105"/>
      <c r="G467" s="347"/>
      <c r="H467" s="190">
        <f>SUM(G463:G466)</f>
        <v>18521.916591730922</v>
      </c>
      <c r="I467" s="329"/>
      <c r="J467" s="196" t="str">
        <f>+H460</f>
        <v>3,01</v>
      </c>
      <c r="K467" s="330">
        <f>+H467</f>
        <v>18521.916591730922</v>
      </c>
      <c r="L467" s="195"/>
      <c r="M467" s="195"/>
      <c r="O467" s="48"/>
    </row>
    <row r="468" spans="1:15" x14ac:dyDescent="0.3">
      <c r="A468" s="108" t="s">
        <v>25</v>
      </c>
      <c r="B468" s="109"/>
      <c r="C468" s="110"/>
      <c r="D468" s="110"/>
      <c r="E468" s="111"/>
      <c r="F468" s="109"/>
      <c r="G468" s="348"/>
      <c r="H468" s="113"/>
      <c r="I468" s="329"/>
      <c r="J468" s="195"/>
      <c r="K468" s="195"/>
      <c r="L468" s="195"/>
      <c r="M468" s="195"/>
      <c r="O468" s="48"/>
    </row>
    <row r="469" spans="1:15" x14ac:dyDescent="0.3">
      <c r="A469" s="210" t="s">
        <v>66</v>
      </c>
      <c r="B469" s="217" t="s">
        <v>67</v>
      </c>
      <c r="C469" s="216" t="s">
        <v>68</v>
      </c>
      <c r="D469" s="211" t="s">
        <v>69</v>
      </c>
      <c r="E469" s="212" t="s">
        <v>70</v>
      </c>
      <c r="F469" s="211" t="s">
        <v>49</v>
      </c>
      <c r="G469" s="349" t="s">
        <v>71</v>
      </c>
      <c r="H469" s="214"/>
      <c r="I469" s="329"/>
      <c r="J469" s="195"/>
      <c r="K469" s="195"/>
      <c r="L469" s="195"/>
      <c r="M469" s="195"/>
      <c r="O469" s="48"/>
    </row>
    <row r="470" spans="1:15" x14ac:dyDescent="0.3">
      <c r="A470" s="114" t="s">
        <v>2288</v>
      </c>
      <c r="B470" s="115"/>
      <c r="C470" s="115"/>
      <c r="D470" s="121" t="s">
        <v>1269</v>
      </c>
      <c r="E470" s="170">
        <f>1.2*130489</f>
        <v>156586.79999999999</v>
      </c>
      <c r="F470" s="116">
        <v>0.51500000000000001</v>
      </c>
      <c r="G470" s="350">
        <f t="shared" ref="G470:G480" si="34">+IFERROR(E470*F470,"")</f>
        <v>80642.20199999999</v>
      </c>
      <c r="H470" s="100"/>
      <c r="I470" s="329"/>
      <c r="J470" s="195" t="str">
        <f>+_xlfn.CONCAT("M",J467,K470)</f>
        <v>M3,011</v>
      </c>
      <c r="K470" s="195">
        <v>1</v>
      </c>
      <c r="L470" s="197">
        <f>+IFERROR(G470*H458,"")</f>
        <v>3548256.8879999993</v>
      </c>
      <c r="M470" s="48" t="str">
        <f>+A470</f>
        <v>Malla para gaviones tipo a (C13) 2X1X1</v>
      </c>
      <c r="N470" s="332">
        <f>+F470</f>
        <v>0.51500000000000001</v>
      </c>
      <c r="O470" s="48"/>
    </row>
    <row r="471" spans="1:15" x14ac:dyDescent="0.3">
      <c r="A471" s="114" t="s">
        <v>187</v>
      </c>
      <c r="B471" s="118"/>
      <c r="C471" s="118"/>
      <c r="D471" s="121" t="str">
        <f>IFERROR(VLOOKUP(MATERIALES_03532[[#This Row],[Descripcion]],INSUM_[#All],2,FALSE),"")</f>
        <v>Kilogramo</v>
      </c>
      <c r="E471" s="170">
        <f>IFERROR(VLOOKUP(MATERIALES_03532[[#This Row],[Descripcion]],INSUM_[#All],3,FALSE),"")</f>
        <v>18236.830000000002</v>
      </c>
      <c r="F471" s="116">
        <v>0.1545</v>
      </c>
      <c r="G471" s="350">
        <f t="shared" si="34"/>
        <v>2817.5902350000001</v>
      </c>
      <c r="H471" s="102"/>
      <c r="I471" s="329"/>
      <c r="J471" s="195" t="str">
        <f>+_xlfn.CONCAT("M",J467,K471)</f>
        <v>M3,012</v>
      </c>
      <c r="K471" s="195">
        <v>2</v>
      </c>
      <c r="L471" s="197">
        <f>+IFERROR(G471*H458,"")</f>
        <v>123973.97034</v>
      </c>
      <c r="M471" s="48" t="str">
        <f t="shared" ref="M471:M480" si="35">+A471</f>
        <v>Alambre galvanizado No. 12</v>
      </c>
      <c r="N471" s="332">
        <f t="shared" ref="N471:N480" si="36">+F471</f>
        <v>0.1545</v>
      </c>
      <c r="O471" s="48"/>
    </row>
    <row r="472" spans="1:15" x14ac:dyDescent="0.3">
      <c r="A472" s="114" t="s">
        <v>1096</v>
      </c>
      <c r="B472" s="118"/>
      <c r="C472" s="118"/>
      <c r="D472" s="121" t="str">
        <f>IFERROR(VLOOKUP(MATERIALES_03532[[#This Row],[Descripcion]],INSUM_[#All],2,FALSE),"")</f>
        <v>Unidad</v>
      </c>
      <c r="E472" s="170">
        <f>IFERROR(VLOOKUP(MATERIALES_03532[[#This Row],[Descripcion]],INSUM_[#All],3,FALSE),"")</f>
        <v>139820.54999999999</v>
      </c>
      <c r="F472" s="116">
        <f>1.03/6</f>
        <v>0.17166666666666666</v>
      </c>
      <c r="G472" s="350">
        <f t="shared" si="34"/>
        <v>24002.527749999997</v>
      </c>
      <c r="H472" s="102"/>
      <c r="I472" s="329"/>
      <c r="J472" s="195" t="str">
        <f>+_xlfn.CONCAT("M",J467,K472)</f>
        <v>M3,013</v>
      </c>
      <c r="K472" s="195">
        <v>3</v>
      </c>
      <c r="L472" s="197">
        <f>+IFERROR(G472*H458,"")</f>
        <v>1056111.2209999999</v>
      </c>
      <c r="M472" s="48" t="str">
        <f t="shared" si="35"/>
        <v>Tuberia PVC Alcantarillado - Novafort 4" x 6m</v>
      </c>
      <c r="N472" s="332">
        <f t="shared" si="36"/>
        <v>0.17166666666666666</v>
      </c>
      <c r="O472" s="48"/>
    </row>
    <row r="473" spans="1:15" x14ac:dyDescent="0.3">
      <c r="A473" s="119" t="s">
        <v>794</v>
      </c>
      <c r="B473" s="120"/>
      <c r="C473" s="120"/>
      <c r="D473" s="121" t="str">
        <f>IFERROR(VLOOKUP(MATERIALES_03532[[#This Row],[Descripcion]],INSUM_[#All],2,FALSE),"")</f>
        <v>Metro cubico</v>
      </c>
      <c r="E473" s="170">
        <f>IFERROR(VLOOKUP(MATERIALES_03532[[#This Row],[Descripcion]],INSUM_[#All],3,FALSE),"")</f>
        <v>158195.79999999999</v>
      </c>
      <c r="F473" s="121">
        <v>1.03</v>
      </c>
      <c r="G473" s="350">
        <f t="shared" si="34"/>
        <v>162941.674</v>
      </c>
      <c r="H473" s="102"/>
      <c r="I473" s="329"/>
      <c r="J473" s="195" t="str">
        <f>+_xlfn.CONCAT("M",J467,K473)</f>
        <v>M3,014</v>
      </c>
      <c r="K473" s="195">
        <v>4</v>
      </c>
      <c r="L473" s="197">
        <f>+IFERROR(G473*H458,"")</f>
        <v>7169433.6559999995</v>
      </c>
      <c r="M473" s="48" t="str">
        <f t="shared" si="35"/>
        <v>Piedra media zonga</v>
      </c>
      <c r="N473" s="332">
        <f t="shared" si="36"/>
        <v>1.03</v>
      </c>
      <c r="O473" s="48"/>
    </row>
    <row r="474" spans="1:15" x14ac:dyDescent="0.3">
      <c r="A474" s="119" t="s">
        <v>2368</v>
      </c>
      <c r="B474" s="120"/>
      <c r="C474" s="120"/>
      <c r="D474" s="121" t="str">
        <f>IFERROR(VLOOKUP(MATERIALES_03532[[#This Row],[Descripcion]],INSUM_[#All],2,FALSE),"")</f>
        <v>Metro Lineal</v>
      </c>
      <c r="E474" s="170">
        <f>IFERROR(VLOOKUP(MATERIALES_03532[[#This Row],[Descripcion]],INSUM_[#All],3,FALSE),"")</f>
        <v>14658.95</v>
      </c>
      <c r="F474" s="121">
        <v>0.31930000000000003</v>
      </c>
      <c r="G474" s="350">
        <f t="shared" si="34"/>
        <v>4680.6027350000004</v>
      </c>
      <c r="H474" s="102"/>
      <c r="I474" s="329"/>
      <c r="J474" s="195" t="str">
        <f>+_xlfn.CONCAT("M",J467,K474)</f>
        <v>M3,015</v>
      </c>
      <c r="K474" s="195">
        <v>5</v>
      </c>
      <c r="L474" s="197">
        <f>+IFERROR(G474*H458,"")</f>
        <v>205946.52034000002</v>
      </c>
      <c r="M474" s="48" t="str">
        <f t="shared" si="35"/>
        <v>Geotextil 1600S No Tejido Ancho 3.50 m</v>
      </c>
      <c r="N474" s="332">
        <f t="shared" si="36"/>
        <v>0.31930000000000003</v>
      </c>
      <c r="O474" s="48"/>
    </row>
    <row r="475" spans="1:15" x14ac:dyDescent="0.3">
      <c r="A475" s="155"/>
      <c r="B475" s="118"/>
      <c r="C475" s="118"/>
      <c r="D475" s="121" t="str">
        <f>IFERROR(VLOOKUP(MATERIALES_03532[[#This Row],[Descripcion]],INSUM_[#All],2,FALSE),"")</f>
        <v/>
      </c>
      <c r="E475" s="170" t="str">
        <f>IFERROR(VLOOKUP(MATERIALES_03532[[#This Row],[Descripcion]],INSUM_[#All],3,FALSE),"")</f>
        <v/>
      </c>
      <c r="F475" s="116"/>
      <c r="G475" s="350" t="str">
        <f t="shared" si="34"/>
        <v/>
      </c>
      <c r="H475" s="102"/>
      <c r="I475" s="329"/>
      <c r="J475" s="195" t="str">
        <f>+_xlfn.CONCAT("M",J467,K475)</f>
        <v>M3,016</v>
      </c>
      <c r="K475" s="195">
        <v>6</v>
      </c>
      <c r="L475" s="197" t="str">
        <f>+IFERROR(G475*H458,"")</f>
        <v/>
      </c>
      <c r="M475" s="48">
        <f t="shared" si="35"/>
        <v>0</v>
      </c>
      <c r="N475" s="332">
        <f t="shared" si="36"/>
        <v>0</v>
      </c>
      <c r="O475" s="48"/>
    </row>
    <row r="476" spans="1:15" x14ac:dyDescent="0.3">
      <c r="A476" s="156"/>
      <c r="B476" s="120"/>
      <c r="C476" s="120"/>
      <c r="D476" s="121" t="str">
        <f>IFERROR(VLOOKUP(MATERIALES_03532[[#This Row],[Descripcion]],INSUM_[#All],2,FALSE),"")</f>
        <v/>
      </c>
      <c r="E476" s="170" t="str">
        <f>IFERROR(VLOOKUP(MATERIALES_03532[[#This Row],[Descripcion]],INSUM_[#All],3,FALSE),"")</f>
        <v/>
      </c>
      <c r="F476" s="121"/>
      <c r="G476" s="350" t="str">
        <f t="shared" si="34"/>
        <v/>
      </c>
      <c r="H476" s="102"/>
      <c r="I476" s="329"/>
      <c r="J476" s="195" t="str">
        <f>+_xlfn.CONCAT("M",J467,K476)</f>
        <v>M3,017</v>
      </c>
      <c r="K476" s="195">
        <v>7</v>
      </c>
      <c r="L476" s="197" t="str">
        <f>+IFERROR(G476*H458,"")</f>
        <v/>
      </c>
      <c r="M476" s="48">
        <f t="shared" si="35"/>
        <v>0</v>
      </c>
      <c r="N476" s="332">
        <f t="shared" si="36"/>
        <v>0</v>
      </c>
      <c r="O476" s="48"/>
    </row>
    <row r="477" spans="1:15" x14ac:dyDescent="0.3">
      <c r="A477" s="156"/>
      <c r="B477" s="120"/>
      <c r="C477" s="120"/>
      <c r="D477" s="121" t="str">
        <f>IFERROR(VLOOKUP(MATERIALES_03532[[#This Row],[Descripcion]],INSUM_[#All],2,FALSE),"")</f>
        <v/>
      </c>
      <c r="E477" s="170" t="str">
        <f>IFERROR(VLOOKUP(MATERIALES_03532[[#This Row],[Descripcion]],INSUM_[#All],3,FALSE),"")</f>
        <v/>
      </c>
      <c r="F477" s="121"/>
      <c r="G477" s="350" t="str">
        <f t="shared" si="34"/>
        <v/>
      </c>
      <c r="H477" s="102"/>
      <c r="I477" s="329"/>
      <c r="J477" s="195" t="str">
        <f>+_xlfn.CONCAT("M",J467,K477)</f>
        <v>M3,018</v>
      </c>
      <c r="K477" s="195">
        <v>8</v>
      </c>
      <c r="L477" s="197" t="str">
        <f>+IFERROR(G477*H458,"")</f>
        <v/>
      </c>
      <c r="M477" s="48">
        <f t="shared" si="35"/>
        <v>0</v>
      </c>
      <c r="N477" s="332">
        <f t="shared" si="36"/>
        <v>0</v>
      </c>
      <c r="O477" s="48"/>
    </row>
    <row r="478" spans="1:15" x14ac:dyDescent="0.3">
      <c r="A478" s="156"/>
      <c r="B478" s="120"/>
      <c r="C478" s="120"/>
      <c r="D478" s="121" t="str">
        <f>IFERROR(VLOOKUP(MATERIALES_03532[[#This Row],[Descripcion]],INSUM_[#All],2,FALSE),"")</f>
        <v/>
      </c>
      <c r="E478" s="170" t="str">
        <f>IFERROR(VLOOKUP(MATERIALES_03532[[#This Row],[Descripcion]],INSUM_[#All],3,FALSE),"")</f>
        <v/>
      </c>
      <c r="F478" s="121"/>
      <c r="G478" s="350" t="str">
        <f t="shared" si="34"/>
        <v/>
      </c>
      <c r="H478" s="102"/>
      <c r="I478" s="329"/>
      <c r="J478" s="195" t="str">
        <f>+_xlfn.CONCAT("M",J467,K478)</f>
        <v>M3,019</v>
      </c>
      <c r="K478" s="195">
        <v>9</v>
      </c>
      <c r="L478" s="197" t="str">
        <f>+IFERROR(G478*H458,"")</f>
        <v/>
      </c>
      <c r="M478" s="48">
        <f t="shared" si="35"/>
        <v>0</v>
      </c>
      <c r="N478" s="332">
        <f t="shared" si="36"/>
        <v>0</v>
      </c>
      <c r="O478" s="48"/>
    </row>
    <row r="479" spans="1:15" x14ac:dyDescent="0.3">
      <c r="A479" s="156"/>
      <c r="B479" s="120"/>
      <c r="C479" s="120"/>
      <c r="D479" s="121" t="str">
        <f>IFERROR(VLOOKUP(MATERIALES_03532[[#This Row],[Descripcion]],INSUM_[#All],2,FALSE),"")</f>
        <v/>
      </c>
      <c r="E479" s="170" t="str">
        <f>IFERROR(VLOOKUP(MATERIALES_03532[[#This Row],[Descripcion]],INSUM_[#All],3,FALSE),"")</f>
        <v/>
      </c>
      <c r="F479" s="121"/>
      <c r="G479" s="350" t="str">
        <f t="shared" si="34"/>
        <v/>
      </c>
      <c r="H479" s="102"/>
      <c r="I479" s="329"/>
      <c r="J479" s="195" t="str">
        <f>+_xlfn.CONCAT("M",J467,K479)</f>
        <v>M3,0110</v>
      </c>
      <c r="K479" s="195">
        <v>10</v>
      </c>
      <c r="L479" s="197" t="str">
        <f>+IFERROR(G479*H458,"")</f>
        <v/>
      </c>
      <c r="M479" s="48">
        <f t="shared" si="35"/>
        <v>0</v>
      </c>
      <c r="N479" s="332">
        <f t="shared" si="36"/>
        <v>0</v>
      </c>
      <c r="O479" s="48"/>
    </row>
    <row r="480" spans="1:15" x14ac:dyDescent="0.3">
      <c r="A480" s="156"/>
      <c r="B480" s="120"/>
      <c r="C480" s="120"/>
      <c r="D480" s="121" t="str">
        <f>IFERROR(VLOOKUP(MATERIALES_03532[[#This Row],[Descripcion]],INSUM_[#All],2,FALSE),"")</f>
        <v/>
      </c>
      <c r="E480" s="170" t="str">
        <f>IFERROR(VLOOKUP(MATERIALES_03532[[#This Row],[Descripcion]],INSUM_[#All],3,FALSE),"")</f>
        <v/>
      </c>
      <c r="F480" s="121"/>
      <c r="G480" s="350" t="str">
        <f t="shared" si="34"/>
        <v/>
      </c>
      <c r="H480" s="102"/>
      <c r="I480" s="329"/>
      <c r="J480" s="195" t="str">
        <f>+_xlfn.CONCAT("M",J467,K480)</f>
        <v>M3,0111</v>
      </c>
      <c r="K480" s="195">
        <v>11</v>
      </c>
      <c r="L480" s="197" t="str">
        <f>+IFERROR(G480*H458,"")</f>
        <v/>
      </c>
      <c r="M480" s="48">
        <f t="shared" si="35"/>
        <v>0</v>
      </c>
      <c r="N480" s="332">
        <f t="shared" si="36"/>
        <v>0</v>
      </c>
      <c r="O480" s="48"/>
    </row>
    <row r="481" spans="1:15" x14ac:dyDescent="0.3">
      <c r="A481" s="104" t="s">
        <v>81</v>
      </c>
      <c r="B481" s="105"/>
      <c r="C481" s="105"/>
      <c r="D481" s="105"/>
      <c r="E481" s="105"/>
      <c r="F481" s="105"/>
      <c r="G481" s="347"/>
      <c r="H481" s="190">
        <f>SUM(G470:G480)</f>
        <v>275084.59671999997</v>
      </c>
      <c r="I481" s="329"/>
      <c r="J481" s="195"/>
      <c r="K481" s="196" t="str">
        <f>+H460</f>
        <v>3,01</v>
      </c>
      <c r="L481" s="198">
        <f>SUM(L470:L480)</f>
        <v>12103722.255679999</v>
      </c>
      <c r="M481" s="330">
        <f>+H481</f>
        <v>275084.59671999997</v>
      </c>
      <c r="O481" s="48"/>
    </row>
    <row r="482" spans="1:15" x14ac:dyDescent="0.3">
      <c r="A482" s="91" t="s">
        <v>26</v>
      </c>
      <c r="B482" s="124"/>
      <c r="C482" s="125"/>
      <c r="D482" s="125"/>
      <c r="E482" s="126"/>
      <c r="F482" s="124"/>
      <c r="G482" s="351"/>
      <c r="H482" s="113"/>
      <c r="I482" s="329"/>
      <c r="J482" s="195"/>
      <c r="K482" s="195"/>
      <c r="L482" s="195"/>
      <c r="M482" s="195"/>
      <c r="O482" s="48"/>
    </row>
    <row r="483" spans="1:15" x14ac:dyDescent="0.3">
      <c r="A483" s="205" t="s">
        <v>57</v>
      </c>
      <c r="B483" s="217" t="s">
        <v>67</v>
      </c>
      <c r="C483" s="211" t="s">
        <v>82</v>
      </c>
      <c r="D483" s="211" t="s">
        <v>83</v>
      </c>
      <c r="E483" s="212" t="s">
        <v>61</v>
      </c>
      <c r="F483" s="207" t="s">
        <v>49</v>
      </c>
      <c r="G483" s="343" t="s">
        <v>71</v>
      </c>
      <c r="H483" s="215"/>
      <c r="I483" s="329"/>
      <c r="J483" s="195"/>
      <c r="K483" s="195"/>
      <c r="L483" s="195"/>
      <c r="M483" s="195"/>
      <c r="O483" s="48"/>
    </row>
    <row r="484" spans="1:15" x14ac:dyDescent="0.3">
      <c r="A484" s="155" t="s">
        <v>2285</v>
      </c>
      <c r="B484" s="115"/>
      <c r="C484" s="115">
        <v>1</v>
      </c>
      <c r="D484" s="127">
        <v>1</v>
      </c>
      <c r="E484" s="98">
        <f t="shared" ref="E484" si="37">1.0953*4000</f>
        <v>4381.2</v>
      </c>
      <c r="F484" s="128">
        <v>1</v>
      </c>
      <c r="G484" s="345">
        <f>E484*F484*D484</f>
        <v>4381.2</v>
      </c>
      <c r="H484" s="102"/>
      <c r="I484" s="329"/>
      <c r="J484" s="195"/>
      <c r="K484" s="195"/>
      <c r="L484" s="195"/>
      <c r="M484" s="195"/>
      <c r="O484" s="48"/>
    </row>
    <row r="485" spans="1:15" x14ac:dyDescent="0.3">
      <c r="A485" s="156"/>
      <c r="B485" s="178"/>
      <c r="C485" s="178"/>
      <c r="D485" s="122"/>
      <c r="E485" s="123"/>
      <c r="F485" s="179"/>
      <c r="G485" s="346">
        <f>E485*F485*D485</f>
        <v>0</v>
      </c>
      <c r="H485" s="102"/>
      <c r="I485" s="329"/>
      <c r="J485" s="195"/>
      <c r="K485" s="195"/>
      <c r="L485" s="195"/>
      <c r="M485" s="195"/>
      <c r="O485" s="48"/>
    </row>
    <row r="486" spans="1:15" x14ac:dyDescent="0.3">
      <c r="A486" s="104" t="s">
        <v>84</v>
      </c>
      <c r="B486" s="105"/>
      <c r="C486" s="105"/>
      <c r="D486" s="105"/>
      <c r="E486" s="105"/>
      <c r="F486" s="105"/>
      <c r="G486" s="347"/>
      <c r="H486" s="107">
        <f>G484+G485</f>
        <v>4381.2</v>
      </c>
      <c r="I486" s="329"/>
      <c r="J486" s="195"/>
      <c r="K486" s="195"/>
      <c r="L486" s="196" t="str">
        <f>+H460</f>
        <v>3,01</v>
      </c>
      <c r="M486" s="333">
        <f>+H486</f>
        <v>4381.2</v>
      </c>
      <c r="O486" s="48"/>
    </row>
    <row r="487" spans="1:15" x14ac:dyDescent="0.3">
      <c r="A487" s="130" t="s">
        <v>85</v>
      </c>
      <c r="B487" s="124"/>
      <c r="C487" s="124"/>
      <c r="D487" s="125"/>
      <c r="E487" s="126"/>
      <c r="F487" s="124"/>
      <c r="G487" s="351"/>
      <c r="H487" s="113"/>
      <c r="I487" s="329"/>
      <c r="J487" s="195"/>
      <c r="K487" s="195"/>
      <c r="L487" s="195"/>
      <c r="M487" s="195"/>
      <c r="O487" s="48"/>
    </row>
    <row r="488" spans="1:15" x14ac:dyDescent="0.3">
      <c r="A488" s="218" t="s">
        <v>57</v>
      </c>
      <c r="B488" s="211" t="s">
        <v>86</v>
      </c>
      <c r="C488" s="211" t="s">
        <v>87</v>
      </c>
      <c r="D488" s="211" t="s">
        <v>88</v>
      </c>
      <c r="E488" s="212" t="s">
        <v>89</v>
      </c>
      <c r="F488" s="207" t="s">
        <v>62</v>
      </c>
      <c r="G488" s="343" t="s">
        <v>63</v>
      </c>
      <c r="H488" s="215"/>
      <c r="I488" s="329"/>
      <c r="J488" s="195"/>
      <c r="K488" s="195"/>
      <c r="L488" s="195"/>
      <c r="M488" s="195"/>
      <c r="O488" s="48"/>
    </row>
    <row r="489" spans="1:15" x14ac:dyDescent="0.3">
      <c r="A489" s="181" t="s">
        <v>90</v>
      </c>
      <c r="B489" s="129">
        <v>1</v>
      </c>
      <c r="C489" s="131">
        <f>1.0953*60000</f>
        <v>65718</v>
      </c>
      <c r="D489" s="132">
        <v>1.75</v>
      </c>
      <c r="E489" s="133">
        <f>B489*C489*(D489)</f>
        <v>115006.5</v>
      </c>
      <c r="F489" s="134">
        <v>0.17909018355945733</v>
      </c>
      <c r="G489" s="350">
        <f>E489*F489</f>
        <v>20596.535195530731</v>
      </c>
      <c r="H489" s="100"/>
      <c r="I489" s="329"/>
      <c r="J489" s="195"/>
      <c r="K489" s="195"/>
      <c r="L489" s="195"/>
      <c r="M489" s="195"/>
      <c r="O489" s="48"/>
    </row>
    <row r="490" spans="1:15" x14ac:dyDescent="0.3">
      <c r="A490" s="183" t="s">
        <v>91</v>
      </c>
      <c r="B490" s="122">
        <v>1</v>
      </c>
      <c r="C490" s="184">
        <f>1.0953*2600000/30</f>
        <v>94926</v>
      </c>
      <c r="D490" s="185">
        <v>1.68</v>
      </c>
      <c r="E490" s="186">
        <f>B490*C490*(D490)</f>
        <v>159475.68</v>
      </c>
      <c r="F490" s="187">
        <f>F489</f>
        <v>0.17909018355945733</v>
      </c>
      <c r="G490" s="352">
        <f>E490*F490</f>
        <v>28560.528804469275</v>
      </c>
      <c r="H490" s="102"/>
      <c r="I490" s="329"/>
      <c r="J490" s="195"/>
      <c r="K490" s="195"/>
      <c r="L490" s="195"/>
      <c r="M490" s="195"/>
      <c r="O490" s="48"/>
    </row>
    <row r="491" spans="1:15" x14ac:dyDescent="0.3">
      <c r="A491" s="135" t="s">
        <v>92</v>
      </c>
      <c r="B491" s="136"/>
      <c r="C491" s="136"/>
      <c r="D491" s="136"/>
      <c r="E491" s="136"/>
      <c r="F491" s="136"/>
      <c r="G491" s="353"/>
      <c r="H491" s="190">
        <f>SUM(G489:G490)</f>
        <v>49157.064000000006</v>
      </c>
      <c r="I491" s="329"/>
      <c r="J491" s="195"/>
      <c r="K491" s="195"/>
      <c r="L491" s="195"/>
      <c r="M491" s="196" t="str">
        <f>+H460</f>
        <v>3,01</v>
      </c>
      <c r="N491" s="330">
        <f>+H491</f>
        <v>49157.064000000006</v>
      </c>
      <c r="O491" s="48"/>
    </row>
    <row r="492" spans="1:15" x14ac:dyDescent="0.3">
      <c r="A492" s="130" t="s">
        <v>93</v>
      </c>
      <c r="B492" s="138"/>
      <c r="C492" s="138"/>
      <c r="D492" s="138"/>
      <c r="E492" s="138"/>
      <c r="F492" s="138"/>
      <c r="G492" s="354"/>
      <c r="H492" s="139"/>
      <c r="I492" s="329"/>
      <c r="J492" s="195"/>
      <c r="K492" s="195"/>
      <c r="L492" s="195"/>
      <c r="M492" s="195"/>
      <c r="O492" s="48"/>
    </row>
    <row r="493" spans="1:15" x14ac:dyDescent="0.3">
      <c r="A493" s="219" t="s">
        <v>94</v>
      </c>
      <c r="B493" s="220"/>
      <c r="C493" s="220"/>
      <c r="D493" s="220"/>
      <c r="E493" s="220"/>
      <c r="F493" s="220"/>
      <c r="G493" s="355"/>
      <c r="H493" s="222">
        <f>H491+H486+H481+H467</f>
        <v>347144.7773117309</v>
      </c>
      <c r="I493" s="329"/>
      <c r="J493" s="195"/>
      <c r="K493" s="195"/>
      <c r="L493" s="195"/>
      <c r="M493" s="195"/>
      <c r="O493" s="48"/>
    </row>
    <row r="494" spans="1:15" x14ac:dyDescent="0.3">
      <c r="A494" s="140"/>
      <c r="B494" s="92"/>
      <c r="C494" s="141"/>
      <c r="D494" s="141"/>
      <c r="E494" s="93"/>
      <c r="F494" s="92"/>
      <c r="G494" s="356"/>
      <c r="H494" s="142"/>
      <c r="I494" s="329"/>
      <c r="J494" s="195"/>
      <c r="K494" s="195"/>
      <c r="L494" s="195"/>
      <c r="M494" s="195"/>
      <c r="O494" s="48"/>
    </row>
    <row r="495" spans="1:15" x14ac:dyDescent="0.3">
      <c r="A495" s="140"/>
      <c r="B495" s="92"/>
      <c r="C495" s="141"/>
      <c r="D495" s="143" t="s">
        <v>95</v>
      </c>
      <c r="E495" s="144"/>
      <c r="F495" s="144"/>
      <c r="G495" s="357"/>
      <c r="H495" s="146">
        <f>H493</f>
        <v>347144.7773117309</v>
      </c>
      <c r="I495" s="329"/>
      <c r="J495" s="195"/>
      <c r="K495" s="195"/>
      <c r="L495" s="195"/>
      <c r="M495" s="195"/>
      <c r="O495" s="48"/>
    </row>
    <row r="496" spans="1:15" x14ac:dyDescent="0.3">
      <c r="A496" s="140"/>
      <c r="B496" s="92"/>
      <c r="C496" s="141"/>
      <c r="D496" s="141"/>
      <c r="E496" s="93"/>
      <c r="F496" s="92"/>
      <c r="G496" s="356"/>
      <c r="H496" s="139"/>
      <c r="I496" s="329"/>
      <c r="J496" s="195"/>
      <c r="K496" s="195"/>
      <c r="L496" s="195"/>
      <c r="M496" s="195"/>
      <c r="O496" s="48"/>
    </row>
    <row r="497" spans="1:15" x14ac:dyDescent="0.3">
      <c r="A497" s="147" t="s">
        <v>96</v>
      </c>
      <c r="B497" s="92"/>
      <c r="C497" s="141"/>
      <c r="D497" s="141"/>
      <c r="E497" s="93"/>
      <c r="F497" s="92"/>
      <c r="G497" s="356"/>
      <c r="H497" s="139"/>
      <c r="I497" s="329"/>
      <c r="J497" s="195"/>
      <c r="K497" s="195"/>
      <c r="L497" s="195"/>
      <c r="M497" s="195"/>
      <c r="O497" s="48"/>
    </row>
    <row r="498" spans="1:15" x14ac:dyDescent="0.3">
      <c r="A498" s="148"/>
      <c r="B498" s="124"/>
      <c r="C498" s="125"/>
      <c r="D498" s="141"/>
      <c r="E498" s="157" t="s">
        <v>97</v>
      </c>
      <c r="F498" s="157"/>
      <c r="G498" s="358"/>
      <c r="H498" s="139"/>
      <c r="I498" s="329"/>
      <c r="J498" s="195"/>
      <c r="K498" s="195"/>
      <c r="L498" s="195"/>
      <c r="M498" s="195"/>
      <c r="O498" s="48"/>
    </row>
    <row r="499" spans="1:15" x14ac:dyDescent="0.3">
      <c r="A499" s="148"/>
      <c r="B499" s="124"/>
      <c r="C499" s="125"/>
      <c r="D499" s="141"/>
      <c r="E499" s="149" t="str">
        <f>IF('INF. GENERAL'!$B$19=0," ",'INF. GENERAL'!$B$19)</f>
        <v>JAVIER JOSÉ ROSADO MENDINUETA</v>
      </c>
      <c r="F499" s="150"/>
      <c r="G499" s="359"/>
      <c r="H499" s="139"/>
      <c r="I499" s="329"/>
      <c r="J499" s="195"/>
      <c r="K499" s="195"/>
      <c r="L499" s="195"/>
      <c r="M499" s="195"/>
      <c r="O499" s="48"/>
    </row>
    <row r="500" spans="1:15" x14ac:dyDescent="0.3">
      <c r="A500" s="148"/>
      <c r="B500" s="124"/>
      <c r="C500" s="125"/>
      <c r="D500" s="141"/>
      <c r="E500" s="160" t="str">
        <f>IF('INF. GENERAL'!$B$20=0," ",'INF. GENERAL'!$B$20)</f>
        <v>PROFESIONAL APOYO</v>
      </c>
      <c r="F500" s="158"/>
      <c r="G500" s="360"/>
      <c r="H500" s="139"/>
      <c r="I500" s="329"/>
      <c r="J500" s="195"/>
      <c r="K500" s="195"/>
      <c r="L500" s="195"/>
      <c r="M500" s="195"/>
      <c r="O500" s="48"/>
    </row>
    <row r="501" spans="1:15" x14ac:dyDescent="0.3">
      <c r="A501" s="148"/>
      <c r="B501" s="124"/>
      <c r="C501" s="125"/>
      <c r="D501" s="141"/>
      <c r="E501" s="160" t="str">
        <f>IF('INF. GENERAL'!$B$18=0," ",'INF. GENERAL'!$B$18)</f>
        <v>ALCALDÍA MUNICIPAL DE FUNDACIÓN - MAGDALENA</v>
      </c>
      <c r="F501" s="159"/>
      <c r="G501" s="361"/>
      <c r="H501" s="139"/>
      <c r="I501" s="329"/>
      <c r="J501" s="195"/>
      <c r="K501" s="195"/>
      <c r="L501" s="195"/>
      <c r="M501" s="195"/>
      <c r="O501" s="48"/>
    </row>
    <row r="502" spans="1:15" x14ac:dyDescent="0.3">
      <c r="A502" s="140"/>
      <c r="B502" s="92"/>
      <c r="C502" s="141"/>
      <c r="D502" s="141"/>
      <c r="E502" s="154" t="str">
        <f>IF('INF. GENERAL'!$B$21=0," ",'INF. GENERAL'!$B$21)</f>
        <v>MP: 08700-52350</v>
      </c>
      <c r="F502" s="152"/>
      <c r="G502" s="362"/>
      <c r="H502" s="139"/>
      <c r="I502" s="329"/>
      <c r="J502" s="195"/>
      <c r="K502" s="195"/>
      <c r="L502" s="195"/>
      <c r="M502" s="195"/>
      <c r="O502" s="48"/>
    </row>
    <row r="503" spans="1:15" ht="15" thickBot="1" x14ac:dyDescent="0.35">
      <c r="A503" s="164" t="s">
        <v>37</v>
      </c>
      <c r="B503" s="165"/>
      <c r="C503" s="166"/>
      <c r="D503" s="166"/>
      <c r="E503" s="167"/>
      <c r="F503" s="167"/>
      <c r="G503" s="363"/>
      <c r="H503" s="168" t="s">
        <v>37</v>
      </c>
      <c r="I503" s="329"/>
      <c r="J503" s="195"/>
      <c r="K503" s="195"/>
      <c r="L503" s="195"/>
      <c r="M503" s="195"/>
      <c r="O503" s="48"/>
    </row>
    <row r="504" spans="1:15" x14ac:dyDescent="0.3">
      <c r="A504" s="63" t="str">
        <f>+'INF. GENERAL'!$B$13</f>
        <v>REPUBLICA DE COLOMBIA</v>
      </c>
      <c r="B504" s="64"/>
      <c r="C504" s="64"/>
      <c r="D504" s="64"/>
      <c r="E504" s="64"/>
      <c r="F504" s="65"/>
      <c r="G504" s="337"/>
      <c r="H504" s="67"/>
      <c r="I504" s="329"/>
      <c r="J504" s="195"/>
      <c r="K504" s="195"/>
      <c r="L504" s="195"/>
      <c r="M504" s="195"/>
      <c r="O504" s="48"/>
    </row>
    <row r="505" spans="1:15" x14ac:dyDescent="0.3">
      <c r="A505" s="68" t="str">
        <f>+'INF. GENERAL'!$B$14</f>
        <v>FUNDACIÓN</v>
      </c>
      <c r="B505" s="69"/>
      <c r="C505" s="69"/>
      <c r="D505" s="69"/>
      <c r="E505" s="69"/>
      <c r="F505" s="70"/>
      <c r="G505" s="338"/>
      <c r="H505" s="72"/>
      <c r="I505" s="329"/>
      <c r="J505" s="195"/>
      <c r="K505" s="195"/>
      <c r="L505" s="195"/>
      <c r="M505" s="195"/>
      <c r="O505" s="48"/>
    </row>
    <row r="506" spans="1:15" ht="15" thickBot="1" x14ac:dyDescent="0.35">
      <c r="A506" s="73" t="str">
        <f>+'INF. GENERAL'!$B$15</f>
        <v>MAGDALENA</v>
      </c>
      <c r="B506" s="74"/>
      <c r="C506" s="74"/>
      <c r="D506" s="74"/>
      <c r="E506" s="74"/>
      <c r="F506" s="75"/>
      <c r="G506" s="338"/>
      <c r="H506" s="72"/>
      <c r="I506" s="329"/>
      <c r="J506" s="195"/>
      <c r="K506" s="195"/>
      <c r="L506" s="195"/>
      <c r="M506" s="195"/>
      <c r="O506" s="48"/>
    </row>
    <row r="507" spans="1:15" ht="28.2" thickBot="1" x14ac:dyDescent="0.35">
      <c r="A507" s="202" t="str">
        <f>+CONCATENATE('INF. GENERAL'!$A$4,'INF. GENERAL'!$B$4)</f>
        <v>OBJETO: ACTIVIDADES ADICIONALES A LA ADECUACIÓN DE LA CANCHA DE FÚTBOL (ID 2615), VEREDA COMUNIDAD CRISTALINA BAJA (ID 200), MUNICIPIO DE FUNDACION, MAGDALENA</v>
      </c>
      <c r="B507" s="203"/>
      <c r="C507" s="203"/>
      <c r="D507" s="203"/>
      <c r="E507" s="203"/>
      <c r="F507" s="204"/>
      <c r="G507" s="338"/>
      <c r="H507" s="72"/>
      <c r="I507" s="329"/>
      <c r="J507" s="195"/>
      <c r="K507" s="195"/>
      <c r="L507" s="195"/>
      <c r="M507" s="195"/>
      <c r="O507" s="48"/>
    </row>
    <row r="508" spans="1:15" ht="15" thickBot="1" x14ac:dyDescent="0.35">
      <c r="A508" s="76" t="s">
        <v>53</v>
      </c>
      <c r="B508" s="77"/>
      <c r="C508" s="77"/>
      <c r="D508" s="77"/>
      <c r="E508" s="77"/>
      <c r="F508" s="78"/>
      <c r="G508" s="339" t="s">
        <v>49</v>
      </c>
      <c r="H508" s="80">
        <f>+VLOOKUP(H510,PRESUPUESTO!$A$1:$F$973,6,FALSE)</f>
        <v>900</v>
      </c>
      <c r="I508" s="329"/>
      <c r="J508" s="195"/>
      <c r="K508" s="195"/>
      <c r="L508" s="195"/>
      <c r="M508" s="195"/>
      <c r="O508" s="48"/>
    </row>
    <row r="509" spans="1:15" x14ac:dyDescent="0.3">
      <c r="A509" s="81" t="s">
        <v>54</v>
      </c>
      <c r="B509" s="82" t="s">
        <v>2303</v>
      </c>
      <c r="C509" s="83"/>
      <c r="D509" s="83"/>
      <c r="E509" s="84" t="s">
        <v>55</v>
      </c>
      <c r="F509" s="85" t="str">
        <f>+VLOOKUP(H510,PRESUPUESTO!$A$1:$F$973,5,FALSE)</f>
        <v>m2</v>
      </c>
      <c r="G509" s="340" t="s">
        <v>56</v>
      </c>
      <c r="H509" s="87"/>
      <c r="I509" s="329"/>
      <c r="J509" s="195"/>
      <c r="K509" s="195"/>
      <c r="L509" s="195"/>
      <c r="M509" s="195"/>
      <c r="O509" s="48"/>
    </row>
    <row r="510" spans="1:15" ht="15" thickBot="1" x14ac:dyDescent="0.35">
      <c r="A510" s="88" t="s">
        <v>20</v>
      </c>
      <c r="B510" s="89" t="str">
        <f>+VLOOKUP(H510,PRESUPUESTO!$A$1:$F$973,4,FALSE)</f>
        <v>Suministro acabados de pintura anticorrosiva</v>
      </c>
      <c r="C510" s="89"/>
      <c r="D510" s="89"/>
      <c r="E510" s="89"/>
      <c r="F510" s="89"/>
      <c r="G510" s="341" t="s">
        <v>18</v>
      </c>
      <c r="H510" s="194" t="s">
        <v>2256</v>
      </c>
      <c r="I510" s="329"/>
      <c r="J510" s="195"/>
      <c r="K510" s="195"/>
      <c r="L510" s="195"/>
      <c r="M510" s="195"/>
      <c r="O510" s="48"/>
    </row>
    <row r="511" spans="1:15" ht="15" thickBot="1" x14ac:dyDescent="0.35">
      <c r="A511" s="91" t="s">
        <v>24</v>
      </c>
      <c r="B511" s="92"/>
      <c r="C511" s="92"/>
      <c r="D511" s="92"/>
      <c r="E511" s="93"/>
      <c r="F511" s="92"/>
      <c r="G511" s="342"/>
      <c r="H511" s="95"/>
      <c r="I511" s="329"/>
      <c r="J511" s="195"/>
      <c r="K511" s="195"/>
      <c r="L511" s="195"/>
      <c r="M511" s="195"/>
      <c r="O511" s="48"/>
    </row>
    <row r="512" spans="1:15" x14ac:dyDescent="0.3">
      <c r="A512" s="205" t="s">
        <v>57</v>
      </c>
      <c r="B512" s="216" t="s">
        <v>58</v>
      </c>
      <c r="C512" s="216" t="s">
        <v>59</v>
      </c>
      <c r="D512" s="216" t="s">
        <v>60</v>
      </c>
      <c r="E512" s="206" t="s">
        <v>61</v>
      </c>
      <c r="F512" s="207" t="s">
        <v>62</v>
      </c>
      <c r="G512" s="343" t="s">
        <v>63</v>
      </c>
      <c r="H512" s="209"/>
      <c r="I512" s="329"/>
      <c r="J512" s="195"/>
      <c r="K512" s="195"/>
      <c r="L512" s="195"/>
      <c r="M512" s="195"/>
      <c r="O512" s="48"/>
    </row>
    <row r="513" spans="1:15" x14ac:dyDescent="0.3">
      <c r="A513" s="96"/>
      <c r="B513" s="96"/>
      <c r="C513" s="96"/>
      <c r="D513" s="97"/>
      <c r="E513" s="98"/>
      <c r="F513" s="99"/>
      <c r="G513" s="344"/>
      <c r="H513" s="100"/>
      <c r="I513" s="329"/>
      <c r="J513" s="195"/>
      <c r="K513" s="195"/>
      <c r="L513" s="195"/>
      <c r="M513" s="195"/>
      <c r="O513" s="48"/>
    </row>
    <row r="514" spans="1:15" x14ac:dyDescent="0.3">
      <c r="A514" s="96" t="s">
        <v>2286</v>
      </c>
      <c r="B514" s="96"/>
      <c r="C514" s="96"/>
      <c r="D514" s="97"/>
      <c r="E514" s="98"/>
      <c r="F514" s="99"/>
      <c r="G514" s="364">
        <f>1.0953*373.20114</f>
        <v>408.76720864200001</v>
      </c>
      <c r="H514" s="100"/>
      <c r="I514" s="329"/>
      <c r="J514" s="195"/>
      <c r="K514" s="195"/>
      <c r="L514" s="195"/>
      <c r="M514" s="195"/>
      <c r="O514" s="48"/>
    </row>
    <row r="515" spans="1:15" x14ac:dyDescent="0.3">
      <c r="A515" s="96" t="s">
        <v>2287</v>
      </c>
      <c r="B515" s="96"/>
      <c r="C515" s="96"/>
      <c r="D515" s="97"/>
      <c r="E515" s="98"/>
      <c r="F515" s="101"/>
      <c r="G515" s="365">
        <f>1.0953*248.80076</f>
        <v>272.51147242799999</v>
      </c>
      <c r="H515" s="102"/>
      <c r="I515" s="329"/>
      <c r="J515" s="195"/>
      <c r="K515" s="195"/>
      <c r="L515" s="195"/>
      <c r="M515" s="195"/>
      <c r="O515" s="48"/>
    </row>
    <row r="516" spans="1:15" x14ac:dyDescent="0.3">
      <c r="A516" s="173"/>
      <c r="B516" s="173"/>
      <c r="C516" s="173"/>
      <c r="D516" s="174"/>
      <c r="E516" s="123"/>
      <c r="F516" s="175"/>
      <c r="G516" s="346"/>
      <c r="H516" s="103"/>
      <c r="I516" s="329"/>
      <c r="J516" s="195"/>
      <c r="K516" s="195"/>
      <c r="L516" s="195"/>
      <c r="M516" s="195"/>
      <c r="O516" s="48"/>
    </row>
    <row r="517" spans="1:15" x14ac:dyDescent="0.3">
      <c r="A517" s="104" t="s">
        <v>65</v>
      </c>
      <c r="B517" s="105"/>
      <c r="C517" s="105"/>
      <c r="D517" s="105"/>
      <c r="E517" s="105"/>
      <c r="F517" s="105"/>
      <c r="G517" s="347"/>
      <c r="H517" s="190">
        <f>SUM(G513:G516)</f>
        <v>681.27868106999995</v>
      </c>
      <c r="I517" s="329"/>
      <c r="J517" s="196" t="str">
        <f>+H510</f>
        <v>4,01</v>
      </c>
      <c r="K517" s="330">
        <f>+H517</f>
        <v>681.27868106999995</v>
      </c>
      <c r="L517" s="195"/>
      <c r="M517" s="195"/>
      <c r="O517" s="48"/>
    </row>
    <row r="518" spans="1:15" x14ac:dyDescent="0.3">
      <c r="A518" s="108" t="s">
        <v>25</v>
      </c>
      <c r="B518" s="109"/>
      <c r="C518" s="110"/>
      <c r="D518" s="110"/>
      <c r="E518" s="111"/>
      <c r="F518" s="109"/>
      <c r="G518" s="348"/>
      <c r="H518" s="113"/>
      <c r="I518" s="329"/>
      <c r="J518" s="195"/>
      <c r="K518" s="195"/>
      <c r="L518" s="195"/>
      <c r="M518" s="195"/>
      <c r="O518" s="48"/>
    </row>
    <row r="519" spans="1:15" x14ac:dyDescent="0.3">
      <c r="A519" s="210" t="s">
        <v>66</v>
      </c>
      <c r="B519" s="217" t="s">
        <v>67</v>
      </c>
      <c r="C519" s="216" t="s">
        <v>68</v>
      </c>
      <c r="D519" s="211" t="s">
        <v>69</v>
      </c>
      <c r="E519" s="212" t="s">
        <v>70</v>
      </c>
      <c r="F519" s="211" t="s">
        <v>49</v>
      </c>
      <c r="G519" s="349" t="s">
        <v>71</v>
      </c>
      <c r="H519" s="214"/>
      <c r="I519" s="329"/>
      <c r="J519" s="195"/>
      <c r="K519" s="195"/>
      <c r="L519" s="195"/>
      <c r="M519" s="195"/>
      <c r="O519" s="48"/>
    </row>
    <row r="520" spans="1:15" x14ac:dyDescent="0.3">
      <c r="A520" s="114" t="s">
        <v>207</v>
      </c>
      <c r="B520" s="115"/>
      <c r="C520" s="115"/>
      <c r="D520" s="121" t="str">
        <f>IFERROR(VLOOKUP(MATERIALES_03540[[#This Row],[Descripcion]],INSUM_[#All],2,FALSE),"")</f>
        <v>Galón</v>
      </c>
      <c r="E520" s="170">
        <f>IFERROR(VLOOKUP(MATERIALES_03540[[#This Row],[Descripcion]],INSUM_[#All],3,FALSE),"")</f>
        <v>79571.56</v>
      </c>
      <c r="F520" s="116">
        <v>2.06E-2</v>
      </c>
      <c r="G520" s="350">
        <f t="shared" ref="G520:G530" si="38">+IFERROR(E520*F520,"")</f>
        <v>1639.1741359999999</v>
      </c>
      <c r="H520" s="100"/>
      <c r="I520" s="329"/>
      <c r="J520" s="195" t="str">
        <f>+_xlfn.CONCAT("M",J517,K520)</f>
        <v>M4,011</v>
      </c>
      <c r="K520" s="195">
        <v>1</v>
      </c>
      <c r="L520" s="197">
        <f>+IFERROR(G520*H508,"")</f>
        <v>1475256.7223999999</v>
      </c>
      <c r="M520" s="48" t="str">
        <f>+A520</f>
        <v>Anticorrosivo</v>
      </c>
      <c r="N520" s="332">
        <f>+F520</f>
        <v>2.06E-2</v>
      </c>
      <c r="O520" s="48"/>
    </row>
    <row r="521" spans="1:15" x14ac:dyDescent="0.3">
      <c r="A521" s="114" t="s">
        <v>570</v>
      </c>
      <c r="B521" s="118"/>
      <c r="C521" s="118"/>
      <c r="D521" s="121" t="str">
        <f>IFERROR(VLOOKUP(MATERIALES_03540[[#This Row],[Descripcion]],INSUM_[#All],2,FALSE),"")</f>
        <v>Galón</v>
      </c>
      <c r="E521" s="170">
        <f>IFERROR(VLOOKUP(MATERIALES_03540[[#This Row],[Descripcion]],INSUM_[#All],3,FALSE),"")</f>
        <v>105211.44</v>
      </c>
      <c r="F521" s="116">
        <v>2.06E-2</v>
      </c>
      <c r="G521" s="350">
        <f t="shared" si="38"/>
        <v>2167.3556640000002</v>
      </c>
      <c r="H521" s="102"/>
      <c r="I521" s="329"/>
      <c r="J521" s="195" t="str">
        <f>+_xlfn.CONCAT("M",J517,K521)</f>
        <v>M4,012</v>
      </c>
      <c r="K521" s="195">
        <v>2</v>
      </c>
      <c r="L521" s="197">
        <f>+IFERROR(G521*H508,"")</f>
        <v>1950620.0976000002</v>
      </c>
      <c r="M521" s="48" t="str">
        <f t="shared" ref="M521:M530" si="39">+A521</f>
        <v>Esmalte para madera y metal</v>
      </c>
      <c r="N521" s="332">
        <f t="shared" ref="N521:N530" si="40">+F521</f>
        <v>2.06E-2</v>
      </c>
      <c r="O521" s="48"/>
    </row>
    <row r="522" spans="1:15" x14ac:dyDescent="0.3">
      <c r="A522" s="114"/>
      <c r="B522" s="118"/>
      <c r="C522" s="118"/>
      <c r="D522" s="121" t="str">
        <f>IFERROR(VLOOKUP(MATERIALES_03540[[#This Row],[Descripcion]],INSUM_[#All],2,FALSE),"")</f>
        <v/>
      </c>
      <c r="E522" s="170" t="str">
        <f>IFERROR(VLOOKUP(MATERIALES_03540[[#This Row],[Descripcion]],INSUM_[#All],3,FALSE),"")</f>
        <v/>
      </c>
      <c r="F522" s="116"/>
      <c r="G522" s="350" t="str">
        <f t="shared" si="38"/>
        <v/>
      </c>
      <c r="H522" s="102"/>
      <c r="I522" s="329"/>
      <c r="J522" s="195" t="str">
        <f>+_xlfn.CONCAT("M",J517,K522)</f>
        <v>M4,013</v>
      </c>
      <c r="K522" s="195">
        <v>3</v>
      </c>
      <c r="L522" s="197" t="str">
        <f>+IFERROR(G522*H508,"")</f>
        <v/>
      </c>
      <c r="M522" s="48">
        <f t="shared" si="39"/>
        <v>0</v>
      </c>
      <c r="N522" s="332">
        <f t="shared" si="40"/>
        <v>0</v>
      </c>
      <c r="O522" s="48"/>
    </row>
    <row r="523" spans="1:15" x14ac:dyDescent="0.3">
      <c r="A523" s="119"/>
      <c r="B523" s="120"/>
      <c r="C523" s="120"/>
      <c r="D523" s="121" t="str">
        <f>IFERROR(VLOOKUP(MATERIALES_03540[[#This Row],[Descripcion]],INSUM_[#All],2,FALSE),"")</f>
        <v/>
      </c>
      <c r="E523" s="170" t="str">
        <f>IFERROR(VLOOKUP(MATERIALES_03540[[#This Row],[Descripcion]],INSUM_[#All],3,FALSE),"")</f>
        <v/>
      </c>
      <c r="F523" s="121"/>
      <c r="G523" s="350" t="str">
        <f t="shared" si="38"/>
        <v/>
      </c>
      <c r="H523" s="102"/>
      <c r="I523" s="329"/>
      <c r="J523" s="195" t="str">
        <f>+_xlfn.CONCAT("M",J517,K523)</f>
        <v>M4,014</v>
      </c>
      <c r="K523" s="195">
        <v>4</v>
      </c>
      <c r="L523" s="197" t="str">
        <f>+IFERROR(G523*H508,"")</f>
        <v/>
      </c>
      <c r="M523" s="48">
        <f t="shared" si="39"/>
        <v>0</v>
      </c>
      <c r="N523" s="332">
        <f t="shared" si="40"/>
        <v>0</v>
      </c>
      <c r="O523" s="48"/>
    </row>
    <row r="524" spans="1:15" x14ac:dyDescent="0.3">
      <c r="A524" s="119"/>
      <c r="B524" s="120"/>
      <c r="C524" s="120"/>
      <c r="D524" s="121" t="str">
        <f>IFERROR(VLOOKUP(MATERIALES_03540[[#This Row],[Descripcion]],INSUM_[#All],2,FALSE),"")</f>
        <v/>
      </c>
      <c r="E524" s="170" t="str">
        <f>IFERROR(VLOOKUP(MATERIALES_03540[[#This Row],[Descripcion]],INSUM_[#All],3,FALSE),"")</f>
        <v/>
      </c>
      <c r="F524" s="121"/>
      <c r="G524" s="350" t="str">
        <f t="shared" si="38"/>
        <v/>
      </c>
      <c r="H524" s="102"/>
      <c r="I524" s="329"/>
      <c r="J524" s="195" t="str">
        <f>+_xlfn.CONCAT("M",J517,K524)</f>
        <v>M4,015</v>
      </c>
      <c r="K524" s="195">
        <v>5</v>
      </c>
      <c r="L524" s="197" t="str">
        <f>+IFERROR(G524*H508,"")</f>
        <v/>
      </c>
      <c r="M524" s="48">
        <f t="shared" si="39"/>
        <v>0</v>
      </c>
      <c r="N524" s="332">
        <f t="shared" si="40"/>
        <v>0</v>
      </c>
      <c r="O524" s="48"/>
    </row>
    <row r="525" spans="1:15" x14ac:dyDescent="0.3">
      <c r="A525" s="155"/>
      <c r="B525" s="118"/>
      <c r="C525" s="118"/>
      <c r="D525" s="121" t="str">
        <f>IFERROR(VLOOKUP(MATERIALES_03540[[#This Row],[Descripcion]],INSUM_[#All],2,FALSE),"")</f>
        <v/>
      </c>
      <c r="E525" s="170" t="str">
        <f>IFERROR(VLOOKUP(MATERIALES_03540[[#This Row],[Descripcion]],INSUM_[#All],3,FALSE),"")</f>
        <v/>
      </c>
      <c r="F525" s="116"/>
      <c r="G525" s="350" t="str">
        <f t="shared" si="38"/>
        <v/>
      </c>
      <c r="H525" s="102"/>
      <c r="I525" s="329"/>
      <c r="J525" s="195" t="str">
        <f>+_xlfn.CONCAT("M",J517,K525)</f>
        <v>M4,016</v>
      </c>
      <c r="K525" s="195">
        <v>6</v>
      </c>
      <c r="L525" s="197" t="str">
        <f>+IFERROR(G525*H508,"")</f>
        <v/>
      </c>
      <c r="M525" s="48">
        <f t="shared" si="39"/>
        <v>0</v>
      </c>
      <c r="N525" s="332">
        <f t="shared" si="40"/>
        <v>0</v>
      </c>
      <c r="O525" s="48"/>
    </row>
    <row r="526" spans="1:15" x14ac:dyDescent="0.3">
      <c r="A526" s="156"/>
      <c r="B526" s="120"/>
      <c r="C526" s="120"/>
      <c r="D526" s="121" t="str">
        <f>IFERROR(VLOOKUP(MATERIALES_03540[[#This Row],[Descripcion]],INSUM_[#All],2,FALSE),"")</f>
        <v/>
      </c>
      <c r="E526" s="170" t="str">
        <f>IFERROR(VLOOKUP(MATERIALES_03540[[#This Row],[Descripcion]],INSUM_[#All],3,FALSE),"")</f>
        <v/>
      </c>
      <c r="F526" s="121"/>
      <c r="G526" s="350" t="str">
        <f t="shared" si="38"/>
        <v/>
      </c>
      <c r="H526" s="102"/>
      <c r="I526" s="329"/>
      <c r="J526" s="195" t="str">
        <f>+_xlfn.CONCAT("M",J517,K526)</f>
        <v>M4,017</v>
      </c>
      <c r="K526" s="195">
        <v>7</v>
      </c>
      <c r="L526" s="197" t="str">
        <f>+IFERROR(G526*H508,"")</f>
        <v/>
      </c>
      <c r="M526" s="48">
        <f t="shared" si="39"/>
        <v>0</v>
      </c>
      <c r="N526" s="332">
        <f t="shared" si="40"/>
        <v>0</v>
      </c>
      <c r="O526" s="48"/>
    </row>
    <row r="527" spans="1:15" x14ac:dyDescent="0.3">
      <c r="A527" s="156"/>
      <c r="B527" s="120"/>
      <c r="C527" s="120"/>
      <c r="D527" s="121" t="str">
        <f>IFERROR(VLOOKUP(MATERIALES_03540[[#This Row],[Descripcion]],INSUM_[#All],2,FALSE),"")</f>
        <v/>
      </c>
      <c r="E527" s="170" t="str">
        <f>IFERROR(VLOOKUP(MATERIALES_03540[[#This Row],[Descripcion]],INSUM_[#All],3,FALSE),"")</f>
        <v/>
      </c>
      <c r="F527" s="121"/>
      <c r="G527" s="350" t="str">
        <f t="shared" si="38"/>
        <v/>
      </c>
      <c r="H527" s="102"/>
      <c r="I527" s="329"/>
      <c r="J527" s="195" t="str">
        <f>+_xlfn.CONCAT("M",J517,K527)</f>
        <v>M4,018</v>
      </c>
      <c r="K527" s="195">
        <v>8</v>
      </c>
      <c r="L527" s="197" t="str">
        <f>+IFERROR(G527*H508,"")</f>
        <v/>
      </c>
      <c r="M527" s="48">
        <f t="shared" si="39"/>
        <v>0</v>
      </c>
      <c r="N527" s="332">
        <f t="shared" si="40"/>
        <v>0</v>
      </c>
      <c r="O527" s="48"/>
    </row>
    <row r="528" spans="1:15" x14ac:dyDescent="0.3">
      <c r="A528" s="156"/>
      <c r="B528" s="120"/>
      <c r="C528" s="120"/>
      <c r="D528" s="121" t="str">
        <f>IFERROR(VLOOKUP(MATERIALES_03540[[#This Row],[Descripcion]],INSUM_[#All],2,FALSE),"")</f>
        <v/>
      </c>
      <c r="E528" s="170" t="str">
        <f>IFERROR(VLOOKUP(MATERIALES_03540[[#This Row],[Descripcion]],INSUM_[#All],3,FALSE),"")</f>
        <v/>
      </c>
      <c r="F528" s="121"/>
      <c r="G528" s="350" t="str">
        <f t="shared" si="38"/>
        <v/>
      </c>
      <c r="H528" s="102"/>
      <c r="I528" s="329"/>
      <c r="J528" s="195" t="str">
        <f>+_xlfn.CONCAT("M",J517,K528)</f>
        <v>M4,019</v>
      </c>
      <c r="K528" s="195">
        <v>9</v>
      </c>
      <c r="L528" s="197" t="str">
        <f>+IFERROR(G528*H508,"")</f>
        <v/>
      </c>
      <c r="M528" s="48">
        <f t="shared" si="39"/>
        <v>0</v>
      </c>
      <c r="N528" s="332">
        <f t="shared" si="40"/>
        <v>0</v>
      </c>
      <c r="O528" s="48"/>
    </row>
    <row r="529" spans="1:15" x14ac:dyDescent="0.3">
      <c r="A529" s="156"/>
      <c r="B529" s="120"/>
      <c r="C529" s="120"/>
      <c r="D529" s="121" t="str">
        <f>IFERROR(VLOOKUP(MATERIALES_03540[[#This Row],[Descripcion]],INSUM_[#All],2,FALSE),"")</f>
        <v/>
      </c>
      <c r="E529" s="170" t="str">
        <f>IFERROR(VLOOKUP(MATERIALES_03540[[#This Row],[Descripcion]],INSUM_[#All],3,FALSE),"")</f>
        <v/>
      </c>
      <c r="F529" s="121"/>
      <c r="G529" s="350" t="str">
        <f t="shared" si="38"/>
        <v/>
      </c>
      <c r="H529" s="102"/>
      <c r="I529" s="329"/>
      <c r="J529" s="195" t="str">
        <f>+_xlfn.CONCAT("M",J517,K529)</f>
        <v>M4,0110</v>
      </c>
      <c r="K529" s="195">
        <v>10</v>
      </c>
      <c r="L529" s="197" t="str">
        <f>+IFERROR(G529*H508,"")</f>
        <v/>
      </c>
      <c r="M529" s="48">
        <f t="shared" si="39"/>
        <v>0</v>
      </c>
      <c r="N529" s="332">
        <f t="shared" si="40"/>
        <v>0</v>
      </c>
      <c r="O529" s="48"/>
    </row>
    <row r="530" spans="1:15" x14ac:dyDescent="0.3">
      <c r="A530" s="156"/>
      <c r="B530" s="120"/>
      <c r="C530" s="120"/>
      <c r="D530" s="121" t="str">
        <f>IFERROR(VLOOKUP(MATERIALES_03540[[#This Row],[Descripcion]],INSUM_[#All],2,FALSE),"")</f>
        <v/>
      </c>
      <c r="E530" s="170" t="str">
        <f>IFERROR(VLOOKUP(MATERIALES_03540[[#This Row],[Descripcion]],INSUM_[#All],3,FALSE),"")</f>
        <v/>
      </c>
      <c r="F530" s="121"/>
      <c r="G530" s="350" t="str">
        <f t="shared" si="38"/>
        <v/>
      </c>
      <c r="H530" s="102"/>
      <c r="I530" s="329"/>
      <c r="J530" s="195" t="str">
        <f>+_xlfn.CONCAT("M",J517,K530)</f>
        <v>M4,0111</v>
      </c>
      <c r="K530" s="195">
        <v>11</v>
      </c>
      <c r="L530" s="197" t="str">
        <f>+IFERROR(G530*H508,"")</f>
        <v/>
      </c>
      <c r="M530" s="48">
        <f t="shared" si="39"/>
        <v>0</v>
      </c>
      <c r="N530" s="332">
        <f t="shared" si="40"/>
        <v>0</v>
      </c>
      <c r="O530" s="48"/>
    </row>
    <row r="531" spans="1:15" x14ac:dyDescent="0.3">
      <c r="A531" s="104" t="s">
        <v>81</v>
      </c>
      <c r="B531" s="105"/>
      <c r="C531" s="105"/>
      <c r="D531" s="105"/>
      <c r="E531" s="105"/>
      <c r="F531" s="105"/>
      <c r="G531" s="347"/>
      <c r="H531" s="190">
        <f>SUM(G520:G530)</f>
        <v>3806.5298000000003</v>
      </c>
      <c r="I531" s="329"/>
      <c r="J531" s="195"/>
      <c r="K531" s="196" t="str">
        <f>+H510</f>
        <v>4,01</v>
      </c>
      <c r="L531" s="198">
        <f>SUM(L520:L530)</f>
        <v>3425876.8200000003</v>
      </c>
      <c r="M531" s="330">
        <f>+H531</f>
        <v>3806.5298000000003</v>
      </c>
      <c r="O531" s="48"/>
    </row>
    <row r="532" spans="1:15" x14ac:dyDescent="0.3">
      <c r="A532" s="91" t="s">
        <v>26</v>
      </c>
      <c r="B532" s="124"/>
      <c r="C532" s="125"/>
      <c r="D532" s="125"/>
      <c r="E532" s="126"/>
      <c r="F532" s="124"/>
      <c r="G532" s="351"/>
      <c r="H532" s="113"/>
      <c r="I532" s="329"/>
      <c r="J532" s="195"/>
      <c r="K532" s="195"/>
      <c r="L532" s="195"/>
      <c r="M532" s="195"/>
      <c r="O532" s="48"/>
    </row>
    <row r="533" spans="1:15" x14ac:dyDescent="0.3">
      <c r="A533" s="205" t="s">
        <v>57</v>
      </c>
      <c r="B533" s="217" t="s">
        <v>67</v>
      </c>
      <c r="C533" s="211" t="s">
        <v>82</v>
      </c>
      <c r="D533" s="211" t="s">
        <v>83</v>
      </c>
      <c r="E533" s="212" t="s">
        <v>61</v>
      </c>
      <c r="F533" s="207" t="s">
        <v>49</v>
      </c>
      <c r="G533" s="343" t="s">
        <v>71</v>
      </c>
      <c r="H533" s="215"/>
      <c r="I533" s="329"/>
      <c r="J533" s="195"/>
      <c r="K533" s="195"/>
      <c r="L533" s="195"/>
      <c r="M533" s="195"/>
      <c r="O533" s="48"/>
    </row>
    <row r="534" spans="1:15" x14ac:dyDescent="0.3">
      <c r="A534" s="155" t="s">
        <v>2285</v>
      </c>
      <c r="B534" s="115"/>
      <c r="C534" s="115">
        <v>1</v>
      </c>
      <c r="D534" s="127">
        <v>1</v>
      </c>
      <c r="E534" s="98">
        <f t="shared" ref="E534" si="41">1.0953*100</f>
        <v>109.53</v>
      </c>
      <c r="F534" s="128">
        <v>1</v>
      </c>
      <c r="G534" s="345">
        <f>E534*F534*D534</f>
        <v>109.53</v>
      </c>
      <c r="H534" s="102"/>
      <c r="I534" s="329"/>
      <c r="J534" s="195"/>
      <c r="K534" s="195"/>
      <c r="L534" s="195"/>
      <c r="M534" s="195"/>
      <c r="O534" s="48"/>
    </row>
    <row r="535" spans="1:15" x14ac:dyDescent="0.3">
      <c r="A535" s="156"/>
      <c r="B535" s="178"/>
      <c r="C535" s="178"/>
      <c r="D535" s="122"/>
      <c r="E535" s="123"/>
      <c r="F535" s="179"/>
      <c r="G535" s="346">
        <f>E535*F535*D535</f>
        <v>0</v>
      </c>
      <c r="H535" s="102"/>
      <c r="I535" s="329"/>
      <c r="J535" s="195"/>
      <c r="K535" s="195"/>
      <c r="L535" s="195"/>
      <c r="M535" s="195"/>
      <c r="O535" s="48"/>
    </row>
    <row r="536" spans="1:15" x14ac:dyDescent="0.3">
      <c r="A536" s="104" t="s">
        <v>84</v>
      </c>
      <c r="B536" s="105"/>
      <c r="C536" s="105"/>
      <c r="D536" s="105"/>
      <c r="E536" s="105"/>
      <c r="F536" s="105"/>
      <c r="G536" s="347"/>
      <c r="H536" s="107">
        <f>G534+G535</f>
        <v>109.53</v>
      </c>
      <c r="I536" s="329"/>
      <c r="J536" s="195"/>
      <c r="K536" s="195"/>
      <c r="L536" s="196" t="str">
        <f>+H510</f>
        <v>4,01</v>
      </c>
      <c r="M536" s="333">
        <f>+H536</f>
        <v>109.53</v>
      </c>
      <c r="O536" s="48"/>
    </row>
    <row r="537" spans="1:15" x14ac:dyDescent="0.3">
      <c r="A537" s="130" t="s">
        <v>85</v>
      </c>
      <c r="B537" s="124"/>
      <c r="C537" s="124"/>
      <c r="D537" s="125"/>
      <c r="E537" s="126"/>
      <c r="F537" s="124"/>
      <c r="G537" s="351"/>
      <c r="H537" s="113"/>
      <c r="I537" s="329"/>
      <c r="J537" s="195"/>
      <c r="K537" s="195"/>
      <c r="L537" s="195"/>
      <c r="M537" s="195"/>
      <c r="O537" s="48"/>
    </row>
    <row r="538" spans="1:15" x14ac:dyDescent="0.3">
      <c r="A538" s="218" t="s">
        <v>57</v>
      </c>
      <c r="B538" s="211" t="s">
        <v>86</v>
      </c>
      <c r="C538" s="211" t="s">
        <v>87</v>
      </c>
      <c r="D538" s="211" t="s">
        <v>88</v>
      </c>
      <c r="E538" s="212" t="s">
        <v>89</v>
      </c>
      <c r="F538" s="207" t="s">
        <v>62</v>
      </c>
      <c r="G538" s="343" t="s">
        <v>63</v>
      </c>
      <c r="H538" s="215"/>
      <c r="I538" s="329"/>
      <c r="J538" s="195"/>
      <c r="K538" s="195"/>
      <c r="L538" s="195"/>
      <c r="M538" s="195"/>
      <c r="O538" s="48"/>
    </row>
    <row r="539" spans="1:15" x14ac:dyDescent="0.3">
      <c r="A539" s="181" t="s">
        <v>90</v>
      </c>
      <c r="B539" s="129">
        <v>1</v>
      </c>
      <c r="C539" s="131">
        <f>1.0953*60000</f>
        <v>65718</v>
      </c>
      <c r="D539" s="132">
        <v>1.75</v>
      </c>
      <c r="E539" s="133">
        <f>B539*C539*(D539)</f>
        <v>115006.5</v>
      </c>
      <c r="F539" s="134">
        <v>2.4325618515562648E-2</v>
      </c>
      <c r="G539" s="350">
        <f>E539*F539</f>
        <v>2797.6042458100555</v>
      </c>
      <c r="H539" s="100"/>
      <c r="I539" s="329"/>
      <c r="J539" s="195"/>
      <c r="K539" s="195"/>
      <c r="L539" s="195"/>
      <c r="M539" s="195"/>
      <c r="O539" s="48"/>
    </row>
    <row r="540" spans="1:15" x14ac:dyDescent="0.3">
      <c r="A540" s="183" t="s">
        <v>91</v>
      </c>
      <c r="B540" s="122">
        <v>1</v>
      </c>
      <c r="C540" s="184">
        <f>1.0953*2600000/30</f>
        <v>94926</v>
      </c>
      <c r="D540" s="185">
        <v>1.68</v>
      </c>
      <c r="E540" s="186">
        <f>B540*C540*(D540)</f>
        <v>159475.68</v>
      </c>
      <c r="F540" s="187">
        <f>F539</f>
        <v>2.4325618515562648E-2</v>
      </c>
      <c r="G540" s="352">
        <f>E540*F540</f>
        <v>3879.3445541899437</v>
      </c>
      <c r="H540" s="102"/>
      <c r="I540" s="329"/>
      <c r="J540" s="195"/>
      <c r="K540" s="195"/>
      <c r="L540" s="195"/>
      <c r="M540" s="195"/>
      <c r="O540" s="48"/>
    </row>
    <row r="541" spans="1:15" x14ac:dyDescent="0.3">
      <c r="A541" s="135" t="s">
        <v>92</v>
      </c>
      <c r="B541" s="136"/>
      <c r="C541" s="136"/>
      <c r="D541" s="136"/>
      <c r="E541" s="136"/>
      <c r="F541" s="136"/>
      <c r="G541" s="353"/>
      <c r="H541" s="190">
        <f>SUM(G539:G540)</f>
        <v>6676.9487999999992</v>
      </c>
      <c r="I541" s="329"/>
      <c r="J541" s="195"/>
      <c r="K541" s="195"/>
      <c r="L541" s="195"/>
      <c r="M541" s="196" t="str">
        <f>+H510</f>
        <v>4,01</v>
      </c>
      <c r="N541" s="330">
        <f>+H541</f>
        <v>6676.9487999999992</v>
      </c>
      <c r="O541" s="48"/>
    </row>
    <row r="542" spans="1:15" x14ac:dyDescent="0.3">
      <c r="A542" s="130" t="s">
        <v>93</v>
      </c>
      <c r="B542" s="138"/>
      <c r="C542" s="138"/>
      <c r="D542" s="138"/>
      <c r="E542" s="138"/>
      <c r="F542" s="138"/>
      <c r="G542" s="354"/>
      <c r="H542" s="139"/>
      <c r="I542" s="329"/>
      <c r="J542" s="195"/>
      <c r="K542" s="195"/>
      <c r="L542" s="195"/>
      <c r="M542" s="195"/>
      <c r="O542" s="48"/>
    </row>
    <row r="543" spans="1:15" x14ac:dyDescent="0.3">
      <c r="A543" s="219" t="s">
        <v>94</v>
      </c>
      <c r="B543" s="220"/>
      <c r="C543" s="220"/>
      <c r="D543" s="220"/>
      <c r="E543" s="220"/>
      <c r="F543" s="220"/>
      <c r="G543" s="355"/>
      <c r="H543" s="222">
        <f>H541+H536+H531+H517</f>
        <v>11274.287281069999</v>
      </c>
      <c r="I543" s="329"/>
      <c r="J543" s="195"/>
      <c r="K543" s="195"/>
      <c r="L543" s="195"/>
      <c r="M543" s="195"/>
      <c r="O543" s="48"/>
    </row>
    <row r="544" spans="1:15" x14ac:dyDescent="0.3">
      <c r="A544" s="140"/>
      <c r="B544" s="92"/>
      <c r="C544" s="141"/>
      <c r="D544" s="141"/>
      <c r="E544" s="93"/>
      <c r="F544" s="92"/>
      <c r="G544" s="356"/>
      <c r="H544" s="142"/>
      <c r="I544" s="329"/>
      <c r="J544" s="195"/>
      <c r="K544" s="195"/>
      <c r="L544" s="195"/>
      <c r="M544" s="195"/>
      <c r="O544" s="48"/>
    </row>
    <row r="545" spans="1:15" x14ac:dyDescent="0.3">
      <c r="A545" s="140"/>
      <c r="B545" s="92"/>
      <c r="C545" s="141"/>
      <c r="D545" s="143" t="s">
        <v>95</v>
      </c>
      <c r="E545" s="144"/>
      <c r="F545" s="144"/>
      <c r="G545" s="357"/>
      <c r="H545" s="146">
        <f>H543</f>
        <v>11274.287281069999</v>
      </c>
      <c r="I545" s="329"/>
      <c r="J545" s="195"/>
      <c r="K545" s="195"/>
      <c r="L545" s="195"/>
      <c r="M545" s="195"/>
      <c r="O545" s="48"/>
    </row>
    <row r="546" spans="1:15" x14ac:dyDescent="0.3">
      <c r="A546" s="140"/>
      <c r="B546" s="92"/>
      <c r="C546" s="141"/>
      <c r="D546" s="141"/>
      <c r="E546" s="93"/>
      <c r="F546" s="92"/>
      <c r="G546" s="356"/>
      <c r="H546" s="139"/>
      <c r="I546" s="329"/>
      <c r="J546" s="195"/>
      <c r="K546" s="195"/>
      <c r="L546" s="195"/>
      <c r="M546" s="195"/>
      <c r="O546" s="48"/>
    </row>
    <row r="547" spans="1:15" x14ac:dyDescent="0.3">
      <c r="A547" s="147" t="s">
        <v>96</v>
      </c>
      <c r="B547" s="92"/>
      <c r="C547" s="141"/>
      <c r="D547" s="141"/>
      <c r="E547" s="93"/>
      <c r="F547" s="92"/>
      <c r="G547" s="356"/>
      <c r="H547" s="139"/>
      <c r="I547" s="329"/>
      <c r="J547" s="195"/>
      <c r="K547" s="195"/>
      <c r="L547" s="195"/>
      <c r="M547" s="195"/>
      <c r="O547" s="48"/>
    </row>
    <row r="548" spans="1:15" x14ac:dyDescent="0.3">
      <c r="A548" s="148"/>
      <c r="B548" s="124"/>
      <c r="C548" s="125"/>
      <c r="D548" s="141"/>
      <c r="E548" s="157" t="s">
        <v>97</v>
      </c>
      <c r="F548" s="157"/>
      <c r="G548" s="358"/>
      <c r="H548" s="139"/>
      <c r="I548" s="329"/>
      <c r="J548" s="195"/>
      <c r="K548" s="195"/>
      <c r="L548" s="195"/>
      <c r="M548" s="195"/>
      <c r="O548" s="48"/>
    </row>
    <row r="549" spans="1:15" x14ac:dyDescent="0.3">
      <c r="A549" s="148"/>
      <c r="B549" s="124"/>
      <c r="C549" s="125"/>
      <c r="D549" s="141"/>
      <c r="E549" s="149" t="str">
        <f>IF('INF. GENERAL'!$B$19=0," ",'INF. GENERAL'!$B$19)</f>
        <v>JAVIER JOSÉ ROSADO MENDINUETA</v>
      </c>
      <c r="F549" s="150"/>
      <c r="G549" s="359"/>
      <c r="H549" s="139"/>
      <c r="I549" s="329"/>
      <c r="J549" s="195"/>
      <c r="K549" s="195"/>
      <c r="L549" s="195"/>
      <c r="M549" s="195"/>
      <c r="O549" s="48"/>
    </row>
    <row r="550" spans="1:15" x14ac:dyDescent="0.3">
      <c r="A550" s="148"/>
      <c r="B550" s="124"/>
      <c r="C550" s="125"/>
      <c r="D550" s="141"/>
      <c r="E550" s="160" t="str">
        <f>IF('INF. GENERAL'!$B$20=0," ",'INF. GENERAL'!$B$20)</f>
        <v>PROFESIONAL APOYO</v>
      </c>
      <c r="F550" s="158"/>
      <c r="G550" s="360"/>
      <c r="H550" s="139"/>
      <c r="I550" s="329"/>
      <c r="J550" s="195"/>
      <c r="K550" s="195"/>
      <c r="L550" s="195"/>
      <c r="M550" s="195"/>
      <c r="O550" s="48"/>
    </row>
    <row r="551" spans="1:15" x14ac:dyDescent="0.3">
      <c r="A551" s="148"/>
      <c r="B551" s="124"/>
      <c r="C551" s="125"/>
      <c r="D551" s="141"/>
      <c r="E551" s="160" t="str">
        <f>IF('INF. GENERAL'!$B$18=0," ",'INF. GENERAL'!$B$18)</f>
        <v>ALCALDÍA MUNICIPAL DE FUNDACIÓN - MAGDALENA</v>
      </c>
      <c r="F551" s="159"/>
      <c r="G551" s="361"/>
      <c r="H551" s="139"/>
      <c r="I551" s="329"/>
      <c r="J551" s="195"/>
      <c r="K551" s="195"/>
      <c r="L551" s="195"/>
      <c r="M551" s="195"/>
      <c r="O551" s="48"/>
    </row>
    <row r="552" spans="1:15" x14ac:dyDescent="0.3">
      <c r="A552" s="140"/>
      <c r="B552" s="92"/>
      <c r="C552" s="141"/>
      <c r="D552" s="141"/>
      <c r="E552" s="154" t="str">
        <f>IF('INF. GENERAL'!$B$21=0," ",'INF. GENERAL'!$B$21)</f>
        <v>MP: 08700-52350</v>
      </c>
      <c r="F552" s="152"/>
      <c r="G552" s="362"/>
      <c r="H552" s="139"/>
      <c r="I552" s="329"/>
      <c r="J552" s="195"/>
      <c r="K552" s="195"/>
      <c r="L552" s="195"/>
      <c r="M552" s="195"/>
      <c r="O552" s="48"/>
    </row>
    <row r="553" spans="1:15" ht="15" thickBot="1" x14ac:dyDescent="0.35">
      <c r="A553" s="164" t="s">
        <v>37</v>
      </c>
      <c r="B553" s="165"/>
      <c r="C553" s="166"/>
      <c r="D553" s="166"/>
      <c r="E553" s="167"/>
      <c r="F553" s="167"/>
      <c r="G553" s="363"/>
      <c r="H553" s="168" t="s">
        <v>37</v>
      </c>
      <c r="I553" s="329"/>
      <c r="J553" s="195"/>
      <c r="K553" s="195"/>
      <c r="L553" s="195"/>
      <c r="M553" s="195"/>
      <c r="O553" s="48"/>
    </row>
    <row r="554" spans="1:15" x14ac:dyDescent="0.3">
      <c r="A554" s="63" t="str">
        <f>+'INF. GENERAL'!$B$13</f>
        <v>REPUBLICA DE COLOMBIA</v>
      </c>
      <c r="B554" s="64"/>
      <c r="C554" s="64"/>
      <c r="D554" s="64"/>
      <c r="E554" s="64"/>
      <c r="F554" s="65"/>
      <c r="G554" s="337"/>
      <c r="H554" s="67"/>
      <c r="I554" s="329"/>
      <c r="J554" s="195"/>
      <c r="K554" s="195"/>
      <c r="L554" s="195"/>
      <c r="M554" s="195"/>
      <c r="O554" s="48"/>
    </row>
    <row r="555" spans="1:15" x14ac:dyDescent="0.3">
      <c r="A555" s="68" t="str">
        <f>+'INF. GENERAL'!$B$14</f>
        <v>FUNDACIÓN</v>
      </c>
      <c r="B555" s="69"/>
      <c r="C555" s="69"/>
      <c r="D555" s="69"/>
      <c r="E555" s="69"/>
      <c r="F555" s="70"/>
      <c r="G555" s="338"/>
      <c r="H555" s="72"/>
      <c r="I555" s="329"/>
      <c r="J555" s="195"/>
      <c r="K555" s="195"/>
      <c r="L555" s="195"/>
      <c r="M555" s="195"/>
      <c r="O555" s="48"/>
    </row>
    <row r="556" spans="1:15" ht="15" thickBot="1" x14ac:dyDescent="0.35">
      <c r="A556" s="73" t="str">
        <f>+'INF. GENERAL'!$B$15</f>
        <v>MAGDALENA</v>
      </c>
      <c r="B556" s="74"/>
      <c r="C556" s="74"/>
      <c r="D556" s="74"/>
      <c r="E556" s="74"/>
      <c r="F556" s="75"/>
      <c r="G556" s="338"/>
      <c r="H556" s="72"/>
      <c r="I556" s="329"/>
      <c r="J556" s="195"/>
      <c r="K556" s="195"/>
      <c r="L556" s="195"/>
      <c r="M556" s="195"/>
      <c r="O556" s="48"/>
    </row>
    <row r="557" spans="1:15" ht="28.2" thickBot="1" x14ac:dyDescent="0.35">
      <c r="A557" s="202" t="str">
        <f>+CONCATENATE('INF. GENERAL'!$A$4,'INF. GENERAL'!$B$4)</f>
        <v>OBJETO: ACTIVIDADES ADICIONALES A LA ADECUACIÓN DE LA CANCHA DE FÚTBOL (ID 2615), VEREDA COMUNIDAD CRISTALINA BAJA (ID 200), MUNICIPIO DE FUNDACION, MAGDALENA</v>
      </c>
      <c r="B557" s="203"/>
      <c r="C557" s="203"/>
      <c r="D557" s="203"/>
      <c r="E557" s="203"/>
      <c r="F557" s="204"/>
      <c r="G557" s="338"/>
      <c r="H557" s="72"/>
      <c r="I557" s="329"/>
      <c r="J557" s="195"/>
      <c r="K557" s="195"/>
      <c r="L557" s="195"/>
      <c r="M557" s="195"/>
      <c r="O557" s="48"/>
    </row>
    <row r="558" spans="1:15" ht="15" thickBot="1" x14ac:dyDescent="0.35">
      <c r="A558" s="76" t="s">
        <v>53</v>
      </c>
      <c r="B558" s="77"/>
      <c r="C558" s="77"/>
      <c r="D558" s="77"/>
      <c r="E558" s="77"/>
      <c r="F558" s="78"/>
      <c r="G558" s="339" t="s">
        <v>49</v>
      </c>
      <c r="H558" s="80">
        <f>+VLOOKUP(H560,PRESUPUESTO!$A$1:$F$973,6,FALSE)</f>
        <v>4</v>
      </c>
      <c r="I558" s="329"/>
      <c r="J558" s="195"/>
      <c r="K558" s="195"/>
      <c r="L558" s="195"/>
      <c r="M558" s="195"/>
      <c r="O558" s="48"/>
    </row>
    <row r="559" spans="1:15" x14ac:dyDescent="0.3">
      <c r="A559" s="81" t="s">
        <v>54</v>
      </c>
      <c r="B559" s="82" t="s">
        <v>2303</v>
      </c>
      <c r="C559" s="83"/>
      <c r="D559" s="83"/>
      <c r="E559" s="84" t="s">
        <v>55</v>
      </c>
      <c r="F559" s="85" t="str">
        <f>+VLOOKUP(H560,PRESUPUESTO!$A$1:$F$973,5,FALSE)</f>
        <v>und</v>
      </c>
      <c r="G559" s="340" t="s">
        <v>56</v>
      </c>
      <c r="H559" s="87"/>
      <c r="I559" s="329"/>
      <c r="J559" s="195"/>
      <c r="K559" s="195"/>
      <c r="L559" s="195"/>
      <c r="M559" s="195"/>
      <c r="O559" s="48"/>
    </row>
    <row r="560" spans="1:15" ht="15" thickBot="1" x14ac:dyDescent="0.35">
      <c r="A560" s="88" t="s">
        <v>20</v>
      </c>
      <c r="B560" s="89" t="str">
        <f>+VLOOKUP(H560,PRESUPUESTO!$A$1:$F$973,4,FALSE)</f>
        <v>Suministro e instalacion luminaria</v>
      </c>
      <c r="C560" s="89"/>
      <c r="D560" s="89"/>
      <c r="E560" s="89"/>
      <c r="F560" s="89"/>
      <c r="G560" s="341" t="s">
        <v>18</v>
      </c>
      <c r="H560" s="194" t="s">
        <v>2257</v>
      </c>
      <c r="I560" s="329"/>
      <c r="J560" s="195"/>
      <c r="K560" s="195"/>
      <c r="L560" s="195"/>
      <c r="M560" s="195"/>
      <c r="O560" s="48"/>
    </row>
    <row r="561" spans="1:15" ht="15" thickBot="1" x14ac:dyDescent="0.35">
      <c r="A561" s="91" t="s">
        <v>24</v>
      </c>
      <c r="B561" s="92"/>
      <c r="C561" s="92"/>
      <c r="D561" s="92"/>
      <c r="E561" s="93"/>
      <c r="F561" s="92"/>
      <c r="G561" s="342"/>
      <c r="H561" s="95"/>
      <c r="I561" s="329"/>
      <c r="J561" s="195"/>
      <c r="K561" s="195"/>
      <c r="L561" s="195"/>
      <c r="M561" s="195"/>
      <c r="O561" s="48"/>
    </row>
    <row r="562" spans="1:15" x14ac:dyDescent="0.3">
      <c r="A562" s="205" t="s">
        <v>57</v>
      </c>
      <c r="B562" s="216" t="s">
        <v>58</v>
      </c>
      <c r="C562" s="216" t="s">
        <v>59</v>
      </c>
      <c r="D562" s="216" t="s">
        <v>60</v>
      </c>
      <c r="E562" s="206" t="s">
        <v>61</v>
      </c>
      <c r="F562" s="207" t="s">
        <v>62</v>
      </c>
      <c r="G562" s="343" t="s">
        <v>63</v>
      </c>
      <c r="H562" s="209"/>
      <c r="I562" s="329"/>
      <c r="J562" s="195"/>
      <c r="K562" s="195"/>
      <c r="L562" s="195"/>
      <c r="M562" s="195"/>
      <c r="O562" s="48"/>
    </row>
    <row r="563" spans="1:15" x14ac:dyDescent="0.3">
      <c r="A563" s="96"/>
      <c r="B563" s="96"/>
      <c r="C563" s="96"/>
      <c r="D563" s="97"/>
      <c r="E563" s="98"/>
      <c r="F563" s="99"/>
      <c r="G563" s="344"/>
      <c r="H563" s="100"/>
      <c r="I563" s="329"/>
      <c r="J563" s="195"/>
      <c r="K563" s="195"/>
      <c r="L563" s="195"/>
      <c r="M563" s="195"/>
      <c r="O563" s="48"/>
    </row>
    <row r="564" spans="1:15" x14ac:dyDescent="0.3">
      <c r="A564" s="96" t="s">
        <v>2286</v>
      </c>
      <c r="B564" s="96"/>
      <c r="C564" s="96"/>
      <c r="D564" s="97"/>
      <c r="E564" s="98"/>
      <c r="F564" s="99"/>
      <c r="G564" s="364">
        <f>1.0953*35319.0696087995</f>
        <v>38684.976942518093</v>
      </c>
      <c r="H564" s="100"/>
      <c r="I564" s="329"/>
      <c r="J564" s="195"/>
      <c r="K564" s="195"/>
      <c r="L564" s="195"/>
      <c r="M564" s="195"/>
      <c r="O564" s="48"/>
    </row>
    <row r="565" spans="1:15" x14ac:dyDescent="0.3">
      <c r="A565" s="96" t="s">
        <v>2287</v>
      </c>
      <c r="B565" s="96"/>
      <c r="C565" s="96"/>
      <c r="D565" s="97"/>
      <c r="E565" s="98"/>
      <c r="F565" s="101"/>
      <c r="G565" s="365">
        <f>1.0953*23546.0464058663</f>
        <v>25789.984628345355</v>
      </c>
      <c r="H565" s="102"/>
      <c r="I565" s="329"/>
      <c r="J565" s="195"/>
      <c r="K565" s="195"/>
      <c r="L565" s="195"/>
      <c r="M565" s="195"/>
      <c r="O565" s="48"/>
    </row>
    <row r="566" spans="1:15" x14ac:dyDescent="0.3">
      <c r="A566" s="173"/>
      <c r="B566" s="173"/>
      <c r="C566" s="173"/>
      <c r="D566" s="174"/>
      <c r="E566" s="123"/>
      <c r="F566" s="175"/>
      <c r="G566" s="346"/>
      <c r="H566" s="103"/>
      <c r="I566" s="329"/>
      <c r="J566" s="195"/>
      <c r="K566" s="195"/>
      <c r="L566" s="195"/>
      <c r="M566" s="195"/>
      <c r="O566" s="48"/>
    </row>
    <row r="567" spans="1:15" x14ac:dyDescent="0.3">
      <c r="A567" s="104" t="s">
        <v>65</v>
      </c>
      <c r="B567" s="105"/>
      <c r="C567" s="105"/>
      <c r="D567" s="105"/>
      <c r="E567" s="105"/>
      <c r="F567" s="105"/>
      <c r="G567" s="347"/>
      <c r="H567" s="190">
        <f>SUM(G563:G566)</f>
        <v>64474.961570863452</v>
      </c>
      <c r="I567" s="329"/>
      <c r="J567" s="196" t="str">
        <f>+H560</f>
        <v>4,02</v>
      </c>
      <c r="K567" s="330">
        <f>+H567</f>
        <v>64474.961570863452</v>
      </c>
      <c r="L567" s="195"/>
      <c r="M567" s="195"/>
      <c r="O567" s="48"/>
    </row>
    <row r="568" spans="1:15" x14ac:dyDescent="0.3">
      <c r="A568" s="108" t="s">
        <v>25</v>
      </c>
      <c r="B568" s="109"/>
      <c r="C568" s="110"/>
      <c r="D568" s="110"/>
      <c r="E568" s="111"/>
      <c r="F568" s="109"/>
      <c r="G568" s="348"/>
      <c r="H568" s="113"/>
      <c r="I568" s="329"/>
      <c r="J568" s="195"/>
      <c r="K568" s="195"/>
      <c r="L568" s="195"/>
      <c r="M568" s="195"/>
      <c r="O568" s="48"/>
    </row>
    <row r="569" spans="1:15" x14ac:dyDescent="0.3">
      <c r="A569" s="210" t="s">
        <v>66</v>
      </c>
      <c r="B569" s="217" t="s">
        <v>67</v>
      </c>
      <c r="C569" s="216" t="s">
        <v>68</v>
      </c>
      <c r="D569" s="211" t="s">
        <v>69</v>
      </c>
      <c r="E569" s="212" t="s">
        <v>70</v>
      </c>
      <c r="F569" s="211" t="s">
        <v>49</v>
      </c>
      <c r="G569" s="349" t="s">
        <v>71</v>
      </c>
      <c r="H569" s="214"/>
      <c r="I569" s="329"/>
      <c r="J569" s="195"/>
      <c r="K569" s="195"/>
      <c r="L569" s="195"/>
      <c r="M569" s="195"/>
      <c r="O569" s="48"/>
    </row>
    <row r="570" spans="1:15" x14ac:dyDescent="0.3">
      <c r="A570" s="114" t="s">
        <v>849</v>
      </c>
      <c r="B570" s="115"/>
      <c r="C570" s="115"/>
      <c r="D570" s="121" t="str">
        <f>IFERROR(VLOOKUP(MATERIALES_03544[[#This Row],[Descripcion]],INSUM_[#All],2,FALSE),"")</f>
        <v>Unidad</v>
      </c>
      <c r="E570" s="170">
        <f>IFERROR(VLOOKUP(MATERIALES_03544[[#This Row],[Descripcion]],INSUM_[#All],3,FALSE),"")</f>
        <v>534936.47</v>
      </c>
      <c r="F570" s="366">
        <v>2</v>
      </c>
      <c r="G570" s="350">
        <f t="shared" ref="G570:G580" si="42">+IFERROR(E570*F570,"")</f>
        <v>1069872.94</v>
      </c>
      <c r="H570" s="100"/>
      <c r="I570" s="329"/>
      <c r="J570" s="195" t="str">
        <f>+_xlfn.CONCAT("M",J567,K570)</f>
        <v>M4,021</v>
      </c>
      <c r="K570" s="195">
        <v>1</v>
      </c>
      <c r="L570" s="197">
        <f>+IFERROR(G570*H558,"")</f>
        <v>4279491.76</v>
      </c>
      <c r="M570" s="48" t="str">
        <f>+A570</f>
        <v>Reflector Flood Light De 500w Halógena</v>
      </c>
      <c r="N570" s="332">
        <f>+F570</f>
        <v>2</v>
      </c>
      <c r="O570" s="48"/>
    </row>
    <row r="571" spans="1:15" x14ac:dyDescent="0.3">
      <c r="A571" s="114" t="s">
        <v>395</v>
      </c>
      <c r="B571" s="118"/>
      <c r="C571" s="118"/>
      <c r="D571" s="121" t="str">
        <f>IFERROR(VLOOKUP(MATERIALES_03544[[#This Row],[Descripcion]],INSUM_[#All],2,FALSE),"")</f>
        <v>Unidad</v>
      </c>
      <c r="E571" s="170">
        <f>IFERROR(VLOOKUP(MATERIALES_03544[[#This Row],[Descripcion]],INSUM_[#All],3,FALSE),"")</f>
        <v>3033.89</v>
      </c>
      <c r="F571" s="366">
        <v>1.03</v>
      </c>
      <c r="G571" s="350">
        <f t="shared" si="42"/>
        <v>3124.9067</v>
      </c>
      <c r="H571" s="102"/>
      <c r="I571" s="329"/>
      <c r="J571" s="195" t="str">
        <f>+_xlfn.CONCAT("M",J567,K571)</f>
        <v>M4,022</v>
      </c>
      <c r="K571" s="195">
        <v>2</v>
      </c>
      <c r="L571" s="197">
        <f>+IFERROR(G571*H558,"")</f>
        <v>12499.6268</v>
      </c>
      <c r="M571" s="48" t="str">
        <f t="shared" ref="M571:M580" si="43">+A571</f>
        <v>Caja Conduit PVC 5800 (2x4)</v>
      </c>
      <c r="N571" s="332">
        <f t="shared" ref="N571:N580" si="44">+F571</f>
        <v>1.03</v>
      </c>
      <c r="O571" s="48"/>
    </row>
    <row r="572" spans="1:15" x14ac:dyDescent="0.3">
      <c r="A572" s="114" t="s">
        <v>2187</v>
      </c>
      <c r="B572" s="118"/>
      <c r="C572" s="118"/>
      <c r="D572" s="121" t="str">
        <f>IFERROR(VLOOKUP(MATERIALES_03544[[#This Row],[Descripcion]],INSUM_[#All],2,FALSE),"")</f>
        <v>Metro Lineal</v>
      </c>
      <c r="E572" s="170">
        <f>IFERROR(VLOOKUP(MATERIALES_03544[[#This Row],[Descripcion]],INSUM_[#All],3,FALSE),"")</f>
        <v>2922.72</v>
      </c>
      <c r="F572" s="366">
        <v>35.020000000000003</v>
      </c>
      <c r="G572" s="350">
        <f t="shared" si="42"/>
        <v>102353.6544</v>
      </c>
      <c r="H572" s="102"/>
      <c r="I572" s="329"/>
      <c r="J572" s="195" t="str">
        <f>+_xlfn.CONCAT("M",J567,K572)</f>
        <v>M4,023</v>
      </c>
      <c r="K572" s="195">
        <v>3</v>
      </c>
      <c r="L572" s="197">
        <f>+IFERROR(G572*H558,"")</f>
        <v>409414.6176</v>
      </c>
      <c r="M572" s="48" t="str">
        <f t="shared" si="43"/>
        <v>Cable de cobre aislado AWG-THW N° 12</v>
      </c>
      <c r="N572" s="332">
        <f t="shared" si="44"/>
        <v>35.020000000000003</v>
      </c>
      <c r="O572" s="48"/>
    </row>
    <row r="573" spans="1:15" x14ac:dyDescent="0.3">
      <c r="A573" s="119" t="s">
        <v>625</v>
      </c>
      <c r="B573" s="120"/>
      <c r="C573" s="120"/>
      <c r="D573" s="121" t="str">
        <f>IFERROR(VLOOKUP(MATERIALES_03544[[#This Row],[Descripcion]],INSUM_[#All],2,FALSE),"")</f>
        <v>Unidad</v>
      </c>
      <c r="E573" s="170">
        <f>IFERROR(VLOOKUP(MATERIALES_03544[[#This Row],[Descripcion]],INSUM_[#All],3,FALSE),"")</f>
        <v>10737.05</v>
      </c>
      <c r="F573" s="367">
        <v>1.03</v>
      </c>
      <c r="G573" s="350">
        <f t="shared" si="42"/>
        <v>11059.1615</v>
      </c>
      <c r="H573" s="102"/>
      <c r="I573" s="329"/>
      <c r="J573" s="195" t="str">
        <f>+_xlfn.CONCAT("M",J567,K573)</f>
        <v>M4,024</v>
      </c>
      <c r="K573" s="195">
        <v>4</v>
      </c>
      <c r="L573" s="197">
        <f>+IFERROR(G573*H558,"")</f>
        <v>44236.646000000001</v>
      </c>
      <c r="M573" s="48" t="str">
        <f t="shared" si="43"/>
        <v>Interruptor sencillo</v>
      </c>
      <c r="N573" s="332">
        <f t="shared" si="44"/>
        <v>1.03</v>
      </c>
      <c r="O573" s="48"/>
    </row>
    <row r="574" spans="1:15" x14ac:dyDescent="0.3">
      <c r="A574" s="119" t="s">
        <v>828</v>
      </c>
      <c r="B574" s="120"/>
      <c r="C574" s="120"/>
      <c r="D574" s="121" t="str">
        <f>IFERROR(VLOOKUP(MATERIALES_03544[[#This Row],[Descripcion]],INSUM_[#All],2,FALSE),"")</f>
        <v>Unidad</v>
      </c>
      <c r="E574" s="170">
        <f>IFERROR(VLOOKUP(MATERIALES_03544[[#This Row],[Descripcion]],INSUM_[#All],3,FALSE),"")</f>
        <v>1269058.6399999999</v>
      </c>
      <c r="F574" s="121">
        <v>1</v>
      </c>
      <c r="G574" s="350">
        <f t="shared" si="42"/>
        <v>1269058.6399999999</v>
      </c>
      <c r="H574" s="102"/>
      <c r="I574" s="329"/>
      <c r="J574" s="195" t="str">
        <f>+_xlfn.CONCAT("M",J567,K574)</f>
        <v>M4,025</v>
      </c>
      <c r="K574" s="195">
        <v>5</v>
      </c>
      <c r="L574" s="197">
        <f>+IFERROR(G574*H558,"")</f>
        <v>5076234.5599999996</v>
      </c>
      <c r="M574" s="48" t="str">
        <f t="shared" si="43"/>
        <v>Poste para redes electricas, de alumbrado o telefonicas pretensado vibrado en concreto de 10 metros</v>
      </c>
      <c r="N574" s="332">
        <f t="shared" si="44"/>
        <v>1</v>
      </c>
      <c r="O574" s="48"/>
    </row>
    <row r="575" spans="1:15" x14ac:dyDescent="0.3">
      <c r="A575" s="155" t="s">
        <v>419</v>
      </c>
      <c r="B575" s="118"/>
      <c r="C575" s="118"/>
      <c r="D575" s="121" t="str">
        <f>IFERROR(VLOOKUP(MATERIALES_03544[[#This Row],[Descripcion]],INSUM_[#All],2,FALSE),"")</f>
        <v>Bulto</v>
      </c>
      <c r="E575" s="170">
        <f>IFERROR(VLOOKUP(MATERIALES_03544[[#This Row],[Descripcion]],INSUM_[#All],3,FALSE),"")</f>
        <v>50453.95</v>
      </c>
      <c r="F575" s="116">
        <f>6.4*0.227</f>
        <v>1.4528000000000001</v>
      </c>
      <c r="G575" s="350">
        <f t="shared" si="42"/>
        <v>73299.498560000007</v>
      </c>
      <c r="H575" s="102"/>
      <c r="I575" s="329"/>
      <c r="J575" s="195" t="str">
        <f>+_xlfn.CONCAT("M",J567,K575)</f>
        <v>M4,026</v>
      </c>
      <c r="K575" s="195">
        <v>6</v>
      </c>
      <c r="L575" s="197">
        <f>+IFERROR(G575*H558,"")</f>
        <v>293197.99424000003</v>
      </c>
      <c r="M575" s="48" t="str">
        <f t="shared" si="43"/>
        <v>Cemento gris bulto x 50 kilogramos</v>
      </c>
      <c r="N575" s="332">
        <f t="shared" si="44"/>
        <v>1.4528000000000001</v>
      </c>
      <c r="O575" s="48"/>
    </row>
    <row r="576" spans="1:15" x14ac:dyDescent="0.3">
      <c r="A576" s="156" t="s">
        <v>215</v>
      </c>
      <c r="B576" s="120"/>
      <c r="C576" s="120"/>
      <c r="D576" s="121" t="str">
        <f>IFERROR(VLOOKUP(MATERIALES_03544[[#This Row],[Descripcion]],INSUM_[#All],2,FALSE),"")</f>
        <v>Metro cubico</v>
      </c>
      <c r="E576" s="170">
        <f>IFERROR(VLOOKUP(MATERIALES_03544[[#This Row],[Descripcion]],INSUM_[#All],3,FALSE),"")</f>
        <v>243964.03</v>
      </c>
      <c r="F576" s="121">
        <f>0.52*0.227</f>
        <v>0.11804000000000001</v>
      </c>
      <c r="G576" s="350">
        <f t="shared" si="42"/>
        <v>28797.514101200002</v>
      </c>
      <c r="H576" s="102"/>
      <c r="I576" s="329"/>
      <c r="J576" s="195" t="str">
        <f>+_xlfn.CONCAT("M",J567,K576)</f>
        <v>M4,027</v>
      </c>
      <c r="K576" s="195">
        <v>7</v>
      </c>
      <c r="L576" s="197">
        <f>+IFERROR(G576*H558,"")</f>
        <v>115190.05640480001</v>
      </c>
      <c r="M576" s="48" t="str">
        <f t="shared" si="43"/>
        <v>Arena de río</v>
      </c>
      <c r="N576" s="332">
        <f t="shared" si="44"/>
        <v>0.11804000000000001</v>
      </c>
      <c r="O576" s="48"/>
    </row>
    <row r="577" spans="1:15" x14ac:dyDescent="0.3">
      <c r="A577" s="156" t="s">
        <v>595</v>
      </c>
      <c r="B577" s="120"/>
      <c r="C577" s="120"/>
      <c r="D577" s="121" t="str">
        <f>IFERROR(VLOOKUP(MATERIALES_03544[[#This Row],[Descripcion]],INSUM_[#All],2,FALSE),"")</f>
        <v>Metro cubico</v>
      </c>
      <c r="E577" s="170">
        <f>IFERROR(VLOOKUP(MATERIALES_03544[[#This Row],[Descripcion]],INSUM_[#All],3,FALSE),"")</f>
        <v>288567.81</v>
      </c>
      <c r="F577" s="121">
        <f>0.9*0.227</f>
        <v>0.20430000000000001</v>
      </c>
      <c r="G577" s="350">
        <f t="shared" si="42"/>
        <v>58954.403582999999</v>
      </c>
      <c r="H577" s="102"/>
      <c r="I577" s="329"/>
      <c r="J577" s="195" t="str">
        <f>+_xlfn.CONCAT("M",J567,K577)</f>
        <v>M4,028</v>
      </c>
      <c r="K577" s="195">
        <v>8</v>
      </c>
      <c r="L577" s="197">
        <f>+IFERROR(G577*H558,"")</f>
        <v>235817.614332</v>
      </c>
      <c r="M577" s="48" t="str">
        <f t="shared" si="43"/>
        <v>Grava triturada 3/4"</v>
      </c>
      <c r="N577" s="332">
        <f t="shared" si="44"/>
        <v>0.20430000000000001</v>
      </c>
      <c r="O577" s="48"/>
    </row>
    <row r="578" spans="1:15" x14ac:dyDescent="0.3">
      <c r="A578" s="156"/>
      <c r="B578" s="120"/>
      <c r="C578" s="120"/>
      <c r="D578" s="121" t="str">
        <f>IFERROR(VLOOKUP(MATERIALES_03544[[#This Row],[Descripcion]],INSUM_[#All],2,FALSE),"")</f>
        <v/>
      </c>
      <c r="E578" s="170" t="str">
        <f>IFERROR(VLOOKUP(MATERIALES_03544[[#This Row],[Descripcion]],INSUM_[#All],3,FALSE),"")</f>
        <v/>
      </c>
      <c r="F578" s="121"/>
      <c r="G578" s="350" t="str">
        <f t="shared" si="42"/>
        <v/>
      </c>
      <c r="H578" s="102"/>
      <c r="I578" s="329"/>
      <c r="J578" s="195" t="str">
        <f>+_xlfn.CONCAT("M",J567,K578)</f>
        <v>M4,029</v>
      </c>
      <c r="K578" s="195">
        <v>9</v>
      </c>
      <c r="L578" s="197" t="str">
        <f>+IFERROR(G578*H558,"")</f>
        <v/>
      </c>
      <c r="M578" s="48">
        <f t="shared" si="43"/>
        <v>0</v>
      </c>
      <c r="N578" s="332">
        <f t="shared" si="44"/>
        <v>0</v>
      </c>
      <c r="O578" s="48"/>
    </row>
    <row r="579" spans="1:15" x14ac:dyDescent="0.3">
      <c r="A579" s="156"/>
      <c r="B579" s="120"/>
      <c r="C579" s="120"/>
      <c r="D579" s="121" t="str">
        <f>IFERROR(VLOOKUP(MATERIALES_03544[[#This Row],[Descripcion]],INSUM_[#All],2,FALSE),"")</f>
        <v/>
      </c>
      <c r="E579" s="170" t="str">
        <f>IFERROR(VLOOKUP(MATERIALES_03544[[#This Row],[Descripcion]],INSUM_[#All],3,FALSE),"")</f>
        <v/>
      </c>
      <c r="F579" s="121"/>
      <c r="G579" s="350"/>
      <c r="H579" s="102"/>
      <c r="I579" s="329"/>
      <c r="J579" s="195" t="str">
        <f>+_xlfn.CONCAT("M",J567,K579)</f>
        <v>M4,0210</v>
      </c>
      <c r="K579" s="195">
        <v>10</v>
      </c>
      <c r="L579" s="197">
        <f>+IFERROR(G579*H558,"")</f>
        <v>0</v>
      </c>
      <c r="M579" s="48">
        <f t="shared" si="43"/>
        <v>0</v>
      </c>
      <c r="N579" s="332">
        <f t="shared" si="44"/>
        <v>0</v>
      </c>
      <c r="O579" s="48"/>
    </row>
    <row r="580" spans="1:15" x14ac:dyDescent="0.3">
      <c r="A580" s="156"/>
      <c r="B580" s="120"/>
      <c r="C580" s="120"/>
      <c r="D580" s="121" t="str">
        <f>IFERROR(VLOOKUP(MATERIALES_03544[[#This Row],[Descripcion]],INSUM_[#All],2,FALSE),"")</f>
        <v/>
      </c>
      <c r="E580" s="170" t="str">
        <f>IFERROR(VLOOKUP(MATERIALES_03544[[#This Row],[Descripcion]],INSUM_[#All],3,FALSE),"")</f>
        <v/>
      </c>
      <c r="F580" s="121"/>
      <c r="G580" s="350" t="str">
        <f t="shared" si="42"/>
        <v/>
      </c>
      <c r="H580" s="102"/>
      <c r="I580" s="329"/>
      <c r="J580" s="195" t="str">
        <f>+_xlfn.CONCAT("M",J567,K580)</f>
        <v>M4,0211</v>
      </c>
      <c r="K580" s="195">
        <v>11</v>
      </c>
      <c r="L580" s="197" t="str">
        <f>+IFERROR(G580*H558,"")</f>
        <v/>
      </c>
      <c r="M580" s="48">
        <f t="shared" si="43"/>
        <v>0</v>
      </c>
      <c r="N580" s="332">
        <f t="shared" si="44"/>
        <v>0</v>
      </c>
      <c r="O580" s="48"/>
    </row>
    <row r="581" spans="1:15" x14ac:dyDescent="0.3">
      <c r="A581" s="104" t="s">
        <v>81</v>
      </c>
      <c r="B581" s="105"/>
      <c r="C581" s="105"/>
      <c r="D581" s="105"/>
      <c r="E581" s="105"/>
      <c r="F581" s="105"/>
      <c r="G581" s="347"/>
      <c r="H581" s="190">
        <f>SUM(G570:G580)</f>
        <v>2616520.7188442</v>
      </c>
      <c r="I581" s="329"/>
      <c r="J581" s="195"/>
      <c r="K581" s="196" t="str">
        <f>+H560</f>
        <v>4,02</v>
      </c>
      <c r="L581" s="198">
        <f>SUM(L570:L580)</f>
        <v>10466082.8753768</v>
      </c>
      <c r="M581" s="330">
        <f>+H581</f>
        <v>2616520.7188442</v>
      </c>
      <c r="O581" s="48"/>
    </row>
    <row r="582" spans="1:15" x14ac:dyDescent="0.3">
      <c r="A582" s="91" t="s">
        <v>26</v>
      </c>
      <c r="B582" s="124"/>
      <c r="C582" s="125"/>
      <c r="D582" s="125"/>
      <c r="E582" s="126"/>
      <c r="F582" s="124"/>
      <c r="G582" s="351"/>
      <c r="H582" s="113"/>
      <c r="I582" s="329"/>
      <c r="J582" s="195"/>
      <c r="K582" s="195"/>
      <c r="L582" s="195"/>
      <c r="M582" s="195"/>
      <c r="O582" s="48"/>
    </row>
    <row r="583" spans="1:15" x14ac:dyDescent="0.3">
      <c r="A583" s="205" t="s">
        <v>57</v>
      </c>
      <c r="B583" s="217" t="s">
        <v>67</v>
      </c>
      <c r="C583" s="211" t="s">
        <v>82</v>
      </c>
      <c r="D583" s="211" t="s">
        <v>83</v>
      </c>
      <c r="E583" s="212" t="s">
        <v>61</v>
      </c>
      <c r="F583" s="207" t="s">
        <v>49</v>
      </c>
      <c r="G583" s="343" t="s">
        <v>71</v>
      </c>
      <c r="H583" s="215"/>
      <c r="I583" s="329"/>
      <c r="J583" s="195"/>
      <c r="K583" s="195"/>
      <c r="L583" s="195"/>
      <c r="M583" s="195"/>
      <c r="O583" s="48"/>
    </row>
    <row r="584" spans="1:15" x14ac:dyDescent="0.3">
      <c r="A584" s="155"/>
      <c r="B584" s="115"/>
      <c r="C584" s="115"/>
      <c r="D584" s="127"/>
      <c r="E584" s="98"/>
      <c r="F584" s="128"/>
      <c r="G584" s="345"/>
      <c r="H584" s="102"/>
      <c r="I584" s="329"/>
      <c r="J584" s="195"/>
      <c r="K584" s="195"/>
      <c r="L584" s="195"/>
      <c r="M584" s="195"/>
      <c r="O584" s="48"/>
    </row>
    <row r="585" spans="1:15" x14ac:dyDescent="0.3">
      <c r="A585" s="156"/>
      <c r="B585" s="178"/>
      <c r="C585" s="178"/>
      <c r="D585" s="122"/>
      <c r="E585" s="123"/>
      <c r="F585" s="179"/>
      <c r="G585" s="346">
        <f>E585*F585*D585</f>
        <v>0</v>
      </c>
      <c r="H585" s="102"/>
      <c r="I585" s="329"/>
      <c r="J585" s="195"/>
      <c r="K585" s="195"/>
      <c r="L585" s="195"/>
      <c r="M585" s="195"/>
      <c r="O585" s="48"/>
    </row>
    <row r="586" spans="1:15" x14ac:dyDescent="0.3">
      <c r="A586" s="104" t="s">
        <v>84</v>
      </c>
      <c r="B586" s="105"/>
      <c r="C586" s="105"/>
      <c r="D586" s="105"/>
      <c r="E586" s="105"/>
      <c r="F586" s="105"/>
      <c r="G586" s="347"/>
      <c r="H586" s="107">
        <f>G584+G585</f>
        <v>0</v>
      </c>
      <c r="I586" s="329"/>
      <c r="J586" s="483">
        <f>H581*0.3</f>
        <v>784956.21565326001</v>
      </c>
      <c r="K586" s="195"/>
      <c r="L586" s="196" t="str">
        <f>+H560</f>
        <v>4,02</v>
      </c>
      <c r="M586" s="333">
        <f>+H586</f>
        <v>0</v>
      </c>
      <c r="O586" s="48"/>
    </row>
    <row r="587" spans="1:15" x14ac:dyDescent="0.3">
      <c r="A587" s="130" t="s">
        <v>85</v>
      </c>
      <c r="B587" s="124"/>
      <c r="C587" s="124"/>
      <c r="D587" s="125"/>
      <c r="E587" s="126"/>
      <c r="F587" s="124"/>
      <c r="G587" s="351"/>
      <c r="H587" s="113"/>
      <c r="I587" s="329"/>
      <c r="J587" s="195"/>
      <c r="K587" s="195"/>
      <c r="L587" s="195"/>
      <c r="M587" s="195"/>
      <c r="O587" s="48"/>
    </row>
    <row r="588" spans="1:15" x14ac:dyDescent="0.3">
      <c r="A588" s="218" t="s">
        <v>57</v>
      </c>
      <c r="B588" s="211" t="s">
        <v>86</v>
      </c>
      <c r="C588" s="211" t="s">
        <v>87</v>
      </c>
      <c r="D588" s="211" t="s">
        <v>88</v>
      </c>
      <c r="E588" s="212" t="s">
        <v>89</v>
      </c>
      <c r="F588" s="207" t="s">
        <v>62</v>
      </c>
      <c r="G588" s="343" t="s">
        <v>63</v>
      </c>
      <c r="H588" s="215"/>
      <c r="I588" s="329"/>
      <c r="J588" s="195"/>
      <c r="K588" s="195"/>
      <c r="L588" s="195"/>
      <c r="M588" s="195"/>
      <c r="O588" s="48"/>
    </row>
    <row r="589" spans="1:15" x14ac:dyDescent="0.3">
      <c r="A589" s="181" t="s">
        <v>90</v>
      </c>
      <c r="B589" s="129">
        <v>1</v>
      </c>
      <c r="C589" s="131">
        <f>1.0953*60000</f>
        <v>65718</v>
      </c>
      <c r="D589" s="132">
        <v>1.75</v>
      </c>
      <c r="E589" s="133">
        <f>B589*C589*(D589)</f>
        <v>115006.5</v>
      </c>
      <c r="F589" s="134">
        <v>1</v>
      </c>
      <c r="G589" s="350">
        <f>E589*F589</f>
        <v>115006.5</v>
      </c>
      <c r="H589" s="100"/>
      <c r="I589" s="329"/>
      <c r="J589" s="195"/>
      <c r="K589" s="195"/>
      <c r="L589" s="195"/>
      <c r="M589" s="195"/>
      <c r="O589" s="48"/>
    </row>
    <row r="590" spans="1:15" x14ac:dyDescent="0.3">
      <c r="A590" s="183" t="s">
        <v>91</v>
      </c>
      <c r="B590" s="122">
        <v>4</v>
      </c>
      <c r="C590" s="184">
        <f>1.0953*2600000/30</f>
        <v>94926</v>
      </c>
      <c r="D590" s="185">
        <v>1.68</v>
      </c>
      <c r="E590" s="186">
        <f>B590*C590*(D590)</f>
        <v>637902.72</v>
      </c>
      <c r="F590" s="187">
        <v>1.5</v>
      </c>
      <c r="G590" s="352">
        <f>E590*F590</f>
        <v>956854.08</v>
      </c>
      <c r="H590" s="102"/>
      <c r="I590" s="329"/>
      <c r="J590" s="195"/>
      <c r="K590" s="195"/>
      <c r="L590" s="195"/>
      <c r="M590" s="195"/>
      <c r="O590" s="48"/>
    </row>
    <row r="591" spans="1:15" x14ac:dyDescent="0.3">
      <c r="A591" s="135" t="s">
        <v>92</v>
      </c>
      <c r="B591" s="136"/>
      <c r="C591" s="136"/>
      <c r="D591" s="136"/>
      <c r="E591" s="136"/>
      <c r="F591" s="136"/>
      <c r="G591" s="353"/>
      <c r="H591" s="190">
        <f>SUM(G589:G590)</f>
        <v>1071860.58</v>
      </c>
      <c r="I591" s="329"/>
      <c r="J591" s="195"/>
      <c r="K591" s="195"/>
      <c r="L591" s="195"/>
      <c r="M591" s="196" t="str">
        <f>+H560</f>
        <v>4,02</v>
      </c>
      <c r="N591" s="330">
        <f>+H591</f>
        <v>1071860.58</v>
      </c>
      <c r="O591" s="48"/>
    </row>
    <row r="592" spans="1:15" x14ac:dyDescent="0.3">
      <c r="A592" s="130" t="s">
        <v>93</v>
      </c>
      <c r="B592" s="138"/>
      <c r="C592" s="138"/>
      <c r="D592" s="138"/>
      <c r="E592" s="138"/>
      <c r="F592" s="138"/>
      <c r="G592" s="354"/>
      <c r="H592" s="139"/>
      <c r="I592" s="329"/>
      <c r="J592" s="195"/>
      <c r="K592" s="195"/>
      <c r="L592" s="195"/>
      <c r="M592" s="195"/>
      <c r="O592" s="48"/>
    </row>
    <row r="593" spans="1:15" x14ac:dyDescent="0.3">
      <c r="A593" s="219" t="s">
        <v>94</v>
      </c>
      <c r="B593" s="220"/>
      <c r="C593" s="220"/>
      <c r="D593" s="220"/>
      <c r="E593" s="220"/>
      <c r="F593" s="220"/>
      <c r="G593" s="355"/>
      <c r="H593" s="222">
        <f>H591+H586+H581+H567</f>
        <v>3752856.2604150637</v>
      </c>
      <c r="I593" s="329"/>
      <c r="J593" s="195"/>
      <c r="K593" s="195"/>
      <c r="L593" s="195"/>
      <c r="M593" s="195"/>
      <c r="O593" s="48"/>
    </row>
    <row r="594" spans="1:15" x14ac:dyDescent="0.3">
      <c r="A594" s="140"/>
      <c r="B594" s="92"/>
      <c r="C594" s="141"/>
      <c r="D594" s="141"/>
      <c r="E594" s="93"/>
      <c r="F594" s="92"/>
      <c r="G594" s="356"/>
      <c r="H594" s="142"/>
      <c r="I594" s="329"/>
      <c r="J594" s="195"/>
      <c r="K594" s="195"/>
      <c r="L594" s="195"/>
      <c r="M594" s="195"/>
      <c r="O594" s="48"/>
    </row>
    <row r="595" spans="1:15" x14ac:dyDescent="0.3">
      <c r="A595" s="140"/>
      <c r="B595" s="92"/>
      <c r="C595" s="141"/>
      <c r="D595" s="143" t="s">
        <v>95</v>
      </c>
      <c r="E595" s="144"/>
      <c r="F595" s="144"/>
      <c r="G595" s="357"/>
      <c r="H595" s="146">
        <f>H593</f>
        <v>3752856.2604150637</v>
      </c>
      <c r="I595" s="329"/>
      <c r="J595" s="195"/>
      <c r="K595" s="195"/>
      <c r="L595" s="195"/>
      <c r="M595" s="195"/>
      <c r="O595" s="48"/>
    </row>
    <row r="596" spans="1:15" x14ac:dyDescent="0.3">
      <c r="A596" s="140"/>
      <c r="B596" s="92"/>
      <c r="C596" s="141"/>
      <c r="D596" s="141"/>
      <c r="E596" s="93"/>
      <c r="F596" s="92"/>
      <c r="G596" s="356"/>
      <c r="H596" s="139"/>
      <c r="I596" s="329"/>
      <c r="J596" s="195"/>
      <c r="K596" s="195"/>
      <c r="L596" s="195"/>
      <c r="M596" s="195"/>
      <c r="O596" s="48"/>
    </row>
    <row r="597" spans="1:15" x14ac:dyDescent="0.3">
      <c r="A597" s="147" t="s">
        <v>96</v>
      </c>
      <c r="B597" s="92"/>
      <c r="C597" s="141"/>
      <c r="D597" s="141"/>
      <c r="E597" s="93"/>
      <c r="F597" s="92"/>
      <c r="G597" s="356"/>
      <c r="H597" s="139"/>
      <c r="I597" s="329"/>
      <c r="J597" s="195"/>
      <c r="K597" s="195"/>
      <c r="L597" s="195"/>
      <c r="M597" s="195"/>
      <c r="O597" s="48"/>
    </row>
    <row r="598" spans="1:15" x14ac:dyDescent="0.3">
      <c r="A598" s="148"/>
      <c r="B598" s="124"/>
      <c r="C598" s="125"/>
      <c r="D598" s="141"/>
      <c r="E598" s="157" t="s">
        <v>97</v>
      </c>
      <c r="F598" s="157"/>
      <c r="G598" s="358"/>
      <c r="H598" s="139"/>
      <c r="I598" s="329"/>
      <c r="J598" s="195"/>
      <c r="K598" s="195"/>
      <c r="L598" s="195"/>
      <c r="M598" s="195"/>
      <c r="O598" s="48"/>
    </row>
    <row r="599" spans="1:15" x14ac:dyDescent="0.3">
      <c r="A599" s="148"/>
      <c r="B599" s="124"/>
      <c r="C599" s="125"/>
      <c r="D599" s="141"/>
      <c r="E599" s="149" t="str">
        <f>IF('INF. GENERAL'!$B$19=0," ",'INF. GENERAL'!$B$19)</f>
        <v>JAVIER JOSÉ ROSADO MENDINUETA</v>
      </c>
      <c r="F599" s="150"/>
      <c r="G599" s="359"/>
      <c r="H599" s="139"/>
      <c r="I599" s="329"/>
      <c r="J599" s="195"/>
      <c r="K599" s="195"/>
      <c r="L599" s="195"/>
      <c r="M599" s="195"/>
      <c r="O599" s="48"/>
    </row>
    <row r="600" spans="1:15" x14ac:dyDescent="0.3">
      <c r="A600" s="148"/>
      <c r="B600" s="124"/>
      <c r="C600" s="125"/>
      <c r="D600" s="141"/>
      <c r="E600" s="160" t="str">
        <f>IF('INF. GENERAL'!$B$20=0," ",'INF. GENERAL'!$B$20)</f>
        <v>PROFESIONAL APOYO</v>
      </c>
      <c r="F600" s="158"/>
      <c r="G600" s="360"/>
      <c r="H600" s="139"/>
      <c r="I600" s="329"/>
      <c r="J600" s="195"/>
      <c r="K600" s="195"/>
      <c r="L600" s="195"/>
      <c r="M600" s="195"/>
      <c r="O600" s="48"/>
    </row>
    <row r="601" spans="1:15" x14ac:dyDescent="0.3">
      <c r="A601" s="148"/>
      <c r="B601" s="124"/>
      <c r="C601" s="125"/>
      <c r="D601" s="141"/>
      <c r="E601" s="160" t="str">
        <f>IF('INF. GENERAL'!$B$18=0," ",'INF. GENERAL'!$B$18)</f>
        <v>ALCALDÍA MUNICIPAL DE FUNDACIÓN - MAGDALENA</v>
      </c>
      <c r="F601" s="159"/>
      <c r="G601" s="361"/>
      <c r="H601" s="139"/>
      <c r="I601" s="329"/>
      <c r="J601" s="195"/>
      <c r="K601" s="195"/>
      <c r="L601" s="195"/>
      <c r="M601" s="195"/>
      <c r="O601" s="48"/>
    </row>
    <row r="602" spans="1:15" x14ac:dyDescent="0.3">
      <c r="A602" s="140"/>
      <c r="B602" s="92"/>
      <c r="C602" s="141"/>
      <c r="D602" s="141"/>
      <c r="E602" s="154" t="str">
        <f>IF('INF. GENERAL'!$B$21=0," ",'INF. GENERAL'!$B$21)</f>
        <v>MP: 08700-52350</v>
      </c>
      <c r="F602" s="152"/>
      <c r="G602" s="362"/>
      <c r="H602" s="139"/>
      <c r="I602" s="329"/>
      <c r="J602" s="195"/>
      <c r="K602" s="195"/>
      <c r="L602" s="195"/>
      <c r="M602" s="195"/>
      <c r="O602" s="48"/>
    </row>
    <row r="603" spans="1:15" ht="15" thickBot="1" x14ac:dyDescent="0.35">
      <c r="A603" s="164" t="s">
        <v>37</v>
      </c>
      <c r="B603" s="165"/>
      <c r="C603" s="166"/>
      <c r="D603" s="166"/>
      <c r="E603" s="167"/>
      <c r="F603" s="167"/>
      <c r="G603" s="363"/>
      <c r="H603" s="168" t="s">
        <v>37</v>
      </c>
      <c r="I603" s="329"/>
      <c r="J603" s="195"/>
      <c r="K603" s="195"/>
      <c r="L603" s="195"/>
      <c r="M603" s="195"/>
      <c r="O603" s="48"/>
    </row>
  </sheetData>
  <printOptions horizontalCentered="1"/>
  <pageMargins left="0.70866141732283472" right="0.70866141732283472" top="1.3385826771653544" bottom="0.74803149606299213" header="0.31496062992125984" footer="0.31496062992125984"/>
  <pageSetup scale="76" fitToWidth="0" fitToHeight="0" orientation="portrait" r:id="rId1"/>
  <headerFooter>
    <oddHeader>&amp;C&amp;G</oddHeader>
  </headerFooter>
  <rowBreaks count="11" manualBreakCount="11">
    <brk id="50" max="7" man="1"/>
    <brk id="100" max="7" man="1"/>
    <brk id="150" max="7" man="1"/>
    <brk id="200" max="7" man="1"/>
    <brk id="250" max="7" man="1"/>
    <brk id="300" max="7" man="1"/>
    <brk id="350" max="7" man="1"/>
    <brk id="401" max="7" man="1"/>
    <brk id="453" max="7" man="1"/>
    <brk id="503" max="7" man="1"/>
    <brk id="553" max="7" man="1"/>
  </rowBreaks>
  <legacyDrawingHF r:id="rId2"/>
  <tableParts count="48">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 r:id="rId48"/>
    <tablePart r:id="rId49"/>
    <tablePart r:id="rId50"/>
  </tableParts>
  <extLst>
    <ext xmlns:x14="http://schemas.microsoft.com/office/spreadsheetml/2009/9/main" uri="{CCE6A557-97BC-4b89-ADB6-D9C93CAAB3DF}">
      <x14:dataValidations xmlns:xm="http://schemas.microsoft.com/office/excel/2006/main" count="1">
        <x14:dataValidation type="list" allowBlank="1" showInputMessage="1" showErrorMessage="1" xr:uid="{5D8E4D53-1316-4E68-B716-111F5C6B769E}">
          <x14:formula1>
            <xm:f>INSUMOS!$A:$A</xm:f>
          </x14:formula1>
          <xm:sqref>A17:A27 A67:A76 A117:A126 A167:A176 A217:A226 A368:A377 A420:A429 A470:A479 A520:A529 A570:A579 A267:A276 A317:A327</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5C1C18-7497-4F45-991D-1BBA29936BF5}">
  <sheetPr codeName="Sheet9"/>
  <dimension ref="A1:J1270"/>
  <sheetViews>
    <sheetView zoomScale="83" zoomScaleNormal="160" workbookViewId="0">
      <selection activeCell="F1269" sqref="F1269"/>
    </sheetView>
  </sheetViews>
  <sheetFormatPr baseColWidth="10" defaultColWidth="8.88671875" defaultRowHeight="14.4" x14ac:dyDescent="0.3"/>
  <cols>
    <col min="1" max="1" width="9.33203125" bestFit="1" customWidth="1"/>
    <col min="2" max="2" width="33.44140625" customWidth="1"/>
    <col min="3" max="3" width="11.6640625" bestFit="1" customWidth="1"/>
    <col min="4" max="4" width="13.109375" customWidth="1"/>
    <col min="5" max="5" width="17.33203125" customWidth="1"/>
    <col min="6" max="6" width="26" bestFit="1" customWidth="1"/>
    <col min="8" max="8" width="9.5546875" bestFit="1" customWidth="1"/>
    <col min="9" max="9" width="15.33203125" bestFit="1" customWidth="1"/>
    <col min="10" max="10" width="17" customWidth="1"/>
  </cols>
  <sheetData>
    <row r="1" spans="1:6" s="193" customFormat="1" x14ac:dyDescent="0.3">
      <c r="A1" s="223" t="s">
        <v>18</v>
      </c>
      <c r="B1" s="223" t="s">
        <v>51</v>
      </c>
      <c r="C1" s="223" t="s">
        <v>21</v>
      </c>
      <c r="D1" s="223" t="s">
        <v>22</v>
      </c>
      <c r="E1" s="224" t="s">
        <v>23</v>
      </c>
      <c r="F1" s="224" t="s">
        <v>17</v>
      </c>
    </row>
    <row r="2" spans="1:6" s="193" customFormat="1" x14ac:dyDescent="0.3">
      <c r="A2" s="193">
        <v>3</v>
      </c>
      <c r="B2" s="193" t="s">
        <v>76</v>
      </c>
      <c r="C2" s="193" t="s">
        <v>2145</v>
      </c>
      <c r="D2" s="226">
        <f>+ROUNDUP(SUMIFS('MEMORIA CANTIDADES'!E:E,'MEMORIA CANTIDADES'!B:B,Table28[[#This Row],[DESCRIPCIÓN ]],'MEMORIA CANTIDADES'!C:C,Table28[[#This Row],[UNIDAD]]),0)</f>
        <v>6</v>
      </c>
      <c r="E2" s="225">
        <f>+VLOOKUP(Table28[[#This Row],[DESCRIPCIÓN ]],INSUMOS!A:D,3,FALSE)</f>
        <v>2745.78</v>
      </c>
      <c r="F2" s="225">
        <f>+Table28[[#This Row],[CANTIDAD]]*Table28[[#This Row],[VALOR UNITARIO]]</f>
        <v>16474.68</v>
      </c>
    </row>
    <row r="3" spans="1:6" s="193" customFormat="1" ht="28.8" hidden="1" x14ac:dyDescent="0.3">
      <c r="A3" s="193">
        <v>425</v>
      </c>
      <c r="B3" s="193" t="s">
        <v>98</v>
      </c>
      <c r="C3" s="193" t="s">
        <v>55</v>
      </c>
      <c r="D3" s="226">
        <f>+ROUNDUP(SUMIFS('MEMORIA CANTIDADES'!E:E,'MEMORIA CANTIDADES'!B:B,Table28[[#This Row],[DESCRIPCIÓN ]],'MEMORIA CANTIDADES'!C:C,Table28[[#This Row],[UNIDAD]]),0)</f>
        <v>0</v>
      </c>
      <c r="E3" s="225">
        <f>+VLOOKUP(Table28[[#This Row],[DESCRIPCIÓN ]],INSUMOS!A:D,3,FALSE)</f>
        <v>375.62</v>
      </c>
      <c r="F3" s="225">
        <f>+Table28[[#This Row],[CANTIDAD]]*Table28[[#This Row],[VALOR UNITARIO]]</f>
        <v>0</v>
      </c>
    </row>
    <row r="4" spans="1:6" s="193" customFormat="1" ht="28.8" hidden="1" x14ac:dyDescent="0.3">
      <c r="A4" s="193">
        <v>426</v>
      </c>
      <c r="B4" s="193" t="s">
        <v>99</v>
      </c>
      <c r="C4" s="193" t="s">
        <v>55</v>
      </c>
      <c r="D4" s="226">
        <f>+ROUNDUP(SUMIFS('MEMORIA CANTIDADES'!E:E,'MEMORIA CANTIDADES'!B:B,Table28[[#This Row],[DESCRIPCIÓN ]],'MEMORIA CANTIDADES'!C:C,Table28[[#This Row],[UNIDAD]]),0)</f>
        <v>0</v>
      </c>
      <c r="E4" s="225">
        <f>+VLOOKUP(Table28[[#This Row],[DESCRIPCIÓN ]],INSUMOS!A:D,3,FALSE)</f>
        <v>433.19</v>
      </c>
      <c r="F4" s="225">
        <f>+Table28[[#This Row],[CANTIDAD]]*Table28[[#This Row],[VALOR UNITARIO]]</f>
        <v>0</v>
      </c>
    </row>
    <row r="5" spans="1:6" s="193" customFormat="1" ht="28.8" hidden="1" x14ac:dyDescent="0.3">
      <c r="A5" s="193">
        <v>427</v>
      </c>
      <c r="B5" s="193" t="s">
        <v>100</v>
      </c>
      <c r="C5" s="193" t="s">
        <v>55</v>
      </c>
      <c r="D5" s="226">
        <f>+ROUNDUP(SUMIFS('MEMORIA CANTIDADES'!E:E,'MEMORIA CANTIDADES'!B:B,Table28[[#This Row],[DESCRIPCIÓN ]],'MEMORIA CANTIDADES'!C:C,Table28[[#This Row],[UNIDAD]]),0)</f>
        <v>0</v>
      </c>
      <c r="E5" s="225">
        <f>+VLOOKUP(Table28[[#This Row],[DESCRIPCIÓN ]],INSUMOS!A:D,3,FALSE)</f>
        <v>493.21</v>
      </c>
      <c r="F5" s="225">
        <f>+Table28[[#This Row],[CANTIDAD]]*Table28[[#This Row],[VALOR UNITARIO]]</f>
        <v>0</v>
      </c>
    </row>
    <row r="6" spans="1:6" s="193" customFormat="1" ht="28.8" hidden="1" x14ac:dyDescent="0.3">
      <c r="A6" s="193">
        <v>428</v>
      </c>
      <c r="B6" s="193" t="s">
        <v>101</v>
      </c>
      <c r="C6" s="193" t="s">
        <v>55</v>
      </c>
      <c r="D6" s="226">
        <f>+ROUNDUP(SUMIFS('MEMORIA CANTIDADES'!E:E,'MEMORIA CANTIDADES'!B:B,Table28[[#This Row],[DESCRIPCIÓN ]],'MEMORIA CANTIDADES'!C:C,Table28[[#This Row],[UNIDAD]]),0)</f>
        <v>0</v>
      </c>
      <c r="E6" s="225">
        <f>+VLOOKUP(Table28[[#This Row],[DESCRIPCIÓN ]],INSUMOS!A:D,3,FALSE)</f>
        <v>441.14</v>
      </c>
      <c r="F6" s="225">
        <f>+Table28[[#This Row],[CANTIDAD]]*Table28[[#This Row],[VALOR UNITARIO]]</f>
        <v>0</v>
      </c>
    </row>
    <row r="7" spans="1:6" s="193" customFormat="1" ht="28.8" hidden="1" x14ac:dyDescent="0.3">
      <c r="A7" s="193">
        <v>429</v>
      </c>
      <c r="B7" s="193" t="s">
        <v>102</v>
      </c>
      <c r="C7" s="193" t="s">
        <v>55</v>
      </c>
      <c r="D7" s="226">
        <f>+ROUNDUP(SUMIFS('MEMORIA CANTIDADES'!E:E,'MEMORIA CANTIDADES'!B:B,Table28[[#This Row],[DESCRIPCIÓN ]],'MEMORIA CANTIDADES'!C:C,Table28[[#This Row],[UNIDAD]]),0)</f>
        <v>0</v>
      </c>
      <c r="E7" s="225">
        <f>+VLOOKUP(Table28[[#This Row],[DESCRIPCIÓN ]],INSUMOS!A:D,3,FALSE)</f>
        <v>4989.59</v>
      </c>
      <c r="F7" s="225">
        <f>+Table28[[#This Row],[CANTIDAD]]*Table28[[#This Row],[VALOR UNITARIO]]</f>
        <v>0</v>
      </c>
    </row>
    <row r="8" spans="1:6" s="193" customFormat="1" ht="28.8" hidden="1" x14ac:dyDescent="0.3">
      <c r="A8" s="193">
        <v>430</v>
      </c>
      <c r="B8" s="193" t="s">
        <v>103</v>
      </c>
      <c r="C8" s="193" t="s">
        <v>55</v>
      </c>
      <c r="D8" s="226">
        <f>+ROUNDUP(SUMIFS('MEMORIA CANTIDADES'!E:E,'MEMORIA CANTIDADES'!B:B,Table28[[#This Row],[DESCRIPCIÓN ]],'MEMORIA CANTIDADES'!C:C,Table28[[#This Row],[UNIDAD]]),0)</f>
        <v>0</v>
      </c>
      <c r="E8" s="225">
        <f>+VLOOKUP(Table28[[#This Row],[DESCRIPCIÓN ]],INSUMOS!A:D,3,FALSE)</f>
        <v>1047.23</v>
      </c>
      <c r="F8" s="225">
        <f>+Table28[[#This Row],[CANTIDAD]]*Table28[[#This Row],[VALOR UNITARIO]]</f>
        <v>0</v>
      </c>
    </row>
    <row r="9" spans="1:6" s="193" customFormat="1" hidden="1" x14ac:dyDescent="0.3">
      <c r="A9" s="193">
        <v>1263</v>
      </c>
      <c r="B9" s="193" t="s">
        <v>104</v>
      </c>
      <c r="C9" s="193" t="s">
        <v>2238</v>
      </c>
      <c r="D9" s="226">
        <f>+ROUNDUP(SUMIFS('MEMORIA CANTIDADES'!E:E,'MEMORIA CANTIDADES'!B:B,Table28[[#This Row],[DESCRIPCIÓN ]],'MEMORIA CANTIDADES'!C:C,Table28[[#This Row],[UNIDAD]]),0)</f>
        <v>0</v>
      </c>
      <c r="E9" s="225">
        <f>+VLOOKUP(Table28[[#This Row],[DESCRIPCIÓN ]],INSUMOS!A:D,3,FALSE)</f>
        <v>137101.26999999999</v>
      </c>
      <c r="F9" s="225">
        <f>+Table28[[#This Row],[CANTIDAD]]*Table28[[#This Row],[VALOR UNITARIO]]</f>
        <v>0</v>
      </c>
    </row>
    <row r="10" spans="1:6" s="193" customFormat="1" hidden="1" x14ac:dyDescent="0.3">
      <c r="A10" s="193">
        <v>1264</v>
      </c>
      <c r="B10" s="193" t="s">
        <v>78</v>
      </c>
      <c r="C10" s="193" t="s">
        <v>2238</v>
      </c>
      <c r="D10" s="226">
        <f>+ROUNDUP(SUMIFS('MEMORIA CANTIDADES'!E:E,'MEMORIA CANTIDADES'!B:B,Table28[[#This Row],[DESCRIPCIÓN ]],'MEMORIA CANTIDADES'!C:C,Table28[[#This Row],[UNIDAD]]),0)</f>
        <v>0</v>
      </c>
      <c r="E10" s="225">
        <f>+VLOOKUP(Table28[[#This Row],[DESCRIPCIÓN ]],INSUMOS!A:D,3,FALSE)</f>
        <v>177995.36</v>
      </c>
      <c r="F10" s="225">
        <f>+Table28[[#This Row],[CANTIDAD]]*Table28[[#This Row],[VALOR UNITARIO]]</f>
        <v>0</v>
      </c>
    </row>
    <row r="11" spans="1:6" s="193" customFormat="1" hidden="1" x14ac:dyDescent="0.3">
      <c r="A11" s="193">
        <v>1266</v>
      </c>
      <c r="B11" s="193" t="s">
        <v>105</v>
      </c>
      <c r="C11" s="193" t="s">
        <v>2238</v>
      </c>
      <c r="D11" s="226">
        <f>+ROUNDUP(SUMIFS('MEMORIA CANTIDADES'!E:E,'MEMORIA CANTIDADES'!B:B,Table28[[#This Row],[DESCRIPCIÓN ]],'MEMORIA CANTIDADES'!C:C,Table28[[#This Row],[UNIDAD]]),0)</f>
        <v>0</v>
      </c>
      <c r="E11" s="225">
        <f>+VLOOKUP(Table28[[#This Row],[DESCRIPCIÓN ]],INSUMOS!A:D,3,FALSE)</f>
        <v>66414.84</v>
      </c>
      <c r="F11" s="225">
        <f>+Table28[[#This Row],[CANTIDAD]]*Table28[[#This Row],[VALOR UNITARIO]]</f>
        <v>0</v>
      </c>
    </row>
    <row r="12" spans="1:6" s="193" customFormat="1" x14ac:dyDescent="0.3">
      <c r="A12" s="193">
        <v>20</v>
      </c>
      <c r="B12" s="193" t="s">
        <v>2368</v>
      </c>
      <c r="C12" s="193" t="s">
        <v>1270</v>
      </c>
      <c r="D12" s="226">
        <f>+ROUNDUP(SUMIFS('MEMORIA CANTIDADES'!E:E,'MEMORIA CANTIDADES'!B:B,Table28[[#This Row],[DESCRIPCIÓN ]],'MEMORIA CANTIDADES'!C:C,Table28[[#This Row],[UNIDAD]]),0)</f>
        <v>222</v>
      </c>
      <c r="E12" s="225">
        <f>+VLOOKUP(Table28[[#This Row],[DESCRIPCIÓN ]],INSUMOS!A:D,3,FALSE)</f>
        <v>14658.95</v>
      </c>
      <c r="F12" s="225">
        <f>+Table28[[#This Row],[CANTIDAD]]*Table28[[#This Row],[VALOR UNITARIO]]</f>
        <v>3254286.9000000004</v>
      </c>
    </row>
    <row r="13" spans="1:6" s="193" customFormat="1" ht="28.8" hidden="1" x14ac:dyDescent="0.3">
      <c r="A13" s="193">
        <v>39</v>
      </c>
      <c r="B13" s="193" t="s">
        <v>2157</v>
      </c>
      <c r="C13" s="193" t="s">
        <v>55</v>
      </c>
      <c r="D13" s="226">
        <f>+ROUNDUP(SUMIFS('MEMORIA CANTIDADES'!E:E,'MEMORIA CANTIDADES'!B:B,Table28[[#This Row],[DESCRIPCIÓN ]],'MEMORIA CANTIDADES'!C:C,Table28[[#This Row],[UNIDAD]]),0)</f>
        <v>0</v>
      </c>
      <c r="E13" s="225">
        <f>+VLOOKUP(Table28[[#This Row],[DESCRIPCIÓN ]],INSUMOS!A:D,3,FALSE)</f>
        <v>9699.67</v>
      </c>
      <c r="F13" s="225">
        <f>+Table28[[#This Row],[CANTIDAD]]*Table28[[#This Row],[VALOR UNITARIO]]</f>
        <v>0</v>
      </c>
    </row>
    <row r="14" spans="1:6" s="193" customFormat="1" ht="28.8" hidden="1" x14ac:dyDescent="0.3">
      <c r="A14" s="193">
        <v>40</v>
      </c>
      <c r="B14" s="193" t="s">
        <v>107</v>
      </c>
      <c r="C14" s="193" t="s">
        <v>55</v>
      </c>
      <c r="D14" s="226">
        <f>+ROUNDUP(SUMIFS('MEMORIA CANTIDADES'!E:E,'MEMORIA CANTIDADES'!B:B,Table28[[#This Row],[DESCRIPCIÓN ]],'MEMORIA CANTIDADES'!C:C,Table28[[#This Row],[UNIDAD]]),0)</f>
        <v>0</v>
      </c>
      <c r="E14" s="225">
        <f>+VLOOKUP(Table28[[#This Row],[DESCRIPCIÓN ]],INSUMOS!A:D,3,FALSE)</f>
        <v>124123.36</v>
      </c>
      <c r="F14" s="225">
        <f>+Table28[[#This Row],[CANTIDAD]]*Table28[[#This Row],[VALOR UNITARIO]]</f>
        <v>0</v>
      </c>
    </row>
    <row r="15" spans="1:6" s="193" customFormat="1" ht="28.8" hidden="1" x14ac:dyDescent="0.3">
      <c r="A15" s="193">
        <v>41</v>
      </c>
      <c r="B15" s="193" t="s">
        <v>108</v>
      </c>
      <c r="C15" s="193" t="s">
        <v>55</v>
      </c>
      <c r="D15" s="226">
        <f>+ROUNDUP(SUMIFS('MEMORIA CANTIDADES'!E:E,'MEMORIA CANTIDADES'!B:B,Table28[[#This Row],[DESCRIPCIÓN ]],'MEMORIA CANTIDADES'!C:C,Table28[[#This Row],[UNIDAD]]),0)</f>
        <v>0</v>
      </c>
      <c r="E15" s="225">
        <f>+VLOOKUP(Table28[[#This Row],[DESCRIPCIÓN ]],INSUMOS!A:D,3,FALSE)</f>
        <v>71563.990000000005</v>
      </c>
      <c r="F15" s="225">
        <f>+Table28[[#This Row],[CANTIDAD]]*Table28[[#This Row],[VALOR UNITARIO]]</f>
        <v>0</v>
      </c>
    </row>
    <row r="16" spans="1:6" s="193" customFormat="1" ht="28.8" x14ac:dyDescent="0.3">
      <c r="A16" s="193">
        <v>38</v>
      </c>
      <c r="B16" s="193" t="s">
        <v>106</v>
      </c>
      <c r="C16" s="193" t="s">
        <v>55</v>
      </c>
      <c r="D16" s="226">
        <f>+ROUNDUP(SUMIFS('MEMORIA CANTIDADES'!E:E,'MEMORIA CANTIDADES'!B:B,Table28[[#This Row],[DESCRIPCIÓN ]],'MEMORIA CANTIDADES'!C:C,Table28[[#This Row],[UNIDAD]]),0)</f>
        <v>18</v>
      </c>
      <c r="E16" s="225">
        <f>+VLOOKUP(Table28[[#This Row],[DESCRIPCIÓN ]],INSUMOS!A:D,3,FALSE)</f>
        <v>39832.25</v>
      </c>
      <c r="F16" s="225">
        <f>+Table28[[#This Row],[CANTIDAD]]*Table28[[#This Row],[VALOR UNITARIO]]</f>
        <v>716980.5</v>
      </c>
    </row>
    <row r="17" spans="1:6" s="193" customFormat="1" ht="28.8" hidden="1" x14ac:dyDescent="0.3">
      <c r="A17" s="193">
        <v>43</v>
      </c>
      <c r="B17" s="193" t="s">
        <v>109</v>
      </c>
      <c r="C17" s="193" t="s">
        <v>55</v>
      </c>
      <c r="D17" s="226">
        <f>+ROUNDUP(SUMIFS('MEMORIA CANTIDADES'!E:E,'MEMORIA CANTIDADES'!B:B,Table28[[#This Row],[DESCRIPCIÓN ]],'MEMORIA CANTIDADES'!C:C,Table28[[#This Row],[UNIDAD]]),0)</f>
        <v>0</v>
      </c>
      <c r="E17" s="225">
        <f>+VLOOKUP(Table28[[#This Row],[DESCRIPCIÓN ]],INSUMOS!A:D,3,FALSE)</f>
        <v>50079.839999999997</v>
      </c>
      <c r="F17" s="225">
        <f>+Table28[[#This Row],[CANTIDAD]]*Table28[[#This Row],[VALOR UNITARIO]]</f>
        <v>0</v>
      </c>
    </row>
    <row r="18" spans="1:6" s="193" customFormat="1" ht="28.8" hidden="1" x14ac:dyDescent="0.3">
      <c r="A18" s="193">
        <v>44</v>
      </c>
      <c r="B18" s="193" t="s">
        <v>2159</v>
      </c>
      <c r="C18" s="193" t="s">
        <v>55</v>
      </c>
      <c r="D18" s="226">
        <f>+ROUNDUP(SUMIFS('MEMORIA CANTIDADES'!E:E,'MEMORIA CANTIDADES'!B:B,Table28[[#This Row],[DESCRIPCIÓN ]],'MEMORIA CANTIDADES'!C:C,Table28[[#This Row],[UNIDAD]]),0)</f>
        <v>0</v>
      </c>
      <c r="E18" s="225">
        <f>+VLOOKUP(Table28[[#This Row],[DESCRIPCIÓN ]],INSUMOS!A:D,3,FALSE)</f>
        <v>97426.89</v>
      </c>
      <c r="F18" s="225">
        <f>+Table28[[#This Row],[CANTIDAD]]*Table28[[#This Row],[VALOR UNITARIO]]</f>
        <v>0</v>
      </c>
    </row>
    <row r="19" spans="1:6" s="193" customFormat="1" ht="28.8" hidden="1" x14ac:dyDescent="0.3">
      <c r="A19" s="193">
        <v>904</v>
      </c>
      <c r="B19" s="193" t="s">
        <v>110</v>
      </c>
      <c r="C19" s="193" t="s">
        <v>55</v>
      </c>
      <c r="D19" s="226">
        <f>+ROUNDUP(SUMIFS('MEMORIA CANTIDADES'!E:E,'MEMORIA CANTIDADES'!B:B,Table28[[#This Row],[DESCRIPCIÓN ]],'MEMORIA CANTIDADES'!C:C,Table28[[#This Row],[UNIDAD]]),0)</f>
        <v>0</v>
      </c>
      <c r="E19" s="225">
        <f>+VLOOKUP(Table28[[#This Row],[DESCRIPCIÓN ]],INSUMOS!A:D,3,FALSE)</f>
        <v>29747.61</v>
      </c>
      <c r="F19" s="225">
        <f>+Table28[[#This Row],[CANTIDAD]]*Table28[[#This Row],[VALOR UNITARIO]]</f>
        <v>0</v>
      </c>
    </row>
    <row r="20" spans="1:6" s="193" customFormat="1" ht="28.8" hidden="1" x14ac:dyDescent="0.3">
      <c r="A20" s="193">
        <v>905</v>
      </c>
      <c r="B20" s="193" t="s">
        <v>111</v>
      </c>
      <c r="C20" s="193" t="s">
        <v>55</v>
      </c>
      <c r="D20" s="226">
        <f>+ROUNDUP(SUMIFS('MEMORIA CANTIDADES'!E:E,'MEMORIA CANTIDADES'!B:B,Table28[[#This Row],[DESCRIPCIÓN ]],'MEMORIA CANTIDADES'!C:C,Table28[[#This Row],[UNIDAD]]),0)</f>
        <v>0</v>
      </c>
      <c r="E20" s="225">
        <f>+VLOOKUP(Table28[[#This Row],[DESCRIPCIÓN ]],INSUMOS!A:D,3,FALSE)</f>
        <v>33030.800000000003</v>
      </c>
      <c r="F20" s="225">
        <f>+Table28[[#This Row],[CANTIDAD]]*Table28[[#This Row],[VALOR UNITARIO]]</f>
        <v>0</v>
      </c>
    </row>
    <row r="21" spans="1:6" s="193" customFormat="1" ht="28.8" hidden="1" x14ac:dyDescent="0.3">
      <c r="A21" s="193">
        <v>906</v>
      </c>
      <c r="B21" s="193" t="s">
        <v>112</v>
      </c>
      <c r="C21" s="193" t="s">
        <v>55</v>
      </c>
      <c r="D21" s="226">
        <f>+ROUNDUP(SUMIFS('MEMORIA CANTIDADES'!E:E,'MEMORIA CANTIDADES'!B:B,Table28[[#This Row],[DESCRIPCIÓN ]],'MEMORIA CANTIDADES'!C:C,Table28[[#This Row],[UNIDAD]]),0)</f>
        <v>0</v>
      </c>
      <c r="E21" s="225">
        <f>+VLOOKUP(Table28[[#This Row],[DESCRIPCIÓN ]],INSUMOS!A:D,3,FALSE)</f>
        <v>36335.599999999999</v>
      </c>
      <c r="F21" s="225">
        <f>+Table28[[#This Row],[CANTIDAD]]*Table28[[#This Row],[VALOR UNITARIO]]</f>
        <v>0</v>
      </c>
    </row>
    <row r="22" spans="1:6" s="193" customFormat="1" ht="28.8" hidden="1" x14ac:dyDescent="0.3">
      <c r="A22" s="193">
        <v>907</v>
      </c>
      <c r="B22" s="193" t="s">
        <v>113</v>
      </c>
      <c r="C22" s="193" t="s">
        <v>55</v>
      </c>
      <c r="D22" s="226">
        <f>+ROUNDUP(SUMIFS('MEMORIA CANTIDADES'!E:E,'MEMORIA CANTIDADES'!B:B,Table28[[#This Row],[DESCRIPCIÓN ]],'MEMORIA CANTIDADES'!C:C,Table28[[#This Row],[UNIDAD]]),0)</f>
        <v>0</v>
      </c>
      <c r="E22" s="225">
        <f>+VLOOKUP(Table28[[#This Row],[DESCRIPCIÓN ]],INSUMOS!A:D,3,FALSE)</f>
        <v>5541.99</v>
      </c>
      <c r="F22" s="225">
        <f>+Table28[[#This Row],[CANTIDAD]]*Table28[[#This Row],[VALOR UNITARIO]]</f>
        <v>0</v>
      </c>
    </row>
    <row r="23" spans="1:6" s="193" customFormat="1" ht="28.8" hidden="1" x14ac:dyDescent="0.3">
      <c r="A23" s="193">
        <v>908</v>
      </c>
      <c r="B23" s="193" t="s">
        <v>114</v>
      </c>
      <c r="C23" s="193" t="s">
        <v>55</v>
      </c>
      <c r="D23" s="226">
        <f>+ROUNDUP(SUMIFS('MEMORIA CANTIDADES'!E:E,'MEMORIA CANTIDADES'!B:B,Table28[[#This Row],[DESCRIPCIÓN ]],'MEMORIA CANTIDADES'!C:C,Table28[[#This Row],[UNIDAD]]),0)</f>
        <v>0</v>
      </c>
      <c r="E23" s="225">
        <f>+VLOOKUP(Table28[[#This Row],[DESCRIPCIÓN ]],INSUMOS!A:D,3,FALSE)</f>
        <v>32407.89</v>
      </c>
      <c r="F23" s="225">
        <f>+Table28[[#This Row],[CANTIDAD]]*Table28[[#This Row],[VALOR UNITARIO]]</f>
        <v>0</v>
      </c>
    </row>
    <row r="24" spans="1:6" s="193" customFormat="1" ht="28.8" hidden="1" x14ac:dyDescent="0.3">
      <c r="A24" s="193">
        <v>909</v>
      </c>
      <c r="B24" s="193" t="s">
        <v>115</v>
      </c>
      <c r="C24" s="193" t="s">
        <v>55</v>
      </c>
      <c r="D24" s="226">
        <f>+ROUNDUP(SUMIFS('MEMORIA CANTIDADES'!E:E,'MEMORIA CANTIDADES'!B:B,Table28[[#This Row],[DESCRIPCIÓN ]],'MEMORIA CANTIDADES'!C:C,Table28[[#This Row],[UNIDAD]]),0)</f>
        <v>0</v>
      </c>
      <c r="E24" s="225">
        <f>+VLOOKUP(Table28[[#This Row],[DESCRIPCIÓN ]],INSUMOS!A:D,3,FALSE)</f>
        <v>34426.660000000003</v>
      </c>
      <c r="F24" s="225">
        <f>+Table28[[#This Row],[CANTIDAD]]*Table28[[#This Row],[VALOR UNITARIO]]</f>
        <v>0</v>
      </c>
    </row>
    <row r="25" spans="1:6" s="193" customFormat="1" ht="28.8" hidden="1" x14ac:dyDescent="0.3">
      <c r="A25" s="193">
        <v>910</v>
      </c>
      <c r="B25" s="193" t="s">
        <v>116</v>
      </c>
      <c r="C25" s="193" t="s">
        <v>55</v>
      </c>
      <c r="D25" s="226">
        <f>+ROUNDUP(SUMIFS('MEMORIA CANTIDADES'!E:E,'MEMORIA CANTIDADES'!B:B,Table28[[#This Row],[DESCRIPCIÓN ]],'MEMORIA CANTIDADES'!C:C,Table28[[#This Row],[UNIDAD]]),0)</f>
        <v>0</v>
      </c>
      <c r="E25" s="225" t="e">
        <f>+VLOOKUP(Table28[[#This Row],[DESCRIPCIÓN ]],INSUMOS!A:D,3,FALSE)</f>
        <v>#N/A</v>
      </c>
      <c r="F25" s="225" t="e">
        <f>+Table28[[#This Row],[CANTIDAD]]*Table28[[#This Row],[VALOR UNITARIO]]</f>
        <v>#N/A</v>
      </c>
    </row>
    <row r="26" spans="1:6" s="193" customFormat="1" ht="28.8" hidden="1" x14ac:dyDescent="0.3">
      <c r="A26" s="193">
        <v>911</v>
      </c>
      <c r="B26" s="193" t="s">
        <v>2223</v>
      </c>
      <c r="C26" s="193" t="s">
        <v>55</v>
      </c>
      <c r="D26" s="226">
        <f>+ROUNDUP(SUMIFS('MEMORIA CANTIDADES'!E:E,'MEMORIA CANTIDADES'!B:B,Table28[[#This Row],[DESCRIPCIÓN ]],'MEMORIA CANTIDADES'!C:C,Table28[[#This Row],[UNIDAD]]),0)</f>
        <v>0</v>
      </c>
      <c r="E26" s="225">
        <f>+VLOOKUP(Table28[[#This Row],[DESCRIPCIÓN ]],INSUMOS!A:D,3,FALSE)</f>
        <v>6132.87</v>
      </c>
      <c r="F26" s="225">
        <f>+Table28[[#This Row],[CANTIDAD]]*Table28[[#This Row],[VALOR UNITARIO]]</f>
        <v>0</v>
      </c>
    </row>
    <row r="27" spans="1:6" s="193" customFormat="1" ht="28.8" hidden="1" x14ac:dyDescent="0.3">
      <c r="A27" s="193">
        <v>912</v>
      </c>
      <c r="B27" s="193" t="s">
        <v>117</v>
      </c>
      <c r="C27" s="193" t="s">
        <v>55</v>
      </c>
      <c r="D27" s="226">
        <f>+ROUNDUP(SUMIFS('MEMORIA CANTIDADES'!E:E,'MEMORIA CANTIDADES'!B:B,Table28[[#This Row],[DESCRIPCIÓN ]],'MEMORIA CANTIDADES'!C:C,Table28[[#This Row],[UNIDAD]]),0)</f>
        <v>0</v>
      </c>
      <c r="E27" s="225">
        <f>+VLOOKUP(Table28[[#This Row],[DESCRIPCIÓN ]],INSUMOS!A:D,3,FALSE)</f>
        <v>6075</v>
      </c>
      <c r="F27" s="225">
        <f>+Table28[[#This Row],[CANTIDAD]]*Table28[[#This Row],[VALOR UNITARIO]]</f>
        <v>0</v>
      </c>
    </row>
    <row r="28" spans="1:6" s="193" customFormat="1" hidden="1" x14ac:dyDescent="0.3">
      <c r="A28" s="193">
        <v>913</v>
      </c>
      <c r="B28" s="193" t="s">
        <v>118</v>
      </c>
      <c r="C28" s="193" t="s">
        <v>55</v>
      </c>
      <c r="D28" s="226">
        <f>+ROUNDUP(SUMIFS('MEMORIA CANTIDADES'!E:E,'MEMORIA CANTIDADES'!B:B,Table28[[#This Row],[DESCRIPCIÓN ]],'MEMORIA CANTIDADES'!C:C,Table28[[#This Row],[UNIDAD]]),0)</f>
        <v>0</v>
      </c>
      <c r="E28" s="225">
        <f>+VLOOKUP(Table28[[#This Row],[DESCRIPCIÓN ]],INSUMOS!A:D,3,FALSE)</f>
        <v>34113.54</v>
      </c>
      <c r="F28" s="225">
        <f>+Table28[[#This Row],[CANTIDAD]]*Table28[[#This Row],[VALOR UNITARIO]]</f>
        <v>0</v>
      </c>
    </row>
    <row r="29" spans="1:6" s="193" customFormat="1" hidden="1" x14ac:dyDescent="0.3">
      <c r="A29" s="193">
        <v>914</v>
      </c>
      <c r="B29" s="193" t="s">
        <v>119</v>
      </c>
      <c r="C29" s="193" t="s">
        <v>55</v>
      </c>
      <c r="D29" s="226">
        <f>+ROUNDUP(SUMIFS('MEMORIA CANTIDADES'!E:E,'MEMORIA CANTIDADES'!B:B,Table28[[#This Row],[DESCRIPCIÓN ]],'MEMORIA CANTIDADES'!C:C,Table28[[#This Row],[UNIDAD]]),0)</f>
        <v>0</v>
      </c>
      <c r="E29" s="225">
        <f>+VLOOKUP(Table28[[#This Row],[DESCRIPCIÓN ]],INSUMOS!A:D,3,FALSE)</f>
        <v>35758.43</v>
      </c>
      <c r="F29" s="225">
        <f>+Table28[[#This Row],[CANTIDAD]]*Table28[[#This Row],[VALOR UNITARIO]]</f>
        <v>0</v>
      </c>
    </row>
    <row r="30" spans="1:6" s="193" customFormat="1" hidden="1" x14ac:dyDescent="0.3">
      <c r="A30" s="193">
        <v>915</v>
      </c>
      <c r="B30" s="193" t="s">
        <v>120</v>
      </c>
      <c r="C30" s="193" t="s">
        <v>55</v>
      </c>
      <c r="D30" s="226">
        <f>+ROUNDUP(SUMIFS('MEMORIA CANTIDADES'!E:E,'MEMORIA CANTIDADES'!B:B,Table28[[#This Row],[DESCRIPCIÓN ]],'MEMORIA CANTIDADES'!C:C,Table28[[#This Row],[UNIDAD]]),0)</f>
        <v>0</v>
      </c>
      <c r="E30" s="225">
        <f>+VLOOKUP(Table28[[#This Row],[DESCRIPCIÓN ]],INSUMOS!A:D,3,FALSE)</f>
        <v>43567.6</v>
      </c>
      <c r="F30" s="225">
        <f>+Table28[[#This Row],[CANTIDAD]]*Table28[[#This Row],[VALOR UNITARIO]]</f>
        <v>0</v>
      </c>
    </row>
    <row r="31" spans="1:6" s="193" customFormat="1" hidden="1" x14ac:dyDescent="0.3">
      <c r="A31" s="193">
        <v>916</v>
      </c>
      <c r="B31" s="193" t="s">
        <v>121</v>
      </c>
      <c r="C31" s="193" t="s">
        <v>55</v>
      </c>
      <c r="D31" s="226">
        <f>+ROUNDUP(SUMIFS('MEMORIA CANTIDADES'!E:E,'MEMORIA CANTIDADES'!B:B,Table28[[#This Row],[DESCRIPCIÓN ]],'MEMORIA CANTIDADES'!C:C,Table28[[#This Row],[UNIDAD]]),0)</f>
        <v>0</v>
      </c>
      <c r="E31" s="225">
        <f>+VLOOKUP(Table28[[#This Row],[DESCRIPCIÓN ]],INSUMOS!A:D,3,FALSE)</f>
        <v>92656.27</v>
      </c>
      <c r="F31" s="225">
        <f>+Table28[[#This Row],[CANTIDAD]]*Table28[[#This Row],[VALOR UNITARIO]]</f>
        <v>0</v>
      </c>
    </row>
    <row r="32" spans="1:6" s="193" customFormat="1" hidden="1" x14ac:dyDescent="0.3">
      <c r="A32" s="193">
        <v>152</v>
      </c>
      <c r="B32" s="193" t="s">
        <v>122</v>
      </c>
      <c r="C32" s="193" t="s">
        <v>55</v>
      </c>
      <c r="D32" s="226">
        <f>+ROUNDUP(SUMIFS('MEMORIA CANTIDADES'!E:E,'MEMORIA CANTIDADES'!B:B,Table28[[#This Row],[DESCRIPCIÓN ]],'MEMORIA CANTIDADES'!C:C,Table28[[#This Row],[UNIDAD]]),0)</f>
        <v>0</v>
      </c>
      <c r="E32" s="225">
        <f>+VLOOKUP(Table28[[#This Row],[DESCRIPCIÓN ]],INSUMOS!A:D,3,FALSE)</f>
        <v>12614.15</v>
      </c>
      <c r="F32" s="225">
        <f>+Table28[[#This Row],[CANTIDAD]]*Table28[[#This Row],[VALOR UNITARIO]]</f>
        <v>0</v>
      </c>
    </row>
    <row r="33" spans="1:6" s="193" customFormat="1" hidden="1" x14ac:dyDescent="0.3">
      <c r="A33" s="193">
        <v>153</v>
      </c>
      <c r="B33" s="193" t="s">
        <v>123</v>
      </c>
      <c r="C33" s="193" t="s">
        <v>55</v>
      </c>
      <c r="D33" s="226">
        <f>+ROUNDUP(SUMIFS('MEMORIA CANTIDADES'!E:E,'MEMORIA CANTIDADES'!B:B,Table28[[#This Row],[DESCRIPCIÓN ]],'MEMORIA CANTIDADES'!C:C,Table28[[#This Row],[UNIDAD]]),0)</f>
        <v>0</v>
      </c>
      <c r="E33" s="225">
        <f>+VLOOKUP(Table28[[#This Row],[DESCRIPCIÓN ]],INSUMOS!A:D,3,FALSE)</f>
        <v>21266.49</v>
      </c>
      <c r="F33" s="225">
        <f>+Table28[[#This Row],[CANTIDAD]]*Table28[[#This Row],[VALOR UNITARIO]]</f>
        <v>0</v>
      </c>
    </row>
    <row r="34" spans="1:6" s="193" customFormat="1" ht="28.8" hidden="1" x14ac:dyDescent="0.3">
      <c r="A34" s="193">
        <v>917</v>
      </c>
      <c r="B34" s="193" t="s">
        <v>124</v>
      </c>
      <c r="C34" s="193" t="s">
        <v>55</v>
      </c>
      <c r="D34" s="226">
        <f>+ROUNDUP(SUMIFS('MEMORIA CANTIDADES'!E:E,'MEMORIA CANTIDADES'!B:B,Table28[[#This Row],[DESCRIPCIÓN ]],'MEMORIA CANTIDADES'!C:C,Table28[[#This Row],[UNIDAD]]),0)</f>
        <v>0</v>
      </c>
      <c r="E34" s="225">
        <f>+VLOOKUP(Table28[[#This Row],[DESCRIPCIÓN ]],INSUMOS!A:D,3,FALSE)</f>
        <v>5430.79</v>
      </c>
      <c r="F34" s="225">
        <f>+Table28[[#This Row],[CANTIDAD]]*Table28[[#This Row],[VALOR UNITARIO]]</f>
        <v>0</v>
      </c>
    </row>
    <row r="35" spans="1:6" s="193" customFormat="1" hidden="1" x14ac:dyDescent="0.3">
      <c r="A35" s="193">
        <v>154</v>
      </c>
      <c r="B35" s="193" t="s">
        <v>125</v>
      </c>
      <c r="C35" s="193" t="s">
        <v>55</v>
      </c>
      <c r="D35" s="226">
        <f>+ROUNDUP(SUMIFS('MEMORIA CANTIDADES'!E:E,'MEMORIA CANTIDADES'!B:B,Table28[[#This Row],[DESCRIPCIÓN ]],'MEMORIA CANTIDADES'!C:C,Table28[[#This Row],[UNIDAD]]),0)</f>
        <v>0</v>
      </c>
      <c r="E35" s="225">
        <f>+VLOOKUP(Table28[[#This Row],[DESCRIPCIÓN ]],INSUMOS!A:D,3,FALSE)</f>
        <v>17960.52</v>
      </c>
      <c r="F35" s="225">
        <f>+Table28[[#This Row],[CANTIDAD]]*Table28[[#This Row],[VALOR UNITARIO]]</f>
        <v>0</v>
      </c>
    </row>
    <row r="36" spans="1:6" s="193" customFormat="1" ht="28.8" hidden="1" x14ac:dyDescent="0.3">
      <c r="A36" s="193">
        <v>918</v>
      </c>
      <c r="B36" s="193" t="s">
        <v>126</v>
      </c>
      <c r="C36" s="193" t="s">
        <v>55</v>
      </c>
      <c r="D36" s="226">
        <f>+ROUNDUP(SUMIFS('MEMORIA CANTIDADES'!E:E,'MEMORIA CANTIDADES'!B:B,Table28[[#This Row],[DESCRIPCIÓN ]],'MEMORIA CANTIDADES'!C:C,Table28[[#This Row],[UNIDAD]]),0)</f>
        <v>0</v>
      </c>
      <c r="E36" s="225">
        <f>+VLOOKUP(Table28[[#This Row],[DESCRIPCIÓN ]],INSUMOS!A:D,3,FALSE)</f>
        <v>8562.68</v>
      </c>
      <c r="F36" s="225">
        <f>+Table28[[#This Row],[CANTIDAD]]*Table28[[#This Row],[VALOR UNITARIO]]</f>
        <v>0</v>
      </c>
    </row>
    <row r="37" spans="1:6" s="193" customFormat="1" ht="28.8" hidden="1" x14ac:dyDescent="0.3">
      <c r="A37" s="193">
        <v>919</v>
      </c>
      <c r="B37" s="193" t="s">
        <v>127</v>
      </c>
      <c r="C37" s="193" t="s">
        <v>55</v>
      </c>
      <c r="D37" s="226">
        <f>+ROUNDUP(SUMIFS('MEMORIA CANTIDADES'!E:E,'MEMORIA CANTIDADES'!B:B,Table28[[#This Row],[DESCRIPCIÓN ]],'MEMORIA CANTIDADES'!C:C,Table28[[#This Row],[UNIDAD]]),0)</f>
        <v>0</v>
      </c>
      <c r="E37" s="225">
        <f>+VLOOKUP(Table28[[#This Row],[DESCRIPCIÓN ]],INSUMOS!A:D,3,FALSE)</f>
        <v>18834.47</v>
      </c>
      <c r="F37" s="225">
        <f>+Table28[[#This Row],[CANTIDAD]]*Table28[[#This Row],[VALOR UNITARIO]]</f>
        <v>0</v>
      </c>
    </row>
    <row r="38" spans="1:6" s="193" customFormat="1" ht="28.8" hidden="1" x14ac:dyDescent="0.3">
      <c r="A38" s="193">
        <v>920</v>
      </c>
      <c r="B38" s="193" t="s">
        <v>128</v>
      </c>
      <c r="C38" s="193" t="s">
        <v>55</v>
      </c>
      <c r="D38" s="226">
        <f>+ROUNDUP(SUMIFS('MEMORIA CANTIDADES'!E:E,'MEMORIA CANTIDADES'!B:B,Table28[[#This Row],[DESCRIPCIÓN ]],'MEMORIA CANTIDADES'!C:C,Table28[[#This Row],[UNIDAD]]),0)</f>
        <v>0</v>
      </c>
      <c r="E38" s="225">
        <f>+VLOOKUP(Table28[[#This Row],[DESCRIPCIÓN ]],INSUMOS!A:D,3,FALSE)</f>
        <v>28769.4</v>
      </c>
      <c r="F38" s="225">
        <f>+Table28[[#This Row],[CANTIDAD]]*Table28[[#This Row],[VALOR UNITARIO]]</f>
        <v>0</v>
      </c>
    </row>
    <row r="39" spans="1:6" s="193" customFormat="1" ht="28.8" hidden="1" x14ac:dyDescent="0.3">
      <c r="A39" s="193">
        <v>921</v>
      </c>
      <c r="B39" s="193" t="s">
        <v>129</v>
      </c>
      <c r="C39" s="193" t="s">
        <v>55</v>
      </c>
      <c r="D39" s="226">
        <f>+ROUNDUP(SUMIFS('MEMORIA CANTIDADES'!E:E,'MEMORIA CANTIDADES'!B:B,Table28[[#This Row],[DESCRIPCIÓN ]],'MEMORIA CANTIDADES'!C:C,Table28[[#This Row],[UNIDAD]]),0)</f>
        <v>0</v>
      </c>
      <c r="E39" s="225">
        <f>+VLOOKUP(Table28[[#This Row],[DESCRIPCIÓN ]],INSUMOS!A:D,3,FALSE)</f>
        <v>80604</v>
      </c>
      <c r="F39" s="225">
        <f>+Table28[[#This Row],[CANTIDAD]]*Table28[[#This Row],[VALOR UNITARIO]]</f>
        <v>0</v>
      </c>
    </row>
    <row r="40" spans="1:6" s="193" customFormat="1" ht="28.8" hidden="1" x14ac:dyDescent="0.3">
      <c r="A40" s="193">
        <v>922</v>
      </c>
      <c r="B40" s="193" t="s">
        <v>130</v>
      </c>
      <c r="C40" s="193" t="s">
        <v>55</v>
      </c>
      <c r="D40" s="226">
        <f>+ROUNDUP(SUMIFS('MEMORIA CANTIDADES'!E:E,'MEMORIA CANTIDADES'!B:B,Table28[[#This Row],[DESCRIPCIÓN ]],'MEMORIA CANTIDADES'!C:C,Table28[[#This Row],[UNIDAD]]),0)</f>
        <v>0</v>
      </c>
      <c r="E40" s="225">
        <f>+VLOOKUP(Table28[[#This Row],[DESCRIPCIÓN ]],INSUMOS!A:D,3,FALSE)</f>
        <v>8093.05</v>
      </c>
      <c r="F40" s="225">
        <f>+Table28[[#This Row],[CANTIDAD]]*Table28[[#This Row],[VALOR UNITARIO]]</f>
        <v>0</v>
      </c>
    </row>
    <row r="41" spans="1:6" s="193" customFormat="1" ht="28.8" hidden="1" x14ac:dyDescent="0.3">
      <c r="A41" s="193">
        <v>923</v>
      </c>
      <c r="B41" s="193" t="s">
        <v>131</v>
      </c>
      <c r="C41" s="193" t="s">
        <v>55</v>
      </c>
      <c r="D41" s="226">
        <f>+ROUNDUP(SUMIFS('MEMORIA CANTIDADES'!E:E,'MEMORIA CANTIDADES'!B:B,Table28[[#This Row],[DESCRIPCIÓN ]],'MEMORIA CANTIDADES'!C:C,Table28[[#This Row],[UNIDAD]]),0)</f>
        <v>0</v>
      </c>
      <c r="E41" s="225">
        <f>+VLOOKUP(Table28[[#This Row],[DESCRIPCIÓN ]],INSUMOS!A:D,3,FALSE)</f>
        <v>5117.7</v>
      </c>
      <c r="F41" s="225">
        <f>+Table28[[#This Row],[CANTIDAD]]*Table28[[#This Row],[VALOR UNITARIO]]</f>
        <v>0</v>
      </c>
    </row>
    <row r="42" spans="1:6" s="193" customFormat="1" ht="28.8" hidden="1" x14ac:dyDescent="0.3">
      <c r="A42" s="193">
        <v>924</v>
      </c>
      <c r="B42" s="193" t="s">
        <v>132</v>
      </c>
      <c r="C42" s="193" t="s">
        <v>55</v>
      </c>
      <c r="D42" s="226">
        <f>+ROUNDUP(SUMIFS('MEMORIA CANTIDADES'!E:E,'MEMORIA CANTIDADES'!B:B,Table28[[#This Row],[DESCRIPCIÓN ]],'MEMORIA CANTIDADES'!C:C,Table28[[#This Row],[UNIDAD]]),0)</f>
        <v>0</v>
      </c>
      <c r="E42" s="225">
        <f>+VLOOKUP(Table28[[#This Row],[DESCRIPCIÓN ]],INSUMOS!A:D,3,FALSE)</f>
        <v>3194.98</v>
      </c>
      <c r="F42" s="225">
        <f>+Table28[[#This Row],[CANTIDAD]]*Table28[[#This Row],[VALOR UNITARIO]]</f>
        <v>0</v>
      </c>
    </row>
    <row r="43" spans="1:6" s="193" customFormat="1" ht="28.8" hidden="1" x14ac:dyDescent="0.3">
      <c r="A43" s="193">
        <v>925</v>
      </c>
      <c r="B43" s="193" t="s">
        <v>133</v>
      </c>
      <c r="C43" s="193" t="s">
        <v>55</v>
      </c>
      <c r="D43" s="226">
        <f>+ROUNDUP(SUMIFS('MEMORIA CANTIDADES'!E:E,'MEMORIA CANTIDADES'!B:B,Table28[[#This Row],[DESCRIPCIÓN ]],'MEMORIA CANTIDADES'!C:C,Table28[[#This Row],[UNIDAD]]),0)</f>
        <v>0</v>
      </c>
      <c r="E43" s="225">
        <f>+VLOOKUP(Table28[[#This Row],[DESCRIPCIÓN ]],INSUMOS!A:D,3,FALSE)</f>
        <v>880.47</v>
      </c>
      <c r="F43" s="225">
        <f>+Table28[[#This Row],[CANTIDAD]]*Table28[[#This Row],[VALOR UNITARIO]]</f>
        <v>0</v>
      </c>
    </row>
    <row r="44" spans="1:6" s="193" customFormat="1" ht="28.8" hidden="1" x14ac:dyDescent="0.3">
      <c r="A44" s="193">
        <v>926</v>
      </c>
      <c r="B44" s="193" t="s">
        <v>134</v>
      </c>
      <c r="C44" s="193" t="s">
        <v>55</v>
      </c>
      <c r="D44" s="226">
        <f>+ROUNDUP(SUMIFS('MEMORIA CANTIDADES'!E:E,'MEMORIA CANTIDADES'!B:B,Table28[[#This Row],[DESCRIPCIÓN ]],'MEMORIA CANTIDADES'!C:C,Table28[[#This Row],[UNIDAD]]),0)</f>
        <v>0</v>
      </c>
      <c r="E44" s="225">
        <f>+VLOOKUP(Table28[[#This Row],[DESCRIPCIÓN ]],INSUMOS!A:D,3,FALSE)</f>
        <v>30351.89</v>
      </c>
      <c r="F44" s="225">
        <f>+Table28[[#This Row],[CANTIDAD]]*Table28[[#This Row],[VALOR UNITARIO]]</f>
        <v>0</v>
      </c>
    </row>
    <row r="45" spans="1:6" s="193" customFormat="1" ht="28.8" hidden="1" x14ac:dyDescent="0.3">
      <c r="A45" s="193">
        <v>927</v>
      </c>
      <c r="B45" s="193" t="s">
        <v>135</v>
      </c>
      <c r="C45" s="193" t="s">
        <v>55</v>
      </c>
      <c r="D45" s="226">
        <f>+ROUNDUP(SUMIFS('MEMORIA CANTIDADES'!E:E,'MEMORIA CANTIDADES'!B:B,Table28[[#This Row],[DESCRIPCIÓN ]],'MEMORIA CANTIDADES'!C:C,Table28[[#This Row],[UNIDAD]]),0)</f>
        <v>0</v>
      </c>
      <c r="E45" s="225">
        <f>+VLOOKUP(Table28[[#This Row],[DESCRIPCIÓN ]],INSUMOS!A:D,3,FALSE)</f>
        <v>15169.4</v>
      </c>
      <c r="F45" s="225">
        <f>+Table28[[#This Row],[CANTIDAD]]*Table28[[#This Row],[VALOR UNITARIO]]</f>
        <v>0</v>
      </c>
    </row>
    <row r="46" spans="1:6" s="193" customFormat="1" ht="28.8" hidden="1" x14ac:dyDescent="0.3">
      <c r="A46" s="193">
        <v>928</v>
      </c>
      <c r="B46" s="193" t="s">
        <v>136</v>
      </c>
      <c r="C46" s="193" t="s">
        <v>55</v>
      </c>
      <c r="D46" s="226">
        <f>+ROUNDUP(SUMIFS('MEMORIA CANTIDADES'!E:E,'MEMORIA CANTIDADES'!B:B,Table28[[#This Row],[DESCRIPCIÓN ]],'MEMORIA CANTIDADES'!C:C,Table28[[#This Row],[UNIDAD]]),0)</f>
        <v>0</v>
      </c>
      <c r="E46" s="225">
        <f>+VLOOKUP(Table28[[#This Row],[DESCRIPCIÓN ]],INSUMOS!A:D,3,FALSE)</f>
        <v>45395.11</v>
      </c>
      <c r="F46" s="225">
        <f>+Table28[[#This Row],[CANTIDAD]]*Table28[[#This Row],[VALOR UNITARIO]]</f>
        <v>0</v>
      </c>
    </row>
    <row r="47" spans="1:6" s="193" customFormat="1" ht="28.8" hidden="1" x14ac:dyDescent="0.3">
      <c r="A47" s="193">
        <v>929</v>
      </c>
      <c r="B47" s="193" t="s">
        <v>137</v>
      </c>
      <c r="C47" s="193" t="s">
        <v>55</v>
      </c>
      <c r="D47" s="226">
        <f>+ROUNDUP(SUMIFS('MEMORIA CANTIDADES'!E:E,'MEMORIA CANTIDADES'!B:B,Table28[[#This Row],[DESCRIPCIÓN ]],'MEMORIA CANTIDADES'!C:C,Table28[[#This Row],[UNIDAD]]),0)</f>
        <v>0</v>
      </c>
      <c r="E47" s="225">
        <f>+VLOOKUP(Table28[[#This Row],[DESCRIPCIÓN ]],INSUMOS!A:D,3,FALSE)</f>
        <v>1608.1</v>
      </c>
      <c r="F47" s="225">
        <f>+Table28[[#This Row],[CANTIDAD]]*Table28[[#This Row],[VALOR UNITARIO]]</f>
        <v>0</v>
      </c>
    </row>
    <row r="48" spans="1:6" s="193" customFormat="1" ht="28.8" hidden="1" x14ac:dyDescent="0.3">
      <c r="A48" s="193">
        <v>930</v>
      </c>
      <c r="B48" s="193" t="s">
        <v>138</v>
      </c>
      <c r="C48" s="193" t="s">
        <v>55</v>
      </c>
      <c r="D48" s="226">
        <f>+ROUNDUP(SUMIFS('MEMORIA CANTIDADES'!E:E,'MEMORIA CANTIDADES'!B:B,Table28[[#This Row],[DESCRIPCIÓN ]],'MEMORIA CANTIDADES'!C:C,Table28[[#This Row],[UNIDAD]]),0)</f>
        <v>0</v>
      </c>
      <c r="E48" s="225">
        <f>+VLOOKUP(Table28[[#This Row],[DESCRIPCIÓN ]],INSUMOS!A:D,3,FALSE)</f>
        <v>75637.91</v>
      </c>
      <c r="F48" s="225">
        <f>+Table28[[#This Row],[CANTIDAD]]*Table28[[#This Row],[VALOR UNITARIO]]</f>
        <v>0</v>
      </c>
    </row>
    <row r="49" spans="1:6" s="193" customFormat="1" ht="28.8" hidden="1" x14ac:dyDescent="0.3">
      <c r="A49" s="193">
        <v>931</v>
      </c>
      <c r="B49" s="193" t="s">
        <v>139</v>
      </c>
      <c r="C49" s="193" t="s">
        <v>55</v>
      </c>
      <c r="D49" s="226">
        <f>+ROUNDUP(SUMIFS('MEMORIA CANTIDADES'!E:E,'MEMORIA CANTIDADES'!B:B,Table28[[#This Row],[DESCRIPCIÓN ]],'MEMORIA CANTIDADES'!C:C,Table28[[#This Row],[UNIDAD]]),0)</f>
        <v>0</v>
      </c>
      <c r="E49" s="225">
        <f>+VLOOKUP(Table28[[#This Row],[DESCRIPCIÓN ]],INSUMOS!A:D,3,FALSE)</f>
        <v>19360.12</v>
      </c>
      <c r="F49" s="225">
        <f>+Table28[[#This Row],[CANTIDAD]]*Table28[[#This Row],[VALOR UNITARIO]]</f>
        <v>0</v>
      </c>
    </row>
    <row r="50" spans="1:6" s="193" customFormat="1" ht="28.8" hidden="1" x14ac:dyDescent="0.3">
      <c r="A50" s="193">
        <v>932</v>
      </c>
      <c r="B50" s="193" t="s">
        <v>140</v>
      </c>
      <c r="C50" s="193" t="s">
        <v>55</v>
      </c>
      <c r="D50" s="226">
        <f>+ROUNDUP(SUMIFS('MEMORIA CANTIDADES'!E:E,'MEMORIA CANTIDADES'!B:B,Table28[[#This Row],[DESCRIPCIÓN ]],'MEMORIA CANTIDADES'!C:C,Table28[[#This Row],[UNIDAD]]),0)</f>
        <v>0</v>
      </c>
      <c r="E50" s="225">
        <f>+VLOOKUP(Table28[[#This Row],[DESCRIPCIÓN ]],INSUMOS!A:D,3,FALSE)</f>
        <v>2645.36</v>
      </c>
      <c r="F50" s="225">
        <f>+Table28[[#This Row],[CANTIDAD]]*Table28[[#This Row],[VALOR UNITARIO]]</f>
        <v>0</v>
      </c>
    </row>
    <row r="51" spans="1:6" s="193" customFormat="1" ht="28.8" hidden="1" x14ac:dyDescent="0.3">
      <c r="A51" s="193">
        <v>933</v>
      </c>
      <c r="B51" s="193" t="s">
        <v>141</v>
      </c>
      <c r="C51" s="193" t="s">
        <v>55</v>
      </c>
      <c r="D51" s="226">
        <f>+ROUNDUP(SUMIFS('MEMORIA CANTIDADES'!E:E,'MEMORIA CANTIDADES'!B:B,Table28[[#This Row],[DESCRIPCIÓN ]],'MEMORIA CANTIDADES'!C:C,Table28[[#This Row],[UNIDAD]]),0)</f>
        <v>0</v>
      </c>
      <c r="E51" s="225">
        <f>+VLOOKUP(Table28[[#This Row],[DESCRIPCIÓN ]],INSUMOS!A:D,3,FALSE)</f>
        <v>3263.61</v>
      </c>
      <c r="F51" s="225">
        <f>+Table28[[#This Row],[CANTIDAD]]*Table28[[#This Row],[VALOR UNITARIO]]</f>
        <v>0</v>
      </c>
    </row>
    <row r="52" spans="1:6" s="193" customFormat="1" ht="28.8" hidden="1" x14ac:dyDescent="0.3">
      <c r="A52" s="193">
        <v>934</v>
      </c>
      <c r="B52" s="193" t="s">
        <v>142</v>
      </c>
      <c r="C52" s="193" t="s">
        <v>55</v>
      </c>
      <c r="D52" s="226">
        <f>+ROUNDUP(SUMIFS('MEMORIA CANTIDADES'!E:E,'MEMORIA CANTIDADES'!B:B,Table28[[#This Row],[DESCRIPCIÓN ]],'MEMORIA CANTIDADES'!C:C,Table28[[#This Row],[UNIDAD]]),0)</f>
        <v>0</v>
      </c>
      <c r="E52" s="225">
        <f>+VLOOKUP(Table28[[#This Row],[DESCRIPCIÓN ]],INSUMOS!A:D,3,FALSE)</f>
        <v>6624.74</v>
      </c>
      <c r="F52" s="225">
        <f>+Table28[[#This Row],[CANTIDAD]]*Table28[[#This Row],[VALOR UNITARIO]]</f>
        <v>0</v>
      </c>
    </row>
    <row r="53" spans="1:6" s="193" customFormat="1" ht="28.8" hidden="1" x14ac:dyDescent="0.3">
      <c r="A53" s="193">
        <v>935</v>
      </c>
      <c r="B53" s="193" t="s">
        <v>143</v>
      </c>
      <c r="C53" s="193" t="s">
        <v>55</v>
      </c>
      <c r="D53" s="226">
        <f>+ROUNDUP(SUMIFS('MEMORIA CANTIDADES'!E:E,'MEMORIA CANTIDADES'!B:B,Table28[[#This Row],[DESCRIPCIÓN ]],'MEMORIA CANTIDADES'!C:C,Table28[[#This Row],[UNIDAD]]),0)</f>
        <v>0</v>
      </c>
      <c r="E53" s="225">
        <f>+VLOOKUP(Table28[[#This Row],[DESCRIPCIÓN ]],INSUMOS!A:D,3,FALSE)</f>
        <v>5229.3500000000004</v>
      </c>
      <c r="F53" s="225">
        <f>+Table28[[#This Row],[CANTIDAD]]*Table28[[#This Row],[VALOR UNITARIO]]</f>
        <v>0</v>
      </c>
    </row>
    <row r="54" spans="1:6" s="193" customFormat="1" ht="28.8" hidden="1" x14ac:dyDescent="0.3">
      <c r="A54" s="193">
        <v>936</v>
      </c>
      <c r="B54" s="193" t="s">
        <v>144</v>
      </c>
      <c r="C54" s="193" t="s">
        <v>55</v>
      </c>
      <c r="D54" s="226">
        <f>+ROUNDUP(SUMIFS('MEMORIA CANTIDADES'!E:E,'MEMORIA CANTIDADES'!B:B,Table28[[#This Row],[DESCRIPCIÓN ]],'MEMORIA CANTIDADES'!C:C,Table28[[#This Row],[UNIDAD]]),0)</f>
        <v>0</v>
      </c>
      <c r="E54" s="225">
        <f>+VLOOKUP(Table28[[#This Row],[DESCRIPCIÓN ]],INSUMOS!A:D,3,FALSE)</f>
        <v>2660.41</v>
      </c>
      <c r="F54" s="225">
        <f>+Table28[[#This Row],[CANTIDAD]]*Table28[[#This Row],[VALOR UNITARIO]]</f>
        <v>0</v>
      </c>
    </row>
    <row r="55" spans="1:6" s="193" customFormat="1" ht="28.8" hidden="1" x14ac:dyDescent="0.3">
      <c r="A55" s="193">
        <v>937</v>
      </c>
      <c r="B55" s="193" t="s">
        <v>145</v>
      </c>
      <c r="C55" s="193" t="s">
        <v>55</v>
      </c>
      <c r="D55" s="226">
        <f>+ROUNDUP(SUMIFS('MEMORIA CANTIDADES'!E:E,'MEMORIA CANTIDADES'!B:B,Table28[[#This Row],[DESCRIPCIÓN ]],'MEMORIA CANTIDADES'!C:C,Table28[[#This Row],[UNIDAD]]),0)</f>
        <v>0</v>
      </c>
      <c r="E55" s="225">
        <f>+VLOOKUP(Table28[[#This Row],[DESCRIPCIÓN ]],INSUMOS!A:D,3,FALSE)</f>
        <v>718.38</v>
      </c>
      <c r="F55" s="225">
        <f>+Table28[[#This Row],[CANTIDAD]]*Table28[[#This Row],[VALOR UNITARIO]]</f>
        <v>0</v>
      </c>
    </row>
    <row r="56" spans="1:6" s="193" customFormat="1" ht="28.8" hidden="1" x14ac:dyDescent="0.3">
      <c r="A56" s="193">
        <v>938</v>
      </c>
      <c r="B56" s="193" t="s">
        <v>146</v>
      </c>
      <c r="C56" s="193" t="s">
        <v>55</v>
      </c>
      <c r="D56" s="226">
        <f>+ROUNDUP(SUMIFS('MEMORIA CANTIDADES'!E:E,'MEMORIA CANTIDADES'!B:B,Table28[[#This Row],[DESCRIPCIÓN ]],'MEMORIA CANTIDADES'!C:C,Table28[[#This Row],[UNIDAD]]),0)</f>
        <v>0</v>
      </c>
      <c r="E56" s="225">
        <f>+VLOOKUP(Table28[[#This Row],[DESCRIPCIÓN ]],INSUMOS!A:D,3,FALSE)</f>
        <v>26277</v>
      </c>
      <c r="F56" s="225">
        <f>+Table28[[#This Row],[CANTIDAD]]*Table28[[#This Row],[VALOR UNITARIO]]</f>
        <v>0</v>
      </c>
    </row>
    <row r="57" spans="1:6" s="193" customFormat="1" ht="28.8" hidden="1" x14ac:dyDescent="0.3">
      <c r="A57" s="193">
        <v>939</v>
      </c>
      <c r="B57" s="193" t="s">
        <v>147</v>
      </c>
      <c r="C57" s="193" t="s">
        <v>55</v>
      </c>
      <c r="D57" s="226">
        <f>+ROUNDUP(SUMIFS('MEMORIA CANTIDADES'!E:E,'MEMORIA CANTIDADES'!B:B,Table28[[#This Row],[DESCRIPCIÓN ]],'MEMORIA CANTIDADES'!C:C,Table28[[#This Row],[UNIDAD]]),0)</f>
        <v>0</v>
      </c>
      <c r="E57" s="225">
        <f>+VLOOKUP(Table28[[#This Row],[DESCRIPCIÓN ]],INSUMOS!A:D,3,FALSE)</f>
        <v>9299.52</v>
      </c>
      <c r="F57" s="225">
        <f>+Table28[[#This Row],[CANTIDAD]]*Table28[[#This Row],[VALOR UNITARIO]]</f>
        <v>0</v>
      </c>
    </row>
    <row r="58" spans="1:6" s="193" customFormat="1" ht="28.8" hidden="1" x14ac:dyDescent="0.3">
      <c r="A58" s="193">
        <v>940</v>
      </c>
      <c r="B58" s="193" t="s">
        <v>148</v>
      </c>
      <c r="C58" s="193" t="s">
        <v>55</v>
      </c>
      <c r="D58" s="226">
        <f>+ROUNDUP(SUMIFS('MEMORIA CANTIDADES'!E:E,'MEMORIA CANTIDADES'!B:B,Table28[[#This Row],[DESCRIPCIÓN ]],'MEMORIA CANTIDADES'!C:C,Table28[[#This Row],[UNIDAD]]),0)</f>
        <v>0</v>
      </c>
      <c r="E58" s="225">
        <f>+VLOOKUP(Table28[[#This Row],[DESCRIPCIÓN ]],INSUMOS!A:D,3,FALSE)</f>
        <v>36646.82</v>
      </c>
      <c r="F58" s="225">
        <f>+Table28[[#This Row],[CANTIDAD]]*Table28[[#This Row],[VALOR UNITARIO]]</f>
        <v>0</v>
      </c>
    </row>
    <row r="59" spans="1:6" s="193" customFormat="1" ht="28.8" hidden="1" x14ac:dyDescent="0.3">
      <c r="A59" s="193">
        <v>941</v>
      </c>
      <c r="B59" s="193" t="s">
        <v>149</v>
      </c>
      <c r="C59" s="193" t="s">
        <v>55</v>
      </c>
      <c r="D59" s="226">
        <f>+ROUNDUP(SUMIFS('MEMORIA CANTIDADES'!E:E,'MEMORIA CANTIDADES'!B:B,Table28[[#This Row],[DESCRIPCIÓN ]],'MEMORIA CANTIDADES'!C:C,Table28[[#This Row],[UNIDAD]]),0)</f>
        <v>0</v>
      </c>
      <c r="E59" s="225">
        <f>+VLOOKUP(Table28[[#This Row],[DESCRIPCIÓN ]],INSUMOS!A:D,3,FALSE)</f>
        <v>1574.08</v>
      </c>
      <c r="F59" s="225">
        <f>+Table28[[#This Row],[CANTIDAD]]*Table28[[#This Row],[VALOR UNITARIO]]</f>
        <v>0</v>
      </c>
    </row>
    <row r="60" spans="1:6" s="193" customFormat="1" ht="28.8" hidden="1" x14ac:dyDescent="0.3">
      <c r="A60" s="193">
        <v>942</v>
      </c>
      <c r="B60" s="193" t="s">
        <v>150</v>
      </c>
      <c r="C60" s="193" t="s">
        <v>55</v>
      </c>
      <c r="D60" s="226">
        <f>+ROUNDUP(SUMIFS('MEMORIA CANTIDADES'!E:E,'MEMORIA CANTIDADES'!B:B,Table28[[#This Row],[DESCRIPCIÓN ]],'MEMORIA CANTIDADES'!C:C,Table28[[#This Row],[UNIDAD]]),0)</f>
        <v>0</v>
      </c>
      <c r="E60" s="225">
        <f>+VLOOKUP(Table28[[#This Row],[DESCRIPCIÓN ]],INSUMOS!A:D,3,FALSE)</f>
        <v>67253.710000000006</v>
      </c>
      <c r="F60" s="225">
        <f>+Table28[[#This Row],[CANTIDAD]]*Table28[[#This Row],[VALOR UNITARIO]]</f>
        <v>0</v>
      </c>
    </row>
    <row r="61" spans="1:6" s="193" customFormat="1" ht="28.8" hidden="1" x14ac:dyDescent="0.3">
      <c r="A61" s="193">
        <v>218</v>
      </c>
      <c r="B61" s="193" t="s">
        <v>151</v>
      </c>
      <c r="C61" s="193" t="s">
        <v>55</v>
      </c>
      <c r="D61" s="226">
        <f>+ROUNDUP(SUMIFS('MEMORIA CANTIDADES'!E:E,'MEMORIA CANTIDADES'!B:B,Table28[[#This Row],[DESCRIPCIÓN ]],'MEMORIA CANTIDADES'!C:C,Table28[[#This Row],[UNIDAD]]),0)</f>
        <v>0</v>
      </c>
      <c r="E61" s="225">
        <f>+VLOOKUP(Table28[[#This Row],[DESCRIPCIÓN ]],INSUMOS!A:D,3,FALSE)</f>
        <v>5877.21</v>
      </c>
      <c r="F61" s="225">
        <f>+Table28[[#This Row],[CANTIDAD]]*Table28[[#This Row],[VALOR UNITARIO]]</f>
        <v>0</v>
      </c>
    </row>
    <row r="62" spans="1:6" s="193" customFormat="1" ht="28.8" hidden="1" x14ac:dyDescent="0.3">
      <c r="A62" s="193">
        <v>219</v>
      </c>
      <c r="B62" s="193" t="s">
        <v>152</v>
      </c>
      <c r="C62" s="193" t="s">
        <v>55</v>
      </c>
      <c r="D62" s="226">
        <f>+ROUNDUP(SUMIFS('MEMORIA CANTIDADES'!E:E,'MEMORIA CANTIDADES'!B:B,Table28[[#This Row],[DESCRIPCIÓN ]],'MEMORIA CANTIDADES'!C:C,Table28[[#This Row],[UNIDAD]]),0)</f>
        <v>0</v>
      </c>
      <c r="E62" s="225">
        <f>+VLOOKUP(Table28[[#This Row],[DESCRIPCIÓN ]],INSUMOS!A:D,3,FALSE)</f>
        <v>5391.89</v>
      </c>
      <c r="F62" s="225">
        <f>+Table28[[#This Row],[CANTIDAD]]*Table28[[#This Row],[VALOR UNITARIO]]</f>
        <v>0</v>
      </c>
    </row>
    <row r="63" spans="1:6" s="193" customFormat="1" ht="28.8" hidden="1" x14ac:dyDescent="0.3">
      <c r="A63" s="193">
        <v>220</v>
      </c>
      <c r="B63" s="193" t="s">
        <v>153</v>
      </c>
      <c r="C63" s="193" t="s">
        <v>55</v>
      </c>
      <c r="D63" s="226">
        <f>+ROUNDUP(SUMIFS('MEMORIA CANTIDADES'!E:E,'MEMORIA CANTIDADES'!B:B,Table28[[#This Row],[DESCRIPCIÓN ]],'MEMORIA CANTIDADES'!C:C,Table28[[#This Row],[UNIDAD]]),0)</f>
        <v>0</v>
      </c>
      <c r="E63" s="225">
        <f>+VLOOKUP(Table28[[#This Row],[DESCRIPCIÓN ]],INSUMOS!A:D,3,FALSE)</f>
        <v>1919.82</v>
      </c>
      <c r="F63" s="225">
        <f>+Table28[[#This Row],[CANTIDAD]]*Table28[[#This Row],[VALOR UNITARIO]]</f>
        <v>0</v>
      </c>
    </row>
    <row r="64" spans="1:6" s="193" customFormat="1" ht="28.8" hidden="1" x14ac:dyDescent="0.3">
      <c r="A64" s="193">
        <v>221</v>
      </c>
      <c r="B64" s="193" t="s">
        <v>154</v>
      </c>
      <c r="C64" s="193" t="s">
        <v>55</v>
      </c>
      <c r="D64" s="226">
        <f>+ROUNDUP(SUMIFS('MEMORIA CANTIDADES'!E:E,'MEMORIA CANTIDADES'!B:B,Table28[[#This Row],[DESCRIPCIÓN ]],'MEMORIA CANTIDADES'!C:C,Table28[[#This Row],[UNIDAD]]),0)</f>
        <v>0</v>
      </c>
      <c r="E64" s="225">
        <f>+VLOOKUP(Table28[[#This Row],[DESCRIPCIÓN ]],INSUMOS!A:D,3,FALSE)</f>
        <v>480.22</v>
      </c>
      <c r="F64" s="225">
        <f>+Table28[[#This Row],[CANTIDAD]]*Table28[[#This Row],[VALOR UNITARIO]]</f>
        <v>0</v>
      </c>
    </row>
    <row r="65" spans="1:6" s="193" customFormat="1" ht="28.8" hidden="1" x14ac:dyDescent="0.3">
      <c r="A65" s="193">
        <v>222</v>
      </c>
      <c r="B65" s="193" t="s">
        <v>155</v>
      </c>
      <c r="C65" s="193" t="s">
        <v>55</v>
      </c>
      <c r="D65" s="226">
        <f>+ROUNDUP(SUMIFS('MEMORIA CANTIDADES'!E:E,'MEMORIA CANTIDADES'!B:B,Table28[[#This Row],[DESCRIPCIÓN ]],'MEMORIA CANTIDADES'!C:C,Table28[[#This Row],[UNIDAD]]),0)</f>
        <v>0</v>
      </c>
      <c r="E65" s="225">
        <f>+VLOOKUP(Table28[[#This Row],[DESCRIPCIÓN ]],INSUMOS!A:D,3,FALSE)</f>
        <v>9501.2000000000007</v>
      </c>
      <c r="F65" s="225">
        <f>+Table28[[#This Row],[CANTIDAD]]*Table28[[#This Row],[VALOR UNITARIO]]</f>
        <v>0</v>
      </c>
    </row>
    <row r="66" spans="1:6" s="193" customFormat="1" ht="28.8" hidden="1" x14ac:dyDescent="0.3">
      <c r="A66" s="193">
        <v>223</v>
      </c>
      <c r="B66" s="193" t="s">
        <v>156</v>
      </c>
      <c r="C66" s="193" t="s">
        <v>55</v>
      </c>
      <c r="D66" s="226">
        <f>+ROUNDUP(SUMIFS('MEMORIA CANTIDADES'!E:E,'MEMORIA CANTIDADES'!B:B,Table28[[#This Row],[DESCRIPCIÓN ]],'MEMORIA CANTIDADES'!C:C,Table28[[#This Row],[UNIDAD]]),0)</f>
        <v>0</v>
      </c>
      <c r="E66" s="225">
        <f>+VLOOKUP(Table28[[#This Row],[DESCRIPCIÓN ]],INSUMOS!A:D,3,FALSE)</f>
        <v>17257.43</v>
      </c>
      <c r="F66" s="225">
        <f>+Table28[[#This Row],[CANTIDAD]]*Table28[[#This Row],[VALOR UNITARIO]]</f>
        <v>0</v>
      </c>
    </row>
    <row r="67" spans="1:6" s="193" customFormat="1" ht="28.8" hidden="1" x14ac:dyDescent="0.3">
      <c r="A67" s="193">
        <v>224</v>
      </c>
      <c r="B67" s="193" t="s">
        <v>157</v>
      </c>
      <c r="C67" s="193" t="s">
        <v>55</v>
      </c>
      <c r="D67" s="226">
        <f>+ROUNDUP(SUMIFS('MEMORIA CANTIDADES'!E:E,'MEMORIA CANTIDADES'!B:B,Table28[[#This Row],[DESCRIPCIÓN ]],'MEMORIA CANTIDADES'!C:C,Table28[[#This Row],[UNIDAD]]),0)</f>
        <v>0</v>
      </c>
      <c r="E67" s="225">
        <f>+VLOOKUP(Table28[[#This Row],[DESCRIPCIÓN ]],INSUMOS!A:D,3,FALSE)</f>
        <v>644.9</v>
      </c>
      <c r="F67" s="225">
        <f>+Table28[[#This Row],[CANTIDAD]]*Table28[[#This Row],[VALOR UNITARIO]]</f>
        <v>0</v>
      </c>
    </row>
    <row r="68" spans="1:6" s="193" customFormat="1" ht="28.8" hidden="1" x14ac:dyDescent="0.3">
      <c r="A68" s="193">
        <v>17</v>
      </c>
      <c r="B68" s="193" t="s">
        <v>158</v>
      </c>
      <c r="C68" s="193" t="s">
        <v>2145</v>
      </c>
      <c r="D68" s="226">
        <f>+ROUNDUP(SUMIFS('MEMORIA CANTIDADES'!E:E,'MEMORIA CANTIDADES'!B:B,Table28[[#This Row],[DESCRIPCIÓN ]],'MEMORIA CANTIDADES'!C:C,Table28[[#This Row],[UNIDAD]]),0)</f>
        <v>0</v>
      </c>
      <c r="E68" s="225">
        <f>+VLOOKUP(Table28[[#This Row],[DESCRIPCIÓN ]],INSUMOS!A:D,3,FALSE)</f>
        <v>178370.08</v>
      </c>
      <c r="F68" s="225">
        <f>+Table28[[#This Row],[CANTIDAD]]*Table28[[#This Row],[VALOR UNITARIO]]</f>
        <v>0</v>
      </c>
    </row>
    <row r="69" spans="1:6" s="193" customFormat="1" ht="28.8" hidden="1" x14ac:dyDescent="0.3">
      <c r="A69" s="193">
        <v>18</v>
      </c>
      <c r="B69" s="193" t="s">
        <v>159</v>
      </c>
      <c r="C69" s="193" t="s">
        <v>2145</v>
      </c>
      <c r="D69" s="226">
        <f>+ROUNDUP(SUMIFS('MEMORIA CANTIDADES'!E:E,'MEMORIA CANTIDADES'!B:B,Table28[[#This Row],[DESCRIPCIÓN ]],'MEMORIA CANTIDADES'!C:C,Table28[[#This Row],[UNIDAD]]),0)</f>
        <v>0</v>
      </c>
      <c r="E69" s="225">
        <f>+VLOOKUP(Table28[[#This Row],[DESCRIPCIÓN ]],INSUMOS!A:D,3,FALSE)</f>
        <v>214853.68</v>
      </c>
      <c r="F69" s="225">
        <f>+Table28[[#This Row],[CANTIDAD]]*Table28[[#This Row],[VALOR UNITARIO]]</f>
        <v>0</v>
      </c>
    </row>
    <row r="70" spans="1:6" s="193" customFormat="1" ht="28.8" hidden="1" x14ac:dyDescent="0.3">
      <c r="A70" s="193">
        <v>19</v>
      </c>
      <c r="B70" s="193" t="s">
        <v>2149</v>
      </c>
      <c r="C70" s="193" t="s">
        <v>2145</v>
      </c>
      <c r="D70" s="226">
        <f>+ROUNDUP(SUMIFS('MEMORIA CANTIDADES'!E:E,'MEMORIA CANTIDADES'!B:B,Table28[[#This Row],[DESCRIPCIÓN ]],'MEMORIA CANTIDADES'!C:C,Table28[[#This Row],[UNIDAD]]),0)</f>
        <v>0</v>
      </c>
      <c r="E70" s="225" t="e">
        <f>+VLOOKUP(Table28[[#This Row],[DESCRIPCIÓN ]],INSUMOS!A:D,3,FALSE)</f>
        <v>#N/A</v>
      </c>
      <c r="F70" s="225" t="e">
        <f>+Table28[[#This Row],[CANTIDAD]]*Table28[[#This Row],[VALOR UNITARIO]]</f>
        <v>#N/A</v>
      </c>
    </row>
    <row r="71" spans="1:6" s="193" customFormat="1" hidden="1" x14ac:dyDescent="0.3">
      <c r="A71" s="193">
        <v>79</v>
      </c>
      <c r="B71" s="193" t="s">
        <v>160</v>
      </c>
      <c r="C71" s="193" t="s">
        <v>55</v>
      </c>
      <c r="D71" s="226">
        <f>+ROUNDUP(SUMIFS('MEMORIA CANTIDADES'!E:E,'MEMORIA CANTIDADES'!B:B,Table28[[#This Row],[DESCRIPCIÓN ]],'MEMORIA CANTIDADES'!C:C,Table28[[#This Row],[UNIDAD]]),0)</f>
        <v>0</v>
      </c>
      <c r="E71" s="225">
        <f>+VLOOKUP(Table28[[#This Row],[DESCRIPCIÓN ]],INSUMOS!A:D,3,FALSE)</f>
        <v>1417.23</v>
      </c>
      <c r="F71" s="225">
        <f>+Table28[[#This Row],[CANTIDAD]]*Table28[[#This Row],[VALOR UNITARIO]]</f>
        <v>0</v>
      </c>
    </row>
    <row r="72" spans="1:6" s="193" customFormat="1" hidden="1" x14ac:dyDescent="0.3">
      <c r="A72" s="193">
        <v>80</v>
      </c>
      <c r="B72" s="193" t="s">
        <v>161</v>
      </c>
      <c r="C72" s="193" t="s">
        <v>55</v>
      </c>
      <c r="D72" s="226">
        <f>+ROUNDUP(SUMIFS('MEMORIA CANTIDADES'!E:E,'MEMORIA CANTIDADES'!B:B,Table28[[#This Row],[DESCRIPCIÓN ]],'MEMORIA CANTIDADES'!C:C,Table28[[#This Row],[UNIDAD]]),0)</f>
        <v>0</v>
      </c>
      <c r="E72" s="225">
        <f>+VLOOKUP(Table28[[#This Row],[DESCRIPCIÓN ]],INSUMOS!A:D,3,FALSE)</f>
        <v>1497.82</v>
      </c>
      <c r="F72" s="225">
        <f>+Table28[[#This Row],[CANTIDAD]]*Table28[[#This Row],[VALOR UNITARIO]]</f>
        <v>0</v>
      </c>
    </row>
    <row r="73" spans="1:6" s="193" customFormat="1" hidden="1" x14ac:dyDescent="0.3">
      <c r="A73" s="193">
        <v>81</v>
      </c>
      <c r="B73" s="193" t="s">
        <v>162</v>
      </c>
      <c r="C73" s="193" t="s">
        <v>55</v>
      </c>
      <c r="D73" s="226">
        <f>+ROUNDUP(SUMIFS('MEMORIA CANTIDADES'!E:E,'MEMORIA CANTIDADES'!B:B,Table28[[#This Row],[DESCRIPCIÓN ]],'MEMORIA CANTIDADES'!C:C,Table28[[#This Row],[UNIDAD]]),0)</f>
        <v>0</v>
      </c>
      <c r="E73" s="225">
        <f>+VLOOKUP(Table28[[#This Row],[DESCRIPCIÓN ]],INSUMOS!A:D,3,FALSE)</f>
        <v>1695.61</v>
      </c>
      <c r="F73" s="225">
        <f>+Table28[[#This Row],[CANTIDAD]]*Table28[[#This Row],[VALOR UNITARIO]]</f>
        <v>0</v>
      </c>
    </row>
    <row r="74" spans="1:6" s="193" customFormat="1" hidden="1" x14ac:dyDescent="0.3">
      <c r="A74" s="193">
        <v>82</v>
      </c>
      <c r="B74" s="193" t="s">
        <v>163</v>
      </c>
      <c r="C74" s="193" t="s">
        <v>55</v>
      </c>
      <c r="D74" s="226">
        <f>+ROUNDUP(SUMIFS('MEMORIA CANTIDADES'!E:E,'MEMORIA CANTIDADES'!B:B,Table28[[#This Row],[DESCRIPCIÓN ]],'MEMORIA CANTIDADES'!C:C,Table28[[#This Row],[UNIDAD]]),0)</f>
        <v>0</v>
      </c>
      <c r="E74" s="225">
        <f>+VLOOKUP(Table28[[#This Row],[DESCRIPCIÓN ]],INSUMOS!A:D,3,FALSE)</f>
        <v>2554.2800000000002</v>
      </c>
      <c r="F74" s="225">
        <f>+Table28[[#This Row],[CANTIDAD]]*Table28[[#This Row],[VALOR UNITARIO]]</f>
        <v>0</v>
      </c>
    </row>
    <row r="75" spans="1:6" s="193" customFormat="1" hidden="1" x14ac:dyDescent="0.3">
      <c r="A75" s="193">
        <v>83</v>
      </c>
      <c r="B75" s="193" t="s">
        <v>164</v>
      </c>
      <c r="C75" s="193" t="s">
        <v>55</v>
      </c>
      <c r="D75" s="226">
        <f>+ROUNDUP(SUMIFS('MEMORIA CANTIDADES'!E:E,'MEMORIA CANTIDADES'!B:B,Table28[[#This Row],[DESCRIPCIÓN ]],'MEMORIA CANTIDADES'!C:C,Table28[[#This Row],[UNIDAD]]),0)</f>
        <v>0</v>
      </c>
      <c r="E75" s="225">
        <f>+VLOOKUP(Table28[[#This Row],[DESCRIPCIÓN ]],INSUMOS!A:D,3,FALSE)</f>
        <v>2057.48</v>
      </c>
      <c r="F75" s="225">
        <f>+Table28[[#This Row],[CANTIDAD]]*Table28[[#This Row],[VALOR UNITARIO]]</f>
        <v>0</v>
      </c>
    </row>
    <row r="76" spans="1:6" s="193" customFormat="1" hidden="1" x14ac:dyDescent="0.3">
      <c r="A76" s="193">
        <v>84</v>
      </c>
      <c r="B76" s="193" t="s">
        <v>165</v>
      </c>
      <c r="C76" s="193" t="s">
        <v>55</v>
      </c>
      <c r="D76" s="226">
        <f>+ROUNDUP(SUMIFS('MEMORIA CANTIDADES'!E:E,'MEMORIA CANTIDADES'!B:B,Table28[[#This Row],[DESCRIPCIÓN ]],'MEMORIA CANTIDADES'!C:C,Table28[[#This Row],[UNIDAD]]),0)</f>
        <v>0</v>
      </c>
      <c r="E76" s="225">
        <f>+VLOOKUP(Table28[[#This Row],[DESCRIPCIÓN ]],INSUMOS!A:D,3,FALSE)</f>
        <v>2232.08</v>
      </c>
      <c r="F76" s="225">
        <f>+Table28[[#This Row],[CANTIDAD]]*Table28[[#This Row],[VALOR UNITARIO]]</f>
        <v>0</v>
      </c>
    </row>
    <row r="77" spans="1:6" s="193" customFormat="1" hidden="1" x14ac:dyDescent="0.3">
      <c r="A77" s="193">
        <v>85</v>
      </c>
      <c r="B77" s="193" t="s">
        <v>166</v>
      </c>
      <c r="C77" s="193" t="s">
        <v>55</v>
      </c>
      <c r="D77" s="226">
        <f>+ROUNDUP(SUMIFS('MEMORIA CANTIDADES'!E:E,'MEMORIA CANTIDADES'!B:B,Table28[[#This Row],[DESCRIPCIÓN ]],'MEMORIA CANTIDADES'!C:C,Table28[[#This Row],[UNIDAD]]),0)</f>
        <v>0</v>
      </c>
      <c r="E77" s="225">
        <f>+VLOOKUP(Table28[[#This Row],[DESCRIPCIÓN ]],INSUMOS!A:D,3,FALSE)</f>
        <v>1655.97</v>
      </c>
      <c r="F77" s="225">
        <f>+Table28[[#This Row],[CANTIDAD]]*Table28[[#This Row],[VALOR UNITARIO]]</f>
        <v>0</v>
      </c>
    </row>
    <row r="78" spans="1:6" s="193" customFormat="1" hidden="1" x14ac:dyDescent="0.3">
      <c r="A78" s="193">
        <v>86</v>
      </c>
      <c r="B78" s="193" t="s">
        <v>167</v>
      </c>
      <c r="C78" s="193" t="s">
        <v>55</v>
      </c>
      <c r="D78" s="226">
        <f>+ROUNDUP(SUMIFS('MEMORIA CANTIDADES'!E:E,'MEMORIA CANTIDADES'!B:B,Table28[[#This Row],[DESCRIPCIÓN ]],'MEMORIA CANTIDADES'!C:C,Table28[[#This Row],[UNIDAD]]),0)</f>
        <v>0</v>
      </c>
      <c r="E78" s="225">
        <f>+VLOOKUP(Table28[[#This Row],[DESCRIPCIÓN ]],INSUMOS!A:D,3,FALSE)</f>
        <v>2395.5700000000002</v>
      </c>
      <c r="F78" s="225">
        <f>+Table28[[#This Row],[CANTIDAD]]*Table28[[#This Row],[VALOR UNITARIO]]</f>
        <v>0</v>
      </c>
    </row>
    <row r="79" spans="1:6" s="193" customFormat="1" hidden="1" x14ac:dyDescent="0.3">
      <c r="A79" s="193">
        <v>87</v>
      </c>
      <c r="B79" s="193" t="s">
        <v>168</v>
      </c>
      <c r="C79" s="193" t="s">
        <v>55</v>
      </c>
      <c r="D79" s="226">
        <f>+ROUNDUP(SUMIFS('MEMORIA CANTIDADES'!E:E,'MEMORIA CANTIDADES'!B:B,Table28[[#This Row],[DESCRIPCIÓN ]],'MEMORIA CANTIDADES'!C:C,Table28[[#This Row],[UNIDAD]]),0)</f>
        <v>0</v>
      </c>
      <c r="E79" s="225">
        <f>+VLOOKUP(Table28[[#This Row],[DESCRIPCIÓN ]],INSUMOS!A:D,3,FALSE)</f>
        <v>2986.48</v>
      </c>
      <c r="F79" s="225">
        <f>+Table28[[#This Row],[CANTIDAD]]*Table28[[#This Row],[VALOR UNITARIO]]</f>
        <v>0</v>
      </c>
    </row>
    <row r="80" spans="1:6" s="193" customFormat="1" ht="28.8" hidden="1" x14ac:dyDescent="0.3">
      <c r="A80" s="193">
        <v>88</v>
      </c>
      <c r="B80" s="193" t="s">
        <v>169</v>
      </c>
      <c r="C80" s="193" t="s">
        <v>55</v>
      </c>
      <c r="D80" s="226">
        <f>+ROUNDUP(SUMIFS('MEMORIA CANTIDADES'!E:E,'MEMORIA CANTIDADES'!B:B,Table28[[#This Row],[DESCRIPCIÓN ]],'MEMORIA CANTIDADES'!C:C,Table28[[#This Row],[UNIDAD]]),0)</f>
        <v>0</v>
      </c>
      <c r="E80" s="225">
        <f>+VLOOKUP(Table28[[#This Row],[DESCRIPCIÓN ]],INSUMOS!A:D,3,FALSE)</f>
        <v>3421.18</v>
      </c>
      <c r="F80" s="225">
        <f>+Table28[[#This Row],[CANTIDAD]]*Table28[[#This Row],[VALOR UNITARIO]]</f>
        <v>0</v>
      </c>
    </row>
    <row r="81" spans="1:6" s="193" customFormat="1" hidden="1" x14ac:dyDescent="0.3">
      <c r="A81" s="193">
        <v>89</v>
      </c>
      <c r="B81" s="193" t="s">
        <v>170</v>
      </c>
      <c r="C81" s="193" t="s">
        <v>55</v>
      </c>
      <c r="D81" s="226">
        <f>+ROUNDUP(SUMIFS('MEMORIA CANTIDADES'!E:E,'MEMORIA CANTIDADES'!B:B,Table28[[#This Row],[DESCRIPCIÓN ]],'MEMORIA CANTIDADES'!C:C,Table28[[#This Row],[UNIDAD]]),0)</f>
        <v>0</v>
      </c>
      <c r="E81" s="225">
        <f>+VLOOKUP(Table28[[#This Row],[DESCRIPCIÓN ]],INSUMOS!A:D,3,FALSE)</f>
        <v>3267.03</v>
      </c>
      <c r="F81" s="225">
        <f>+Table28[[#This Row],[CANTIDAD]]*Table28[[#This Row],[VALOR UNITARIO]]</f>
        <v>0</v>
      </c>
    </row>
    <row r="82" spans="1:6" s="193" customFormat="1" hidden="1" x14ac:dyDescent="0.3">
      <c r="A82" s="193">
        <v>90</v>
      </c>
      <c r="B82" s="193" t="s">
        <v>171</v>
      </c>
      <c r="C82" s="193" t="s">
        <v>55</v>
      </c>
      <c r="D82" s="226">
        <f>+ROUNDUP(SUMIFS('MEMORIA CANTIDADES'!E:E,'MEMORIA CANTIDADES'!B:B,Table28[[#This Row],[DESCRIPCIÓN ]],'MEMORIA CANTIDADES'!C:C,Table28[[#This Row],[UNIDAD]]),0)</f>
        <v>0</v>
      </c>
      <c r="E82" s="225" t="e">
        <f>+VLOOKUP(Table28[[#This Row],[DESCRIPCIÓN ]],INSUMOS!A:D,3,FALSE)</f>
        <v>#N/A</v>
      </c>
      <c r="F82" s="225" t="e">
        <f>+Table28[[#This Row],[CANTIDAD]]*Table28[[#This Row],[VALOR UNITARIO]]</f>
        <v>#N/A</v>
      </c>
    </row>
    <row r="83" spans="1:6" s="193" customFormat="1" hidden="1" x14ac:dyDescent="0.3">
      <c r="A83" s="193">
        <v>91</v>
      </c>
      <c r="B83" s="193" t="s">
        <v>172</v>
      </c>
      <c r="C83" s="193" t="s">
        <v>55</v>
      </c>
      <c r="D83" s="226">
        <f>+ROUNDUP(SUMIFS('MEMORIA CANTIDADES'!E:E,'MEMORIA CANTIDADES'!B:B,Table28[[#This Row],[DESCRIPCIÓN ]],'MEMORIA CANTIDADES'!C:C,Table28[[#This Row],[UNIDAD]]),0)</f>
        <v>0</v>
      </c>
      <c r="E83" s="225" t="e">
        <f>+VLOOKUP(Table28[[#This Row],[DESCRIPCIÓN ]],INSUMOS!A:D,3,FALSE)</f>
        <v>#N/A</v>
      </c>
      <c r="F83" s="225" t="e">
        <f>+Table28[[#This Row],[CANTIDAD]]*Table28[[#This Row],[VALOR UNITARIO]]</f>
        <v>#N/A</v>
      </c>
    </row>
    <row r="84" spans="1:6" s="193" customFormat="1" ht="28.8" hidden="1" x14ac:dyDescent="0.3">
      <c r="A84" s="193">
        <v>92</v>
      </c>
      <c r="B84" s="193" t="s">
        <v>173</v>
      </c>
      <c r="C84" s="193" t="s">
        <v>55</v>
      </c>
      <c r="D84" s="226">
        <f>+ROUNDUP(SUMIFS('MEMORIA CANTIDADES'!E:E,'MEMORIA CANTIDADES'!B:B,Table28[[#This Row],[DESCRIPCIÓN ]],'MEMORIA CANTIDADES'!C:C,Table28[[#This Row],[UNIDAD]]),0)</f>
        <v>0</v>
      </c>
      <c r="E84" s="225">
        <f>+VLOOKUP(Table28[[#This Row],[DESCRIPCIÓN ]],INSUMOS!A:D,3,FALSE)</f>
        <v>1694.74</v>
      </c>
      <c r="F84" s="225">
        <f>+Table28[[#This Row],[CANTIDAD]]*Table28[[#This Row],[VALOR UNITARIO]]</f>
        <v>0</v>
      </c>
    </row>
    <row r="85" spans="1:6" s="193" customFormat="1" hidden="1" x14ac:dyDescent="0.3">
      <c r="A85" s="193">
        <v>93</v>
      </c>
      <c r="B85" s="193" t="s">
        <v>174</v>
      </c>
      <c r="C85" s="193" t="s">
        <v>55</v>
      </c>
      <c r="D85" s="226">
        <f>+ROUNDUP(SUMIFS('MEMORIA CANTIDADES'!E:E,'MEMORIA CANTIDADES'!B:B,Table28[[#This Row],[DESCRIPCIÓN ]],'MEMORIA CANTIDADES'!C:C,Table28[[#This Row],[UNIDAD]]),0)</f>
        <v>0</v>
      </c>
      <c r="E85" s="225">
        <f>+VLOOKUP(Table28[[#This Row],[DESCRIPCIÓN ]],INSUMOS!A:D,3,FALSE)</f>
        <v>5216.8900000000003</v>
      </c>
      <c r="F85" s="225">
        <f>+Table28[[#This Row],[CANTIDAD]]*Table28[[#This Row],[VALOR UNITARIO]]</f>
        <v>0</v>
      </c>
    </row>
    <row r="86" spans="1:6" s="193" customFormat="1" ht="28.8" hidden="1" x14ac:dyDescent="0.3">
      <c r="A86" s="193">
        <v>57</v>
      </c>
      <c r="B86" s="193" t="s">
        <v>175</v>
      </c>
      <c r="C86" s="193" t="s">
        <v>1273</v>
      </c>
      <c r="D86" s="226">
        <f>+ROUNDUP(SUMIFS('MEMORIA CANTIDADES'!E:E,'MEMORIA CANTIDADES'!B:B,Table28[[#This Row],[DESCRIPCIÓN ]],'MEMORIA CANTIDADES'!C:C,Table28[[#This Row],[UNIDAD]]),0)</f>
        <v>0</v>
      </c>
      <c r="E86" s="225">
        <f>+VLOOKUP(Table28[[#This Row],[DESCRIPCIÓN ]],INSUMOS!A:D,3,FALSE)</f>
        <v>165988.56</v>
      </c>
      <c r="F86" s="225">
        <f>+Table28[[#This Row],[CANTIDAD]]*Table28[[#This Row],[VALOR UNITARIO]]</f>
        <v>0</v>
      </c>
    </row>
    <row r="87" spans="1:6" s="193" customFormat="1" ht="28.8" hidden="1" x14ac:dyDescent="0.3">
      <c r="A87" s="193">
        <v>58</v>
      </c>
      <c r="B87" s="193" t="s">
        <v>2169</v>
      </c>
      <c r="C87" s="193" t="s">
        <v>1273</v>
      </c>
      <c r="D87" s="226">
        <f>+ROUNDUP(SUMIFS('MEMORIA CANTIDADES'!E:E,'MEMORIA CANTIDADES'!B:B,Table28[[#This Row],[DESCRIPCIÓN ]],'MEMORIA CANTIDADES'!C:C,Table28[[#This Row],[UNIDAD]]),0)</f>
        <v>0</v>
      </c>
      <c r="E87" s="225">
        <f>+VLOOKUP(Table28[[#This Row],[DESCRIPCIÓN ]],INSUMOS!A:D,3,FALSE)</f>
        <v>193350.39999999999</v>
      </c>
      <c r="F87" s="225">
        <f>+Table28[[#This Row],[CANTIDAD]]*Table28[[#This Row],[VALOR UNITARIO]]</f>
        <v>0</v>
      </c>
    </row>
    <row r="88" spans="1:6" s="193" customFormat="1" ht="28.8" hidden="1" x14ac:dyDescent="0.3">
      <c r="A88" s="193">
        <v>59</v>
      </c>
      <c r="B88" s="193" t="s">
        <v>2170</v>
      </c>
      <c r="C88" s="193" t="s">
        <v>1273</v>
      </c>
      <c r="D88" s="226">
        <f>+ROUNDUP(SUMIFS('MEMORIA CANTIDADES'!E:E,'MEMORIA CANTIDADES'!B:B,Table28[[#This Row],[DESCRIPCIÓN ]],'MEMORIA CANTIDADES'!C:C,Table28[[#This Row],[UNIDAD]]),0)</f>
        <v>0</v>
      </c>
      <c r="E88" s="225">
        <f>+VLOOKUP(Table28[[#This Row],[DESCRIPCIÓN ]],INSUMOS!A:D,3,FALSE)</f>
        <v>192633.65</v>
      </c>
      <c r="F88" s="225">
        <f>+Table28[[#This Row],[CANTIDAD]]*Table28[[#This Row],[VALOR UNITARIO]]</f>
        <v>0</v>
      </c>
    </row>
    <row r="89" spans="1:6" s="193" customFormat="1" ht="28.8" hidden="1" x14ac:dyDescent="0.3">
      <c r="A89" s="193">
        <v>60</v>
      </c>
      <c r="B89" s="193" t="s">
        <v>176</v>
      </c>
      <c r="C89" s="193" t="s">
        <v>1273</v>
      </c>
      <c r="D89" s="226">
        <f>+ROUNDUP(SUMIFS('MEMORIA CANTIDADES'!E:E,'MEMORIA CANTIDADES'!B:B,Table28[[#This Row],[DESCRIPCIÓN ]],'MEMORIA CANTIDADES'!C:C,Table28[[#This Row],[UNIDAD]]),0)</f>
        <v>0</v>
      </c>
      <c r="E89" s="225">
        <f>+VLOOKUP(Table28[[#This Row],[DESCRIPCIÓN ]],INSUMOS!A:D,3,FALSE)</f>
        <v>303109.8</v>
      </c>
      <c r="F89" s="225">
        <f>+Table28[[#This Row],[CANTIDAD]]*Table28[[#This Row],[VALOR UNITARIO]]</f>
        <v>0</v>
      </c>
    </row>
    <row r="90" spans="1:6" s="193" customFormat="1" ht="28.8" hidden="1" x14ac:dyDescent="0.3">
      <c r="A90" s="193">
        <v>61</v>
      </c>
      <c r="B90" s="193" t="s">
        <v>177</v>
      </c>
      <c r="C90" s="193" t="s">
        <v>1273</v>
      </c>
      <c r="D90" s="226">
        <f>+ROUNDUP(SUMIFS('MEMORIA CANTIDADES'!E:E,'MEMORIA CANTIDADES'!B:B,Table28[[#This Row],[DESCRIPCIÓN ]],'MEMORIA CANTIDADES'!C:C,Table28[[#This Row],[UNIDAD]]),0)</f>
        <v>0</v>
      </c>
      <c r="E90" s="225">
        <f>+VLOOKUP(Table28[[#This Row],[DESCRIPCIÓN ]],INSUMOS!A:D,3,FALSE)</f>
        <v>307499.46999999997</v>
      </c>
      <c r="F90" s="225">
        <f>+Table28[[#This Row],[CANTIDAD]]*Table28[[#This Row],[VALOR UNITARIO]]</f>
        <v>0</v>
      </c>
    </row>
    <row r="91" spans="1:6" s="193" customFormat="1" ht="28.8" hidden="1" x14ac:dyDescent="0.3">
      <c r="A91" s="193">
        <v>62</v>
      </c>
      <c r="B91" s="193" t="s">
        <v>178</v>
      </c>
      <c r="C91" s="193" t="s">
        <v>1273</v>
      </c>
      <c r="D91" s="226">
        <f>+ROUNDUP(SUMIFS('MEMORIA CANTIDADES'!E:E,'MEMORIA CANTIDADES'!B:B,Table28[[#This Row],[DESCRIPCIÓN ]],'MEMORIA CANTIDADES'!C:C,Table28[[#This Row],[UNIDAD]]),0)</f>
        <v>0</v>
      </c>
      <c r="E91" s="225">
        <f>+VLOOKUP(Table28[[#This Row],[DESCRIPCIÓN ]],INSUMOS!A:D,3,FALSE)</f>
        <v>307499.46999999997</v>
      </c>
      <c r="F91" s="225">
        <f>+Table28[[#This Row],[CANTIDAD]]*Table28[[#This Row],[VALOR UNITARIO]]</f>
        <v>0</v>
      </c>
    </row>
    <row r="92" spans="1:6" s="193" customFormat="1" ht="28.8" hidden="1" x14ac:dyDescent="0.3">
      <c r="A92" s="193">
        <v>63</v>
      </c>
      <c r="B92" s="193" t="s">
        <v>179</v>
      </c>
      <c r="C92" s="193" t="s">
        <v>1273</v>
      </c>
      <c r="D92" s="226">
        <f>+ROUNDUP(SUMIFS('MEMORIA CANTIDADES'!E:E,'MEMORIA CANTIDADES'!B:B,Table28[[#This Row],[DESCRIPCIÓN ]],'MEMORIA CANTIDADES'!C:C,Table28[[#This Row],[UNIDAD]]),0)</f>
        <v>0</v>
      </c>
      <c r="E92" s="225">
        <f>+VLOOKUP(Table28[[#This Row],[DESCRIPCIÓN ]],INSUMOS!A:D,3,FALSE)</f>
        <v>255075.14</v>
      </c>
      <c r="F92" s="225">
        <f>+Table28[[#This Row],[CANTIDAD]]*Table28[[#This Row],[VALOR UNITARIO]]</f>
        <v>0</v>
      </c>
    </row>
    <row r="93" spans="1:6" s="193" customFormat="1" ht="28.8" hidden="1" x14ac:dyDescent="0.3">
      <c r="A93" s="193">
        <v>64</v>
      </c>
      <c r="B93" s="193" t="s">
        <v>2171</v>
      </c>
      <c r="C93" s="193" t="s">
        <v>1273</v>
      </c>
      <c r="D93" s="226">
        <f>+ROUNDUP(SUMIFS('MEMORIA CANTIDADES'!E:E,'MEMORIA CANTIDADES'!B:B,Table28[[#This Row],[DESCRIPCIÓN ]],'MEMORIA CANTIDADES'!C:C,Table28[[#This Row],[UNIDAD]]),0)</f>
        <v>0</v>
      </c>
      <c r="E93" s="225">
        <f>+VLOOKUP(Table28[[#This Row],[DESCRIPCIÓN ]],INSUMOS!A:D,3,FALSE)</f>
        <v>268340.17</v>
      </c>
      <c r="F93" s="225">
        <f>+Table28[[#This Row],[CANTIDAD]]*Table28[[#This Row],[VALOR UNITARIO]]</f>
        <v>0</v>
      </c>
    </row>
    <row r="94" spans="1:6" s="193" customFormat="1" ht="28.8" hidden="1" x14ac:dyDescent="0.3">
      <c r="A94" s="193">
        <v>65</v>
      </c>
      <c r="B94" s="193" t="s">
        <v>180</v>
      </c>
      <c r="C94" s="193" t="s">
        <v>1273</v>
      </c>
      <c r="D94" s="226">
        <f>+ROUNDUP(SUMIFS('MEMORIA CANTIDADES'!E:E,'MEMORIA CANTIDADES'!B:B,Table28[[#This Row],[DESCRIPCIÓN ]],'MEMORIA CANTIDADES'!C:C,Table28[[#This Row],[UNIDAD]]),0)</f>
        <v>0</v>
      </c>
      <c r="E94" s="225">
        <f>+VLOOKUP(Table28[[#This Row],[DESCRIPCIÓN ]],INSUMOS!A:D,3,FALSE)</f>
        <v>267189.46000000002</v>
      </c>
      <c r="F94" s="225">
        <f>+Table28[[#This Row],[CANTIDAD]]*Table28[[#This Row],[VALOR UNITARIO]]</f>
        <v>0</v>
      </c>
    </row>
    <row r="95" spans="1:6" s="193" customFormat="1" hidden="1" x14ac:dyDescent="0.3">
      <c r="A95" s="193">
        <v>225</v>
      </c>
      <c r="B95" s="193" t="s">
        <v>181</v>
      </c>
      <c r="C95" s="193" t="s">
        <v>1270</v>
      </c>
      <c r="D95" s="226">
        <f>+ROUNDUP(SUMIFS('MEMORIA CANTIDADES'!E:E,'MEMORIA CANTIDADES'!B:B,Table28[[#This Row],[DESCRIPCIÓN ]],'MEMORIA CANTIDADES'!C:C,Table28[[#This Row],[UNIDAD]]),0)</f>
        <v>0</v>
      </c>
      <c r="E95" s="225">
        <f>+VLOOKUP(Table28[[#This Row],[DESCRIPCIÓN ]],INSUMOS!A:D,3,FALSE)</f>
        <v>5288.44</v>
      </c>
      <c r="F95" s="225">
        <f>+Table28[[#This Row],[CANTIDAD]]*Table28[[#This Row],[VALOR UNITARIO]]</f>
        <v>0</v>
      </c>
    </row>
    <row r="96" spans="1:6" s="193" customFormat="1" hidden="1" x14ac:dyDescent="0.3">
      <c r="A96" s="193">
        <v>226</v>
      </c>
      <c r="B96" s="193" t="s">
        <v>182</v>
      </c>
      <c r="C96" s="193" t="s">
        <v>1270</v>
      </c>
      <c r="D96" s="226">
        <f>+ROUNDUP(SUMIFS('MEMORIA CANTIDADES'!E:E,'MEMORIA CANTIDADES'!B:B,Table28[[#This Row],[DESCRIPCIÓN ]],'MEMORIA CANTIDADES'!C:C,Table28[[#This Row],[UNIDAD]]),0)</f>
        <v>0</v>
      </c>
      <c r="E96" s="225">
        <f>+VLOOKUP(Table28[[#This Row],[DESCRIPCIÓN ]],INSUMOS!A:D,3,FALSE)</f>
        <v>4256.74</v>
      </c>
      <c r="F96" s="225">
        <f>+Table28[[#This Row],[CANTIDAD]]*Table28[[#This Row],[VALOR UNITARIO]]</f>
        <v>0</v>
      </c>
    </row>
    <row r="97" spans="1:6" s="193" customFormat="1" hidden="1" x14ac:dyDescent="0.3">
      <c r="A97" s="193">
        <v>227</v>
      </c>
      <c r="B97" s="193" t="s">
        <v>183</v>
      </c>
      <c r="C97" s="193" t="s">
        <v>1270</v>
      </c>
      <c r="D97" s="226">
        <f>+ROUNDUP(SUMIFS('MEMORIA CANTIDADES'!E:E,'MEMORIA CANTIDADES'!B:B,Table28[[#This Row],[DESCRIPCIÓN ]],'MEMORIA CANTIDADES'!C:C,Table28[[#This Row],[UNIDAD]]),0)</f>
        <v>0</v>
      </c>
      <c r="E97" s="225">
        <f>+VLOOKUP(Table28[[#This Row],[DESCRIPCIÓN ]],INSUMOS!A:D,3,FALSE)</f>
        <v>1664.65</v>
      </c>
      <c r="F97" s="225">
        <f>+Table28[[#This Row],[CANTIDAD]]*Table28[[#This Row],[VALOR UNITARIO]]</f>
        <v>0</v>
      </c>
    </row>
    <row r="98" spans="1:6" s="193" customFormat="1" ht="28.8" hidden="1" x14ac:dyDescent="0.3">
      <c r="A98" s="193">
        <v>431</v>
      </c>
      <c r="B98" s="193" t="s">
        <v>184</v>
      </c>
      <c r="C98" s="193" t="s">
        <v>1274</v>
      </c>
      <c r="D98" s="226">
        <f>+ROUNDUP(SUMIFS('MEMORIA CANTIDADES'!E:E,'MEMORIA CANTIDADES'!B:B,Table28[[#This Row],[DESCRIPCIÓN ]],'MEMORIA CANTIDADES'!C:C,Table28[[#This Row],[UNIDAD]]),0)</f>
        <v>0</v>
      </c>
      <c r="E98" s="225">
        <f>+VLOOKUP(Table28[[#This Row],[DESCRIPCIÓN ]],INSUMOS!A:D,3,FALSE)</f>
        <v>371068.97</v>
      </c>
      <c r="F98" s="225">
        <f>+Table28[[#This Row],[CANTIDAD]]*Table28[[#This Row],[VALOR UNITARIO]]</f>
        <v>0</v>
      </c>
    </row>
    <row r="99" spans="1:6" s="193" customFormat="1" hidden="1" x14ac:dyDescent="0.3">
      <c r="A99" s="193">
        <v>432</v>
      </c>
      <c r="B99" s="193" t="s">
        <v>185</v>
      </c>
      <c r="C99" s="193" t="s">
        <v>1274</v>
      </c>
      <c r="D99" s="226">
        <f>+ROUNDUP(SUMIFS('MEMORIA CANTIDADES'!E:E,'MEMORIA CANTIDADES'!B:B,Table28[[#This Row],[DESCRIPCIÓN ]],'MEMORIA CANTIDADES'!C:C,Table28[[#This Row],[UNIDAD]]),0)</f>
        <v>0</v>
      </c>
      <c r="E99" s="225">
        <f>+VLOOKUP(Table28[[#This Row],[DESCRIPCIÓN ]],INSUMOS!A:D,3,FALSE)</f>
        <v>412172.08</v>
      </c>
      <c r="F99" s="225">
        <f>+Table28[[#This Row],[CANTIDAD]]*Table28[[#This Row],[VALOR UNITARIO]]</f>
        <v>0</v>
      </c>
    </row>
    <row r="100" spans="1:6" s="193" customFormat="1" ht="28.8" hidden="1" x14ac:dyDescent="0.3">
      <c r="A100" s="193">
        <v>433</v>
      </c>
      <c r="B100" s="193" t="s">
        <v>186</v>
      </c>
      <c r="C100" s="193" t="s">
        <v>1274</v>
      </c>
      <c r="D100" s="226">
        <f>+ROUNDUP(SUMIFS('MEMORIA CANTIDADES'!E:E,'MEMORIA CANTIDADES'!B:B,Table28[[#This Row],[DESCRIPCIÓN ]],'MEMORIA CANTIDADES'!C:C,Table28[[#This Row],[UNIDAD]]),0)</f>
        <v>0</v>
      </c>
      <c r="E100" s="225">
        <f>+VLOOKUP(Table28[[#This Row],[DESCRIPCIÓN ]],INSUMOS!A:D,3,FALSE)</f>
        <v>230439.16</v>
      </c>
      <c r="F100" s="225">
        <f>+Table28[[#This Row],[CANTIDAD]]*Table28[[#This Row],[VALOR UNITARIO]]</f>
        <v>0</v>
      </c>
    </row>
    <row r="101" spans="1:6" s="193" customFormat="1" ht="28.8" x14ac:dyDescent="0.3">
      <c r="A101" s="193">
        <v>42</v>
      </c>
      <c r="B101" s="193" t="s">
        <v>2158</v>
      </c>
      <c r="C101" s="193" t="s">
        <v>55</v>
      </c>
      <c r="D101" s="226">
        <f>+ROUNDUP(SUMIFS('MEMORIA CANTIDADES'!E:E,'MEMORIA CANTIDADES'!B:B,Table28[[#This Row],[DESCRIPCIÓN ]],'MEMORIA CANTIDADES'!C:C,Table28[[#This Row],[UNIDAD]]),0)</f>
        <v>5</v>
      </c>
      <c r="E101" s="225">
        <f>+VLOOKUP(Table28[[#This Row],[DESCRIPCIÓN ]],INSUMOS!A:D,3,FALSE)</f>
        <v>23015.19</v>
      </c>
      <c r="F101" s="225">
        <f>+Table28[[#This Row],[CANTIDAD]]*Table28[[#This Row],[VALOR UNITARIO]]</f>
        <v>115075.95</v>
      </c>
    </row>
    <row r="102" spans="1:6" s="193" customFormat="1" hidden="1" x14ac:dyDescent="0.3">
      <c r="A102" s="193">
        <v>435</v>
      </c>
      <c r="B102" s="193" t="s">
        <v>188</v>
      </c>
      <c r="C102" s="193" t="s">
        <v>2145</v>
      </c>
      <c r="D102" s="226">
        <f>+ROUNDUP(SUMIFS('MEMORIA CANTIDADES'!E:E,'MEMORIA CANTIDADES'!B:B,Table28[[#This Row],[DESCRIPCIÓN ]],'MEMORIA CANTIDADES'!C:C,Table28[[#This Row],[UNIDAD]]),0)</f>
        <v>0</v>
      </c>
      <c r="E102" s="225">
        <f>+VLOOKUP(Table28[[#This Row],[DESCRIPCIÓN ]],INSUMOS!A:D,3,FALSE)</f>
        <v>18729.89</v>
      </c>
      <c r="F102" s="225">
        <f>+Table28[[#This Row],[CANTIDAD]]*Table28[[#This Row],[VALOR UNITARIO]]</f>
        <v>0</v>
      </c>
    </row>
    <row r="103" spans="1:6" s="193" customFormat="1" hidden="1" x14ac:dyDescent="0.3">
      <c r="A103" s="193">
        <v>436</v>
      </c>
      <c r="B103" s="193" t="s">
        <v>189</v>
      </c>
      <c r="C103" s="193" t="s">
        <v>2145</v>
      </c>
      <c r="D103" s="226">
        <f>+ROUNDUP(SUMIFS('MEMORIA CANTIDADES'!E:E,'MEMORIA CANTIDADES'!B:B,Table28[[#This Row],[DESCRIPCIÓN ]],'MEMORIA CANTIDADES'!C:C,Table28[[#This Row],[UNIDAD]]),0)</f>
        <v>0</v>
      </c>
      <c r="E103" s="225">
        <f>+VLOOKUP(Table28[[#This Row],[DESCRIPCIÓN ]],INSUMOS!A:D,3,FALSE)</f>
        <v>20220.48</v>
      </c>
      <c r="F103" s="225">
        <f>+Table28[[#This Row],[CANTIDAD]]*Table28[[#This Row],[VALOR UNITARIO]]</f>
        <v>0</v>
      </c>
    </row>
    <row r="104" spans="1:6" s="193" customFormat="1" x14ac:dyDescent="0.3">
      <c r="A104" s="193">
        <v>66</v>
      </c>
      <c r="B104" s="193" t="s">
        <v>215</v>
      </c>
      <c r="C104" s="193" t="s">
        <v>1273</v>
      </c>
      <c r="D104" s="226">
        <v>4</v>
      </c>
      <c r="E104" s="225">
        <f>+VLOOKUP(Table28[[#This Row],[DESCRIPCIÓN ]],INSUMOS!A:D,3,FALSE)</f>
        <v>243964.03</v>
      </c>
      <c r="F104" s="225">
        <f>+Table28[[#This Row],[CANTIDAD]]*Table28[[#This Row],[VALOR UNITARIO]]</f>
        <v>975856.12</v>
      </c>
    </row>
    <row r="105" spans="1:6" s="193" customFormat="1" hidden="1" x14ac:dyDescent="0.3">
      <c r="A105" s="193">
        <v>438</v>
      </c>
      <c r="B105" s="193" t="s">
        <v>191</v>
      </c>
      <c r="C105" s="193" t="s">
        <v>2145</v>
      </c>
      <c r="D105" s="226">
        <f>+ROUNDUP(SUMIFS('MEMORIA CANTIDADES'!E:E,'MEMORIA CANTIDADES'!B:B,Table28[[#This Row],[DESCRIPCIÓN ]],'MEMORIA CANTIDADES'!C:C,Table28[[#This Row],[UNIDAD]]),0)</f>
        <v>0</v>
      </c>
      <c r="E105" s="225">
        <f>+VLOOKUP(Table28[[#This Row],[DESCRIPCIÓN ]],INSUMOS!A:D,3,FALSE)</f>
        <v>16003.66</v>
      </c>
      <c r="F105" s="225">
        <f>+Table28[[#This Row],[CANTIDAD]]*Table28[[#This Row],[VALOR UNITARIO]]</f>
        <v>0</v>
      </c>
    </row>
    <row r="106" spans="1:6" s="193" customFormat="1" hidden="1" x14ac:dyDescent="0.3">
      <c r="A106" s="193">
        <v>439</v>
      </c>
      <c r="B106" s="193" t="s">
        <v>192</v>
      </c>
      <c r="C106" s="193" t="s">
        <v>2145</v>
      </c>
      <c r="D106" s="226">
        <f>+ROUNDUP(SUMIFS('MEMORIA CANTIDADES'!E:E,'MEMORIA CANTIDADES'!B:B,Table28[[#This Row],[DESCRIPCIÓN ]],'MEMORIA CANTIDADES'!C:C,Table28[[#This Row],[UNIDAD]]),0)</f>
        <v>0</v>
      </c>
      <c r="E106" s="225">
        <f>+VLOOKUP(Table28[[#This Row],[DESCRIPCIÓN ]],INSUMOS!A:D,3,FALSE)</f>
        <v>18179.86</v>
      </c>
      <c r="F106" s="225">
        <f>+Table28[[#This Row],[CANTIDAD]]*Table28[[#This Row],[VALOR UNITARIO]]</f>
        <v>0</v>
      </c>
    </row>
    <row r="107" spans="1:6" s="193" customFormat="1" ht="28.8" hidden="1" x14ac:dyDescent="0.3">
      <c r="A107" s="193">
        <v>228</v>
      </c>
      <c r="B107" s="193" t="s">
        <v>193</v>
      </c>
      <c r="C107" s="193" t="s">
        <v>1270</v>
      </c>
      <c r="D107" s="226">
        <f>+ROUNDUP(SUMIFS('MEMORIA CANTIDADES'!E:E,'MEMORIA CANTIDADES'!B:B,Table28[[#This Row],[DESCRIPCIÓN ]],'MEMORIA CANTIDADES'!C:C,Table28[[#This Row],[UNIDAD]]),0)</f>
        <v>0</v>
      </c>
      <c r="E107" s="225">
        <f>+VLOOKUP(Table28[[#This Row],[DESCRIPCIÓN ]],INSUMOS!A:D,3,FALSE)</f>
        <v>5318.09</v>
      </c>
      <c r="F107" s="225">
        <f>+Table28[[#This Row],[CANTIDAD]]*Table28[[#This Row],[VALOR UNITARIO]]</f>
        <v>0</v>
      </c>
    </row>
    <row r="108" spans="1:6" s="193" customFormat="1" ht="28.8" hidden="1" x14ac:dyDescent="0.3">
      <c r="A108" s="193">
        <v>229</v>
      </c>
      <c r="B108" s="193" t="s">
        <v>194</v>
      </c>
      <c r="C108" s="193" t="s">
        <v>1270</v>
      </c>
      <c r="D108" s="226">
        <f>+ROUNDUP(SUMIFS('MEMORIA CANTIDADES'!E:E,'MEMORIA CANTIDADES'!B:B,Table28[[#This Row],[DESCRIPCIÓN ]],'MEMORIA CANTIDADES'!C:C,Table28[[#This Row],[UNIDAD]]),0)</f>
        <v>0</v>
      </c>
      <c r="E108" s="225">
        <f>+VLOOKUP(Table28[[#This Row],[DESCRIPCIÓN ]],INSUMOS!A:D,3,FALSE)</f>
        <v>3382.47</v>
      </c>
      <c r="F108" s="225">
        <f>+Table28[[#This Row],[CANTIDAD]]*Table28[[#This Row],[VALOR UNITARIO]]</f>
        <v>0</v>
      </c>
    </row>
    <row r="109" spans="1:6" s="193" customFormat="1" ht="28.8" hidden="1" x14ac:dyDescent="0.3">
      <c r="A109" s="193">
        <v>230</v>
      </c>
      <c r="B109" s="193" t="s">
        <v>195</v>
      </c>
      <c r="C109" s="193" t="s">
        <v>1270</v>
      </c>
      <c r="D109" s="226">
        <f>+ROUNDUP(SUMIFS('MEMORIA CANTIDADES'!E:E,'MEMORIA CANTIDADES'!B:B,Table28[[#This Row],[DESCRIPCIÓN ]],'MEMORIA CANTIDADES'!C:C,Table28[[#This Row],[UNIDAD]]),0)</f>
        <v>0</v>
      </c>
      <c r="E109" s="225">
        <f>+VLOOKUP(Table28[[#This Row],[DESCRIPCIÓN ]],INSUMOS!A:D,3,FALSE)</f>
        <v>1736.16</v>
      </c>
      <c r="F109" s="225">
        <f>+Table28[[#This Row],[CANTIDAD]]*Table28[[#This Row],[VALOR UNITARIO]]</f>
        <v>0</v>
      </c>
    </row>
    <row r="110" spans="1:6" s="193" customFormat="1" hidden="1" x14ac:dyDescent="0.3">
      <c r="A110" s="193">
        <v>231</v>
      </c>
      <c r="B110" s="193" t="s">
        <v>196</v>
      </c>
      <c r="C110" s="193" t="s">
        <v>1270</v>
      </c>
      <c r="D110" s="226">
        <f>+ROUNDUP(SUMIFS('MEMORIA CANTIDADES'!E:E,'MEMORIA CANTIDADES'!B:B,Table28[[#This Row],[DESCRIPCIÓN ]],'MEMORIA CANTIDADES'!C:C,Table28[[#This Row],[UNIDAD]]),0)</f>
        <v>0</v>
      </c>
      <c r="E110" s="225">
        <f>+VLOOKUP(Table28[[#This Row],[DESCRIPCIÓN ]],INSUMOS!A:D,3,FALSE)</f>
        <v>8508.73</v>
      </c>
      <c r="F110" s="225">
        <f>+Table28[[#This Row],[CANTIDAD]]*Table28[[#This Row],[VALOR UNITARIO]]</f>
        <v>0</v>
      </c>
    </row>
    <row r="111" spans="1:6" s="193" customFormat="1" ht="28.8" hidden="1" x14ac:dyDescent="0.3">
      <c r="A111" s="193">
        <v>424</v>
      </c>
      <c r="B111" s="193" t="s">
        <v>197</v>
      </c>
      <c r="C111" s="193" t="s">
        <v>1275</v>
      </c>
      <c r="D111" s="226">
        <f>+ROUNDUP(SUMIFS('MEMORIA CANTIDADES'!E:E,'MEMORIA CANTIDADES'!B:B,Table28[[#This Row],[DESCRIPCIÓN ]],'MEMORIA CANTIDADES'!C:C,Table28[[#This Row],[UNIDAD]]),0)</f>
        <v>0</v>
      </c>
      <c r="E111" s="225">
        <f>+VLOOKUP(Table28[[#This Row],[DESCRIPCIÓN ]],INSUMOS!A:D,3,FALSE)</f>
        <v>19576.11</v>
      </c>
      <c r="F111" s="225">
        <f>+Table28[[#This Row],[CANTIDAD]]*Table28[[#This Row],[VALOR UNITARIO]]</f>
        <v>0</v>
      </c>
    </row>
    <row r="112" spans="1:6" s="193" customFormat="1" hidden="1" x14ac:dyDescent="0.3">
      <c r="A112" s="193">
        <v>155</v>
      </c>
      <c r="B112" s="193" t="s">
        <v>198</v>
      </c>
      <c r="C112" s="193" t="s">
        <v>55</v>
      </c>
      <c r="D112" s="226">
        <f>+ROUNDUP(SUMIFS('MEMORIA CANTIDADES'!E:E,'MEMORIA CANTIDADES'!B:B,Table28[[#This Row],[DESCRIPCIÓN ]],'MEMORIA CANTIDADES'!C:C,Table28[[#This Row],[UNIDAD]]),0)</f>
        <v>0</v>
      </c>
      <c r="E112" s="225">
        <f>+VLOOKUP(Table28[[#This Row],[DESCRIPCIÓN ]],INSUMOS!A:D,3,FALSE)</f>
        <v>514.51</v>
      </c>
      <c r="F112" s="225">
        <f>+Table28[[#This Row],[CANTIDAD]]*Table28[[#This Row],[VALOR UNITARIO]]</f>
        <v>0</v>
      </c>
    </row>
    <row r="113" spans="1:6" s="193" customFormat="1" ht="28.8" hidden="1" x14ac:dyDescent="0.3">
      <c r="A113" s="193">
        <v>742</v>
      </c>
      <c r="B113" s="193" t="s">
        <v>199</v>
      </c>
      <c r="C113" s="193" t="s">
        <v>55</v>
      </c>
      <c r="D113" s="226">
        <f>+ROUNDUP(SUMIFS('MEMORIA CANTIDADES'!E:E,'MEMORIA CANTIDADES'!B:B,Table28[[#This Row],[DESCRIPCIÓN ]],'MEMORIA CANTIDADES'!C:C,Table28[[#This Row],[UNIDAD]]),0)</f>
        <v>0</v>
      </c>
      <c r="E113" s="225">
        <f>+VLOOKUP(Table28[[#This Row],[DESCRIPCIÓN ]],INSUMOS!A:D,3,FALSE)</f>
        <v>8113.37</v>
      </c>
      <c r="F113" s="225">
        <f>+Table28[[#This Row],[CANTIDAD]]*Table28[[#This Row],[VALOR UNITARIO]]</f>
        <v>0</v>
      </c>
    </row>
    <row r="114" spans="1:6" s="193" customFormat="1" ht="28.8" hidden="1" x14ac:dyDescent="0.3">
      <c r="A114" s="193">
        <v>743</v>
      </c>
      <c r="B114" s="193" t="s">
        <v>200</v>
      </c>
      <c r="C114" s="193" t="s">
        <v>55</v>
      </c>
      <c r="D114" s="226">
        <f>+ROUNDUP(SUMIFS('MEMORIA CANTIDADES'!E:E,'MEMORIA CANTIDADES'!B:B,Table28[[#This Row],[DESCRIPCIÓN ]],'MEMORIA CANTIDADES'!C:C,Table28[[#This Row],[UNIDAD]]),0)</f>
        <v>0</v>
      </c>
      <c r="E114" s="225" t="e">
        <f>+VLOOKUP(Table28[[#This Row],[DESCRIPCIÓN ]],INSUMOS!A:D,3,FALSE)</f>
        <v>#N/A</v>
      </c>
      <c r="F114" s="225" t="e">
        <f>+Table28[[#This Row],[CANTIDAD]]*Table28[[#This Row],[VALOR UNITARIO]]</f>
        <v>#N/A</v>
      </c>
    </row>
    <row r="115" spans="1:6" s="193" customFormat="1" ht="28.8" hidden="1" x14ac:dyDescent="0.3">
      <c r="A115" s="193">
        <v>744</v>
      </c>
      <c r="B115" s="193" t="s">
        <v>201</v>
      </c>
      <c r="C115" s="193" t="s">
        <v>55</v>
      </c>
      <c r="D115" s="226">
        <f>+ROUNDUP(SUMIFS('MEMORIA CANTIDADES'!E:E,'MEMORIA CANTIDADES'!B:B,Table28[[#This Row],[DESCRIPCIÓN ]],'MEMORIA CANTIDADES'!C:C,Table28[[#This Row],[UNIDAD]]),0)</f>
        <v>0</v>
      </c>
      <c r="E115" s="225">
        <f>+VLOOKUP(Table28[[#This Row],[DESCRIPCIÓN ]],INSUMOS!A:D,3,FALSE)</f>
        <v>22613.83</v>
      </c>
      <c r="F115" s="225">
        <f>+Table28[[#This Row],[CANTIDAD]]*Table28[[#This Row],[VALOR UNITARIO]]</f>
        <v>0</v>
      </c>
    </row>
    <row r="116" spans="1:6" s="193" customFormat="1" ht="28.8" hidden="1" x14ac:dyDescent="0.3">
      <c r="A116" s="193">
        <v>745</v>
      </c>
      <c r="B116" s="193" t="s">
        <v>202</v>
      </c>
      <c r="C116" s="193" t="s">
        <v>55</v>
      </c>
      <c r="D116" s="226">
        <f>+ROUNDUP(SUMIFS('MEMORIA CANTIDADES'!E:E,'MEMORIA CANTIDADES'!B:B,Table28[[#This Row],[DESCRIPCIÓN ]],'MEMORIA CANTIDADES'!C:C,Table28[[#This Row],[UNIDAD]]),0)</f>
        <v>0</v>
      </c>
      <c r="E116" s="225">
        <f>+VLOOKUP(Table28[[#This Row],[DESCRIPCIÓN ]],INSUMOS!A:D,3,FALSE)</f>
        <v>18604.29</v>
      </c>
      <c r="F116" s="225">
        <f>+Table28[[#This Row],[CANTIDAD]]*Table28[[#This Row],[VALOR UNITARIO]]</f>
        <v>0</v>
      </c>
    </row>
    <row r="117" spans="1:6" s="193" customFormat="1" ht="28.8" hidden="1" x14ac:dyDescent="0.3">
      <c r="A117" s="193">
        <v>440</v>
      </c>
      <c r="B117" s="193" t="s">
        <v>203</v>
      </c>
      <c r="C117" s="193" t="s">
        <v>55</v>
      </c>
      <c r="D117" s="226">
        <f>+ROUNDUP(SUMIFS('MEMORIA CANTIDADES'!E:E,'MEMORIA CANTIDADES'!B:B,Table28[[#This Row],[DESCRIPCIÓN ]],'MEMORIA CANTIDADES'!C:C,Table28[[#This Row],[UNIDAD]]),0)</f>
        <v>0</v>
      </c>
      <c r="E117" s="225">
        <f>+VLOOKUP(Table28[[#This Row],[DESCRIPCIÓN ]],INSUMOS!A:D,3,FALSE)</f>
        <v>66297.13</v>
      </c>
      <c r="F117" s="225">
        <f>+Table28[[#This Row],[CANTIDAD]]*Table28[[#This Row],[VALOR UNITARIO]]</f>
        <v>0</v>
      </c>
    </row>
    <row r="118" spans="1:6" s="193" customFormat="1" ht="28.8" hidden="1" x14ac:dyDescent="0.3">
      <c r="A118" s="193">
        <v>441</v>
      </c>
      <c r="B118" s="193" t="s">
        <v>204</v>
      </c>
      <c r="C118" s="193" t="s">
        <v>55</v>
      </c>
      <c r="D118" s="226">
        <f>+ROUNDUP(SUMIFS('MEMORIA CANTIDADES'!E:E,'MEMORIA CANTIDADES'!B:B,Table28[[#This Row],[DESCRIPCIÓN ]],'MEMORIA CANTIDADES'!C:C,Table28[[#This Row],[UNIDAD]]),0)</f>
        <v>0</v>
      </c>
      <c r="E118" s="225">
        <f>+VLOOKUP(Table28[[#This Row],[DESCRIPCIÓN ]],INSUMOS!A:D,3,FALSE)</f>
        <v>100101.96</v>
      </c>
      <c r="F118" s="225">
        <f>+Table28[[#This Row],[CANTIDAD]]*Table28[[#This Row],[VALOR UNITARIO]]</f>
        <v>0</v>
      </c>
    </row>
    <row r="119" spans="1:6" s="193" customFormat="1" ht="28.8" hidden="1" x14ac:dyDescent="0.3">
      <c r="A119" s="193">
        <v>442</v>
      </c>
      <c r="B119" s="193" t="s">
        <v>205</v>
      </c>
      <c r="C119" s="193" t="s">
        <v>55</v>
      </c>
      <c r="D119" s="226">
        <f>+ROUNDUP(SUMIFS('MEMORIA CANTIDADES'!E:E,'MEMORIA CANTIDADES'!B:B,Table28[[#This Row],[DESCRIPCIÓN ]],'MEMORIA CANTIDADES'!C:C,Table28[[#This Row],[UNIDAD]]),0)</f>
        <v>0</v>
      </c>
      <c r="E119" s="225">
        <f>+VLOOKUP(Table28[[#This Row],[DESCRIPCIÓN ]],INSUMOS!A:D,3,FALSE)</f>
        <v>91142.11</v>
      </c>
      <c r="F119" s="225">
        <f>+Table28[[#This Row],[CANTIDAD]]*Table28[[#This Row],[VALOR UNITARIO]]</f>
        <v>0</v>
      </c>
    </row>
    <row r="120" spans="1:6" s="193" customFormat="1" ht="28.8" hidden="1" x14ac:dyDescent="0.3">
      <c r="A120" s="193">
        <v>443</v>
      </c>
      <c r="B120" s="193" t="s">
        <v>206</v>
      </c>
      <c r="C120" s="193" t="s">
        <v>55</v>
      </c>
      <c r="D120" s="226">
        <f>+ROUNDUP(SUMIFS('MEMORIA CANTIDADES'!E:E,'MEMORIA CANTIDADES'!B:B,Table28[[#This Row],[DESCRIPCIÓN ]],'MEMORIA CANTIDADES'!C:C,Table28[[#This Row],[UNIDAD]]),0)</f>
        <v>0</v>
      </c>
      <c r="E120" s="225">
        <f>+VLOOKUP(Table28[[#This Row],[DESCRIPCIÓN ]],INSUMOS!A:D,3,FALSE)</f>
        <v>187501.94</v>
      </c>
      <c r="F120" s="225">
        <f>+Table28[[#This Row],[CANTIDAD]]*Table28[[#This Row],[VALOR UNITARIO]]</f>
        <v>0</v>
      </c>
    </row>
    <row r="121" spans="1:6" s="193" customFormat="1" x14ac:dyDescent="0.3">
      <c r="A121" s="193">
        <v>67</v>
      </c>
      <c r="B121" s="193" t="s">
        <v>216</v>
      </c>
      <c r="C121" s="193" t="s">
        <v>1273</v>
      </c>
      <c r="D121" s="226">
        <f>+ROUNDUP(SUMIFS('MEMORIA CANTIDADES'!E:E,'MEMORIA CANTIDADES'!B:B,Table28[[#This Row],[DESCRIPCIÓN ]],'MEMORIA CANTIDADES'!C:C,Table28[[#This Row],[UNIDAD]]),0)</f>
        <v>592</v>
      </c>
      <c r="E121" s="225">
        <f>+VLOOKUP(Table28[[#This Row],[DESCRIPCIÓN ]],INSUMOS!A:D,3,FALSE)</f>
        <v>312239.94</v>
      </c>
      <c r="F121" s="225">
        <f>+Table28[[#This Row],[CANTIDAD]]*Table28[[#This Row],[VALOR UNITARIO]]</f>
        <v>184846044.47999999</v>
      </c>
    </row>
    <row r="122" spans="1:6" s="193" customFormat="1" hidden="1" x14ac:dyDescent="0.3">
      <c r="A122" s="193">
        <v>445</v>
      </c>
      <c r="B122" s="193" t="s">
        <v>208</v>
      </c>
      <c r="C122" s="193" t="s">
        <v>55</v>
      </c>
      <c r="D122" s="226">
        <f>+ROUNDUP(SUMIFS('MEMORIA CANTIDADES'!E:E,'MEMORIA CANTIDADES'!B:B,Table28[[#This Row],[DESCRIPCIÓN ]],'MEMORIA CANTIDADES'!C:C,Table28[[#This Row],[UNIDAD]]),0)</f>
        <v>0</v>
      </c>
      <c r="E122" s="225">
        <f>+VLOOKUP(Table28[[#This Row],[DESCRIPCIÓN ]],INSUMOS!A:D,3,FALSE)</f>
        <v>346.23</v>
      </c>
      <c r="F122" s="225">
        <f>+Table28[[#This Row],[CANTIDAD]]*Table28[[#This Row],[VALOR UNITARIO]]</f>
        <v>0</v>
      </c>
    </row>
    <row r="123" spans="1:6" s="193" customFormat="1" hidden="1" x14ac:dyDescent="0.3">
      <c r="A123" s="193">
        <v>446</v>
      </c>
      <c r="B123" s="193" t="s">
        <v>209</v>
      </c>
      <c r="C123" s="193" t="s">
        <v>55</v>
      </c>
      <c r="D123" s="226">
        <f>+ROUNDUP(SUMIFS('MEMORIA CANTIDADES'!E:E,'MEMORIA CANTIDADES'!B:B,Table28[[#This Row],[DESCRIPCIÓN ]],'MEMORIA CANTIDADES'!C:C,Table28[[#This Row],[UNIDAD]]),0)</f>
        <v>0</v>
      </c>
      <c r="E123" s="225">
        <f>+VLOOKUP(Table28[[#This Row],[DESCRIPCIÓN ]],INSUMOS!A:D,3,FALSE)</f>
        <v>353.61</v>
      </c>
      <c r="F123" s="225">
        <f>+Table28[[#This Row],[CANTIDAD]]*Table28[[#This Row],[VALOR UNITARIO]]</f>
        <v>0</v>
      </c>
    </row>
    <row r="124" spans="1:6" s="193" customFormat="1" hidden="1" x14ac:dyDescent="0.3">
      <c r="A124" s="193">
        <v>447</v>
      </c>
      <c r="B124" s="193" t="s">
        <v>210</v>
      </c>
      <c r="C124" s="193" t="s">
        <v>55</v>
      </c>
      <c r="D124" s="226">
        <f>+ROUNDUP(SUMIFS('MEMORIA CANTIDADES'!E:E,'MEMORIA CANTIDADES'!B:B,Table28[[#This Row],[DESCRIPCIÓN ]],'MEMORIA CANTIDADES'!C:C,Table28[[#This Row],[UNIDAD]]),0)</f>
        <v>0</v>
      </c>
      <c r="E124" s="225">
        <f>+VLOOKUP(Table28[[#This Row],[DESCRIPCIÓN ]],INSUMOS!A:D,3,FALSE)</f>
        <v>20.420000000000002</v>
      </c>
      <c r="F124" s="225">
        <f>+Table28[[#This Row],[CANTIDAD]]*Table28[[#This Row],[VALOR UNITARIO]]</f>
        <v>0</v>
      </c>
    </row>
    <row r="125" spans="1:6" s="193" customFormat="1" hidden="1" x14ac:dyDescent="0.3">
      <c r="A125" s="193">
        <v>448</v>
      </c>
      <c r="B125" s="193" t="s">
        <v>211</v>
      </c>
      <c r="C125" s="193" t="s">
        <v>55</v>
      </c>
      <c r="D125" s="226">
        <f>+ROUNDUP(SUMIFS('MEMORIA CANTIDADES'!E:E,'MEMORIA CANTIDADES'!B:B,Table28[[#This Row],[DESCRIPCIÓN ]],'MEMORIA CANTIDADES'!C:C,Table28[[#This Row],[UNIDAD]]),0)</f>
        <v>0</v>
      </c>
      <c r="E125" s="225">
        <f>+VLOOKUP(Table28[[#This Row],[DESCRIPCIÓN ]],INSUMOS!A:D,3,FALSE)</f>
        <v>717.59</v>
      </c>
      <c r="F125" s="225">
        <f>+Table28[[#This Row],[CANTIDAD]]*Table28[[#This Row],[VALOR UNITARIO]]</f>
        <v>0</v>
      </c>
    </row>
    <row r="126" spans="1:6" s="193" customFormat="1" hidden="1" x14ac:dyDescent="0.3">
      <c r="A126" s="193">
        <v>449</v>
      </c>
      <c r="B126" s="193" t="s">
        <v>212</v>
      </c>
      <c r="C126" s="193" t="s">
        <v>55</v>
      </c>
      <c r="D126" s="226">
        <f>+ROUNDUP(SUMIFS('MEMORIA CANTIDADES'!E:E,'MEMORIA CANTIDADES'!B:B,Table28[[#This Row],[DESCRIPCIÓN ]],'MEMORIA CANTIDADES'!C:C,Table28[[#This Row],[UNIDAD]]),0)</f>
        <v>0</v>
      </c>
      <c r="E126" s="225">
        <f>+VLOOKUP(Table28[[#This Row],[DESCRIPCIÓN ]],INSUMOS!A:D,3,FALSE)</f>
        <v>389.2</v>
      </c>
      <c r="F126" s="225">
        <f>+Table28[[#This Row],[CANTIDAD]]*Table28[[#This Row],[VALOR UNITARIO]]</f>
        <v>0</v>
      </c>
    </row>
    <row r="127" spans="1:6" s="193" customFormat="1" hidden="1" x14ac:dyDescent="0.3">
      <c r="A127" s="193">
        <v>450</v>
      </c>
      <c r="B127" s="193" t="s">
        <v>213</v>
      </c>
      <c r="C127" s="193" t="s">
        <v>55</v>
      </c>
      <c r="D127" s="226">
        <f>+ROUNDUP(SUMIFS('MEMORIA CANTIDADES'!E:E,'MEMORIA CANTIDADES'!B:B,Table28[[#This Row],[DESCRIPCIÓN ]],'MEMORIA CANTIDADES'!C:C,Table28[[#This Row],[UNIDAD]]),0)</f>
        <v>0</v>
      </c>
      <c r="E127" s="225">
        <f>+VLOOKUP(Table28[[#This Row],[DESCRIPCIÓN ]],INSUMOS!A:D,3,FALSE)</f>
        <v>788.08</v>
      </c>
      <c r="F127" s="225">
        <f>+Table28[[#This Row],[CANTIDAD]]*Table28[[#This Row],[VALOR UNITARIO]]</f>
        <v>0</v>
      </c>
    </row>
    <row r="128" spans="1:6" s="193" customFormat="1" hidden="1" x14ac:dyDescent="0.3">
      <c r="A128" s="193">
        <v>451</v>
      </c>
      <c r="B128" s="193" t="s">
        <v>214</v>
      </c>
      <c r="C128" s="193" t="s">
        <v>55</v>
      </c>
      <c r="D128" s="226">
        <f>+ROUNDUP(SUMIFS('MEMORIA CANTIDADES'!E:E,'MEMORIA CANTIDADES'!B:B,Table28[[#This Row],[DESCRIPCIÓN ]],'MEMORIA CANTIDADES'!C:C,Table28[[#This Row],[UNIDAD]]),0)</f>
        <v>0</v>
      </c>
      <c r="E128" s="225">
        <f>+VLOOKUP(Table28[[#This Row],[DESCRIPCIÓN ]],INSUMOS!A:D,3,FALSE)</f>
        <v>1239.69</v>
      </c>
      <c r="F128" s="225">
        <f>+Table28[[#This Row],[CANTIDAD]]*Table28[[#This Row],[VALOR UNITARIO]]</f>
        <v>0</v>
      </c>
    </row>
    <row r="129" spans="1:6" s="193" customFormat="1" x14ac:dyDescent="0.3">
      <c r="A129" s="193">
        <v>71</v>
      </c>
      <c r="B129" s="193" t="s">
        <v>595</v>
      </c>
      <c r="C129" s="193" t="s">
        <v>1273</v>
      </c>
      <c r="D129" s="226">
        <f>+ROUNDUP(SUMIFS('MEMORIA CANTIDADES'!E:E,'MEMORIA CANTIDADES'!B:B,Table28[[#This Row],[DESCRIPCIÓN ]],'MEMORIA CANTIDADES'!C:C,Table28[[#This Row],[UNIDAD]]),0)</f>
        <v>55</v>
      </c>
      <c r="E129" s="225">
        <f>+VLOOKUP(Table28[[#This Row],[DESCRIPCIÓN ]],INSUMOS!A:D,3,FALSE)</f>
        <v>288567.81</v>
      </c>
      <c r="F129" s="225">
        <f>+Table28[[#This Row],[CANTIDAD]]*Table28[[#This Row],[VALOR UNITARIO]]</f>
        <v>15871229.550000001</v>
      </c>
    </row>
    <row r="130" spans="1:6" s="193" customFormat="1" x14ac:dyDescent="0.3">
      <c r="A130" s="193">
        <v>78</v>
      </c>
      <c r="B130" s="193" t="s">
        <v>794</v>
      </c>
      <c r="C130" s="193" t="s">
        <v>1273</v>
      </c>
      <c r="D130" s="226">
        <f>+ROUNDUP(SUMIFS('MEMORIA CANTIDADES'!E:E,'MEMORIA CANTIDADES'!B:B,Table28[[#This Row],[DESCRIPCIÓN ]],'MEMORIA CANTIDADES'!C:C,Table28[[#This Row],[UNIDAD]]),0)</f>
        <v>46</v>
      </c>
      <c r="E130" s="225">
        <f>+VLOOKUP(Table28[[#This Row],[DESCRIPCIÓN ]],INSUMOS!A:D,3,FALSE)</f>
        <v>158195.79999999999</v>
      </c>
      <c r="F130" s="225">
        <f>+Table28[[#This Row],[CANTIDAD]]*Table28[[#This Row],[VALOR UNITARIO]]</f>
        <v>7277006.7999999998</v>
      </c>
    </row>
    <row r="131" spans="1:6" s="193" customFormat="1" hidden="1" x14ac:dyDescent="0.3">
      <c r="A131" s="193">
        <v>68</v>
      </c>
      <c r="B131" s="193" t="s">
        <v>217</v>
      </c>
      <c r="C131" s="193" t="s">
        <v>1273</v>
      </c>
      <c r="D131" s="226">
        <f>+ROUNDUP(SUMIFS('MEMORIA CANTIDADES'!E:E,'MEMORIA CANTIDADES'!B:B,Table28[[#This Row],[DESCRIPCIÓN ]],'MEMORIA CANTIDADES'!C:C,Table28[[#This Row],[UNIDAD]]),0)</f>
        <v>0</v>
      </c>
      <c r="E131" s="225">
        <f>+VLOOKUP(Table28[[#This Row],[DESCRIPCIÓN ]],INSUMOS!A:D,3,FALSE)</f>
        <v>243612.92</v>
      </c>
      <c r="F131" s="225">
        <f>+Table28[[#This Row],[CANTIDAD]]*Table28[[#This Row],[VALOR UNITARIO]]</f>
        <v>0</v>
      </c>
    </row>
    <row r="132" spans="1:6" s="193" customFormat="1" hidden="1" x14ac:dyDescent="0.3">
      <c r="A132" s="193">
        <v>1211</v>
      </c>
      <c r="B132" s="193" t="s">
        <v>218</v>
      </c>
      <c r="C132" s="193" t="s">
        <v>2145</v>
      </c>
      <c r="D132" s="226">
        <f>+ROUNDUP(SUMIFS('MEMORIA CANTIDADES'!E:E,'MEMORIA CANTIDADES'!B:B,Table28[[#This Row],[DESCRIPCIÓN ]],'MEMORIA CANTIDADES'!C:C,Table28[[#This Row],[UNIDAD]]),0)</f>
        <v>0</v>
      </c>
      <c r="E132" s="225">
        <f>+VLOOKUP(Table28[[#This Row],[DESCRIPCIÓN ]],INSUMOS!A:D,3,FALSE)</f>
        <v>19362.41</v>
      </c>
      <c r="F132" s="225">
        <f>+Table28[[#This Row],[CANTIDAD]]*Table28[[#This Row],[VALOR UNITARIO]]</f>
        <v>0</v>
      </c>
    </row>
    <row r="133" spans="1:6" s="193" customFormat="1" ht="57.6" hidden="1" x14ac:dyDescent="0.3">
      <c r="A133" s="193">
        <v>1207</v>
      </c>
      <c r="B133" s="193" t="s">
        <v>2227</v>
      </c>
      <c r="C133" s="193" t="s">
        <v>55</v>
      </c>
      <c r="D133" s="226">
        <f>+ROUNDUP(SUMIFS('MEMORIA CANTIDADES'!E:E,'MEMORIA CANTIDADES'!B:B,Table28[[#This Row],[DESCRIPCIÓN ]],'MEMORIA CANTIDADES'!C:C,Table28[[#This Row],[UNIDAD]]),0)</f>
        <v>0</v>
      </c>
      <c r="E133" s="225" t="e">
        <f>+VLOOKUP(Table28[[#This Row],[DESCRIPCIÓN ]],INSUMOS!A:D,3,FALSE)</f>
        <v>#N/A</v>
      </c>
      <c r="F133" s="225" t="e">
        <f>+Table28[[#This Row],[CANTIDAD]]*Table28[[#This Row],[VALOR UNITARIO]]</f>
        <v>#N/A</v>
      </c>
    </row>
    <row r="134" spans="1:6" s="193" customFormat="1" ht="28.8" hidden="1" x14ac:dyDescent="0.3">
      <c r="A134" s="193">
        <v>943</v>
      </c>
      <c r="B134" s="193" t="s">
        <v>219</v>
      </c>
      <c r="C134" s="193" t="s">
        <v>55</v>
      </c>
      <c r="D134" s="226">
        <f>+ROUNDUP(SUMIFS('MEMORIA CANTIDADES'!E:E,'MEMORIA CANTIDADES'!B:B,Table28[[#This Row],[DESCRIPCIÓN ]],'MEMORIA CANTIDADES'!C:C,Table28[[#This Row],[UNIDAD]]),0)</f>
        <v>0</v>
      </c>
      <c r="E134" s="225">
        <f>+VLOOKUP(Table28[[#This Row],[DESCRIPCIÓN ]],INSUMOS!A:D,3,FALSE)</f>
        <v>110713.63</v>
      </c>
      <c r="F134" s="225">
        <f>+Table28[[#This Row],[CANTIDAD]]*Table28[[#This Row],[VALOR UNITARIO]]</f>
        <v>0</v>
      </c>
    </row>
    <row r="135" spans="1:6" s="193" customFormat="1" ht="28.8" hidden="1" x14ac:dyDescent="0.3">
      <c r="A135" s="193">
        <v>944</v>
      </c>
      <c r="B135" s="193" t="s">
        <v>220</v>
      </c>
      <c r="C135" s="193" t="s">
        <v>55</v>
      </c>
      <c r="D135" s="226">
        <f>+ROUNDUP(SUMIFS('MEMORIA CANTIDADES'!E:E,'MEMORIA CANTIDADES'!B:B,Table28[[#This Row],[DESCRIPCIÓN ]],'MEMORIA CANTIDADES'!C:C,Table28[[#This Row],[UNIDAD]]),0)</f>
        <v>0</v>
      </c>
      <c r="E135" s="225">
        <f>+VLOOKUP(Table28[[#This Row],[DESCRIPCIÓN ]],INSUMOS!A:D,3,FALSE)</f>
        <v>80605.649999999994</v>
      </c>
      <c r="F135" s="225">
        <f>+Table28[[#This Row],[CANTIDAD]]*Table28[[#This Row],[VALOR UNITARIO]]</f>
        <v>0</v>
      </c>
    </row>
    <row r="136" spans="1:6" s="193" customFormat="1" ht="28.8" hidden="1" x14ac:dyDescent="0.3">
      <c r="A136" s="193">
        <v>945</v>
      </c>
      <c r="B136" s="193" t="s">
        <v>221</v>
      </c>
      <c r="C136" s="193" t="s">
        <v>55</v>
      </c>
      <c r="D136" s="226">
        <f>+ROUNDUP(SUMIFS('MEMORIA CANTIDADES'!E:E,'MEMORIA CANTIDADES'!B:B,Table28[[#This Row],[DESCRIPCIÓN ]],'MEMORIA CANTIDADES'!C:C,Table28[[#This Row],[UNIDAD]]),0)</f>
        <v>0</v>
      </c>
      <c r="E136" s="225">
        <f>+VLOOKUP(Table28[[#This Row],[DESCRIPCIÓN ]],INSUMOS!A:D,3,FALSE)</f>
        <v>125473.37</v>
      </c>
      <c r="F136" s="225">
        <f>+Table28[[#This Row],[CANTIDAD]]*Table28[[#This Row],[VALOR UNITARIO]]</f>
        <v>0</v>
      </c>
    </row>
    <row r="137" spans="1:6" s="193" customFormat="1" hidden="1" x14ac:dyDescent="0.3">
      <c r="A137" s="193">
        <v>69</v>
      </c>
      <c r="B137" s="193" t="s">
        <v>222</v>
      </c>
      <c r="C137" s="193" t="s">
        <v>1273</v>
      </c>
      <c r="D137" s="226">
        <f>+ROUNDUP(SUMIFS('MEMORIA CANTIDADES'!E:E,'MEMORIA CANTIDADES'!B:B,Table28[[#This Row],[DESCRIPCIÓN ]],'MEMORIA CANTIDADES'!C:C,Table28[[#This Row],[UNIDAD]]),0)</f>
        <v>0</v>
      </c>
      <c r="E137" s="225">
        <f>+VLOOKUP(Table28[[#This Row],[DESCRIPCIÓN ]],INSUMOS!A:D,3,FALSE)</f>
        <v>277613.78999999998</v>
      </c>
      <c r="F137" s="225">
        <f>+Table28[[#This Row],[CANTIDAD]]*Table28[[#This Row],[VALOR UNITARIO]]</f>
        <v>0</v>
      </c>
    </row>
    <row r="138" spans="1:6" s="193" customFormat="1" hidden="1" x14ac:dyDescent="0.3">
      <c r="A138" s="193">
        <v>70</v>
      </c>
      <c r="B138" s="193" t="s">
        <v>223</v>
      </c>
      <c r="C138" s="193" t="s">
        <v>1273</v>
      </c>
      <c r="D138" s="226">
        <f>+ROUNDUP(SUMIFS('MEMORIA CANTIDADES'!E:E,'MEMORIA CANTIDADES'!B:B,Table28[[#This Row],[DESCRIPCIÓN ]],'MEMORIA CANTIDADES'!C:C,Table28[[#This Row],[UNIDAD]]),0)</f>
        <v>0</v>
      </c>
      <c r="E138" s="225">
        <f>+VLOOKUP(Table28[[#This Row],[DESCRIPCIÓN ]],INSUMOS!A:D,3,FALSE)</f>
        <v>221023.25</v>
      </c>
      <c r="F138" s="225">
        <f>+Table28[[#This Row],[CANTIDAD]]*Table28[[#This Row],[VALOR UNITARIO]]</f>
        <v>0</v>
      </c>
    </row>
    <row r="139" spans="1:6" s="193" customFormat="1" ht="28.8" hidden="1" x14ac:dyDescent="0.3">
      <c r="A139" s="193">
        <v>746</v>
      </c>
      <c r="B139" s="193" t="s">
        <v>224</v>
      </c>
      <c r="C139" s="193" t="s">
        <v>1272</v>
      </c>
      <c r="D139" s="226">
        <f>+ROUNDUP(SUMIFS('MEMORIA CANTIDADES'!E:E,'MEMORIA CANTIDADES'!B:B,Table28[[#This Row],[DESCRIPCIÓN ]],'MEMORIA CANTIDADES'!C:C,Table28[[#This Row],[UNIDAD]]),0)</f>
        <v>0</v>
      </c>
      <c r="E139" s="225">
        <f>+VLOOKUP(Table28[[#This Row],[DESCRIPCIÓN ]],INSUMOS!A:D,3,FALSE)</f>
        <v>121618.95</v>
      </c>
      <c r="F139" s="225">
        <f>+Table28[[#This Row],[CANTIDAD]]*Table28[[#This Row],[VALOR UNITARIO]]</f>
        <v>0</v>
      </c>
    </row>
    <row r="140" spans="1:6" s="193" customFormat="1" ht="28.8" hidden="1" x14ac:dyDescent="0.3">
      <c r="A140" s="193">
        <v>747</v>
      </c>
      <c r="B140" s="193" t="s">
        <v>2209</v>
      </c>
      <c r="C140" s="193" t="s">
        <v>1272</v>
      </c>
      <c r="D140" s="226">
        <f>+ROUNDUP(SUMIFS('MEMORIA CANTIDADES'!E:E,'MEMORIA CANTIDADES'!B:B,Table28[[#This Row],[DESCRIPCIÓN ]],'MEMORIA CANTIDADES'!C:C,Table28[[#This Row],[UNIDAD]]),0)</f>
        <v>0</v>
      </c>
      <c r="E140" s="225">
        <f>+VLOOKUP(Table28[[#This Row],[DESCRIPCIÓN ]],INSUMOS!A:D,3,FALSE)</f>
        <v>117191.73</v>
      </c>
      <c r="F140" s="225">
        <f>+Table28[[#This Row],[CANTIDAD]]*Table28[[#This Row],[VALOR UNITARIO]]</f>
        <v>0</v>
      </c>
    </row>
    <row r="141" spans="1:6" s="193" customFormat="1" ht="28.8" hidden="1" x14ac:dyDescent="0.3">
      <c r="A141" s="193">
        <v>748</v>
      </c>
      <c r="B141" s="193" t="s">
        <v>225</v>
      </c>
      <c r="C141" s="193" t="s">
        <v>1272</v>
      </c>
      <c r="D141" s="226">
        <f>+ROUNDUP(SUMIFS('MEMORIA CANTIDADES'!E:E,'MEMORIA CANTIDADES'!B:B,Table28[[#This Row],[DESCRIPCIÓN ]],'MEMORIA CANTIDADES'!C:C,Table28[[#This Row],[UNIDAD]]),0)</f>
        <v>0</v>
      </c>
      <c r="E141" s="225">
        <f>+VLOOKUP(Table28[[#This Row],[DESCRIPCIÓN ]],INSUMOS!A:D,3,FALSE)</f>
        <v>102479.91</v>
      </c>
      <c r="F141" s="225">
        <f>+Table28[[#This Row],[CANTIDAD]]*Table28[[#This Row],[VALOR UNITARIO]]</f>
        <v>0</v>
      </c>
    </row>
    <row r="142" spans="1:6" s="193" customFormat="1" ht="28.8" hidden="1" x14ac:dyDescent="0.3">
      <c r="A142" s="193">
        <v>749</v>
      </c>
      <c r="B142" s="193" t="s">
        <v>226</v>
      </c>
      <c r="C142" s="193" t="s">
        <v>1272</v>
      </c>
      <c r="D142" s="226">
        <f>+ROUNDUP(SUMIFS('MEMORIA CANTIDADES'!E:E,'MEMORIA CANTIDADES'!B:B,Table28[[#This Row],[DESCRIPCIÓN ]],'MEMORIA CANTIDADES'!C:C,Table28[[#This Row],[UNIDAD]]),0)</f>
        <v>0</v>
      </c>
      <c r="E142" s="225">
        <f>+VLOOKUP(Table28[[#This Row],[DESCRIPCIÓN ]],INSUMOS!A:D,3,FALSE)</f>
        <v>120955.57</v>
      </c>
      <c r="F142" s="225">
        <f>+Table28[[#This Row],[CANTIDAD]]*Table28[[#This Row],[VALOR UNITARIO]]</f>
        <v>0</v>
      </c>
    </row>
    <row r="143" spans="1:6" s="193" customFormat="1" ht="28.8" hidden="1" x14ac:dyDescent="0.3">
      <c r="A143" s="193">
        <v>750</v>
      </c>
      <c r="B143" s="193" t="s">
        <v>227</v>
      </c>
      <c r="C143" s="193" t="s">
        <v>1272</v>
      </c>
      <c r="D143" s="226">
        <f>+ROUNDUP(SUMIFS('MEMORIA CANTIDADES'!E:E,'MEMORIA CANTIDADES'!B:B,Table28[[#This Row],[DESCRIPCIÓN ]],'MEMORIA CANTIDADES'!C:C,Table28[[#This Row],[UNIDAD]]),0)</f>
        <v>0</v>
      </c>
      <c r="E143" s="225">
        <f>+VLOOKUP(Table28[[#This Row],[DESCRIPCIÓN ]],INSUMOS!A:D,3,FALSE)</f>
        <v>72557.7</v>
      </c>
      <c r="F143" s="225">
        <f>+Table28[[#This Row],[CANTIDAD]]*Table28[[#This Row],[VALOR UNITARIO]]</f>
        <v>0</v>
      </c>
    </row>
    <row r="144" spans="1:6" s="193" customFormat="1" ht="28.8" hidden="1" x14ac:dyDescent="0.3">
      <c r="A144" s="193">
        <v>751</v>
      </c>
      <c r="B144" s="193" t="s">
        <v>228</v>
      </c>
      <c r="C144" s="193" t="s">
        <v>1272</v>
      </c>
      <c r="D144" s="226">
        <f>+ROUNDUP(SUMIFS('MEMORIA CANTIDADES'!E:E,'MEMORIA CANTIDADES'!B:B,Table28[[#This Row],[DESCRIPCIÓN ]],'MEMORIA CANTIDADES'!C:C,Table28[[#This Row],[UNIDAD]]),0)</f>
        <v>0</v>
      </c>
      <c r="E144" s="225">
        <f>+VLOOKUP(Table28[[#This Row],[DESCRIPCIÓN ]],INSUMOS!A:D,3,FALSE)</f>
        <v>83614.36</v>
      </c>
      <c r="F144" s="225">
        <f>+Table28[[#This Row],[CANTIDAD]]*Table28[[#This Row],[VALOR UNITARIO]]</f>
        <v>0</v>
      </c>
    </row>
    <row r="145" spans="1:6" s="193" customFormat="1" ht="28.8" hidden="1" x14ac:dyDescent="0.3">
      <c r="A145" s="193">
        <v>752</v>
      </c>
      <c r="B145" s="193" t="s">
        <v>229</v>
      </c>
      <c r="C145" s="193" t="s">
        <v>1272</v>
      </c>
      <c r="D145" s="226">
        <f>+ROUNDUP(SUMIFS('MEMORIA CANTIDADES'!E:E,'MEMORIA CANTIDADES'!B:B,Table28[[#This Row],[DESCRIPCIÓN ]],'MEMORIA CANTIDADES'!C:C,Table28[[#This Row],[UNIDAD]]),0)</f>
        <v>0</v>
      </c>
      <c r="E145" s="225">
        <f>+VLOOKUP(Table28[[#This Row],[DESCRIPCIÓN ]],INSUMOS!A:D,3,FALSE)</f>
        <v>91481.57</v>
      </c>
      <c r="F145" s="225">
        <f>+Table28[[#This Row],[CANTIDAD]]*Table28[[#This Row],[VALOR UNITARIO]]</f>
        <v>0</v>
      </c>
    </row>
    <row r="146" spans="1:6" s="193" customFormat="1" ht="28.8" hidden="1" x14ac:dyDescent="0.3">
      <c r="A146" s="193">
        <v>753</v>
      </c>
      <c r="B146" s="193" t="s">
        <v>230</v>
      </c>
      <c r="C146" s="193" t="s">
        <v>1272</v>
      </c>
      <c r="D146" s="226">
        <f>+ROUNDUP(SUMIFS('MEMORIA CANTIDADES'!E:E,'MEMORIA CANTIDADES'!B:B,Table28[[#This Row],[DESCRIPCIÓN ]],'MEMORIA CANTIDADES'!C:C,Table28[[#This Row],[UNIDAD]]),0)</f>
        <v>0</v>
      </c>
      <c r="E146" s="225">
        <f>+VLOOKUP(Table28[[#This Row],[DESCRIPCIÓN ]],INSUMOS!A:D,3,FALSE)</f>
        <v>68828.710000000006</v>
      </c>
      <c r="F146" s="225">
        <f>+Table28[[#This Row],[CANTIDAD]]*Table28[[#This Row],[VALOR UNITARIO]]</f>
        <v>0</v>
      </c>
    </row>
    <row r="147" spans="1:6" s="193" customFormat="1" ht="28.8" hidden="1" x14ac:dyDescent="0.3">
      <c r="A147" s="193">
        <v>754</v>
      </c>
      <c r="B147" s="193" t="s">
        <v>231</v>
      </c>
      <c r="C147" s="193" t="s">
        <v>1272</v>
      </c>
      <c r="D147" s="226">
        <f>+ROUNDUP(SUMIFS('MEMORIA CANTIDADES'!E:E,'MEMORIA CANTIDADES'!B:B,Table28[[#This Row],[DESCRIPCIÓN ]],'MEMORIA CANTIDADES'!C:C,Table28[[#This Row],[UNIDAD]]),0)</f>
        <v>0</v>
      </c>
      <c r="E147" s="225">
        <f>+VLOOKUP(Table28[[#This Row],[DESCRIPCIÓN ]],INSUMOS!A:D,3,FALSE)</f>
        <v>93016.57</v>
      </c>
      <c r="F147" s="225">
        <f>+Table28[[#This Row],[CANTIDAD]]*Table28[[#This Row],[VALOR UNITARIO]]</f>
        <v>0</v>
      </c>
    </row>
    <row r="148" spans="1:6" s="193" customFormat="1" ht="28.8" hidden="1" x14ac:dyDescent="0.3">
      <c r="A148" s="193">
        <v>755</v>
      </c>
      <c r="B148" s="193" t="s">
        <v>232</v>
      </c>
      <c r="C148" s="193" t="s">
        <v>1272</v>
      </c>
      <c r="D148" s="226">
        <f>+ROUNDUP(SUMIFS('MEMORIA CANTIDADES'!E:E,'MEMORIA CANTIDADES'!B:B,Table28[[#This Row],[DESCRIPCIÓN ]],'MEMORIA CANTIDADES'!C:C,Table28[[#This Row],[UNIDAD]]),0)</f>
        <v>0</v>
      </c>
      <c r="E148" s="225">
        <f>+VLOOKUP(Table28[[#This Row],[DESCRIPCIÓN ]],INSUMOS!A:D,3,FALSE)</f>
        <v>113414.78</v>
      </c>
      <c r="F148" s="225">
        <f>+Table28[[#This Row],[CANTIDAD]]*Table28[[#This Row],[VALOR UNITARIO]]</f>
        <v>0</v>
      </c>
    </row>
    <row r="149" spans="1:6" s="193" customFormat="1" ht="28.8" hidden="1" x14ac:dyDescent="0.3">
      <c r="A149" s="193">
        <v>756</v>
      </c>
      <c r="B149" s="193" t="s">
        <v>233</v>
      </c>
      <c r="C149" s="193" t="s">
        <v>1272</v>
      </c>
      <c r="D149" s="226">
        <f>+ROUNDUP(SUMIFS('MEMORIA CANTIDADES'!E:E,'MEMORIA CANTIDADES'!B:B,Table28[[#This Row],[DESCRIPCIÓN ]],'MEMORIA CANTIDADES'!C:C,Table28[[#This Row],[UNIDAD]]),0)</f>
        <v>0</v>
      </c>
      <c r="E149" s="225">
        <f>+VLOOKUP(Table28[[#This Row],[DESCRIPCIÓN ]],INSUMOS!A:D,3,FALSE)</f>
        <v>88427.47</v>
      </c>
      <c r="F149" s="225">
        <f>+Table28[[#This Row],[CANTIDAD]]*Table28[[#This Row],[VALOR UNITARIO]]</f>
        <v>0</v>
      </c>
    </row>
    <row r="150" spans="1:6" s="193" customFormat="1" ht="28.8" hidden="1" x14ac:dyDescent="0.3">
      <c r="A150" s="193">
        <v>757</v>
      </c>
      <c r="B150" s="193" t="s">
        <v>234</v>
      </c>
      <c r="C150" s="193" t="s">
        <v>1272</v>
      </c>
      <c r="D150" s="226">
        <f>+ROUNDUP(SUMIFS('MEMORIA CANTIDADES'!E:E,'MEMORIA CANTIDADES'!B:B,Table28[[#This Row],[DESCRIPCIÓN ]],'MEMORIA CANTIDADES'!C:C,Table28[[#This Row],[UNIDAD]]),0)</f>
        <v>0</v>
      </c>
      <c r="E150" s="225">
        <f>+VLOOKUP(Table28[[#This Row],[DESCRIPCIÓN ]],INSUMOS!A:D,3,FALSE)</f>
        <v>91400.67</v>
      </c>
      <c r="F150" s="225">
        <f>+Table28[[#This Row],[CANTIDAD]]*Table28[[#This Row],[VALOR UNITARIO]]</f>
        <v>0</v>
      </c>
    </row>
    <row r="151" spans="1:6" s="193" customFormat="1" ht="28.8" hidden="1" x14ac:dyDescent="0.3">
      <c r="A151" s="193">
        <v>758</v>
      </c>
      <c r="B151" s="193" t="s">
        <v>235</v>
      </c>
      <c r="C151" s="193" t="s">
        <v>1272</v>
      </c>
      <c r="D151" s="226">
        <f>+ROUNDUP(SUMIFS('MEMORIA CANTIDADES'!E:E,'MEMORIA CANTIDADES'!B:B,Table28[[#This Row],[DESCRIPCIÓN ]],'MEMORIA CANTIDADES'!C:C,Table28[[#This Row],[UNIDAD]]),0)</f>
        <v>0</v>
      </c>
      <c r="E151" s="225">
        <f>+VLOOKUP(Table28[[#This Row],[DESCRIPCIÓN ]],INSUMOS!A:D,3,FALSE)</f>
        <v>67683.210000000006</v>
      </c>
      <c r="F151" s="225">
        <f>+Table28[[#This Row],[CANTIDAD]]*Table28[[#This Row],[VALOR UNITARIO]]</f>
        <v>0</v>
      </c>
    </row>
    <row r="152" spans="1:6" s="193" customFormat="1" ht="28.8" hidden="1" x14ac:dyDescent="0.3">
      <c r="A152" s="193">
        <v>759</v>
      </c>
      <c r="B152" s="193" t="s">
        <v>236</v>
      </c>
      <c r="C152" s="193" t="s">
        <v>1272</v>
      </c>
      <c r="D152" s="226">
        <f>+ROUNDUP(SUMIFS('MEMORIA CANTIDADES'!E:E,'MEMORIA CANTIDADES'!B:B,Table28[[#This Row],[DESCRIPCIÓN ]],'MEMORIA CANTIDADES'!C:C,Table28[[#This Row],[UNIDAD]]),0)</f>
        <v>0</v>
      </c>
      <c r="E152" s="225">
        <f>+VLOOKUP(Table28[[#This Row],[DESCRIPCIÓN ]],INSUMOS!A:D,3,FALSE)</f>
        <v>72338.11</v>
      </c>
      <c r="F152" s="225">
        <f>+Table28[[#This Row],[CANTIDAD]]*Table28[[#This Row],[VALOR UNITARIO]]</f>
        <v>0</v>
      </c>
    </row>
    <row r="153" spans="1:6" s="193" customFormat="1" ht="28.8" hidden="1" x14ac:dyDescent="0.3">
      <c r="A153" s="193">
        <v>760</v>
      </c>
      <c r="B153" s="193" t="s">
        <v>237</v>
      </c>
      <c r="C153" s="193" t="s">
        <v>1272</v>
      </c>
      <c r="D153" s="226">
        <f>+ROUNDUP(SUMIFS('MEMORIA CANTIDADES'!E:E,'MEMORIA CANTIDADES'!B:B,Table28[[#This Row],[DESCRIPCIÓN ]],'MEMORIA CANTIDADES'!C:C,Table28[[#This Row],[UNIDAD]]),0)</f>
        <v>0</v>
      </c>
      <c r="E153" s="225">
        <f>+VLOOKUP(Table28[[#This Row],[DESCRIPCIÓN ]],INSUMOS!A:D,3,FALSE)</f>
        <v>85309.81</v>
      </c>
      <c r="F153" s="225">
        <f>+Table28[[#This Row],[CANTIDAD]]*Table28[[#This Row],[VALOR UNITARIO]]</f>
        <v>0</v>
      </c>
    </row>
    <row r="154" spans="1:6" s="193" customFormat="1" ht="28.8" hidden="1" x14ac:dyDescent="0.3">
      <c r="A154" s="193">
        <v>761</v>
      </c>
      <c r="B154" s="193" t="s">
        <v>238</v>
      </c>
      <c r="C154" s="193" t="s">
        <v>1272</v>
      </c>
      <c r="D154" s="226">
        <f>+ROUNDUP(SUMIFS('MEMORIA CANTIDADES'!E:E,'MEMORIA CANTIDADES'!B:B,Table28[[#This Row],[DESCRIPCIÓN ]],'MEMORIA CANTIDADES'!C:C,Table28[[#This Row],[UNIDAD]]),0)</f>
        <v>0</v>
      </c>
      <c r="E154" s="225">
        <f>+VLOOKUP(Table28[[#This Row],[DESCRIPCIÓN ]],INSUMOS!A:D,3,FALSE)</f>
        <v>64164.46</v>
      </c>
      <c r="F154" s="225">
        <f>+Table28[[#This Row],[CANTIDAD]]*Table28[[#This Row],[VALOR UNITARIO]]</f>
        <v>0</v>
      </c>
    </row>
    <row r="155" spans="1:6" s="193" customFormat="1" ht="28.8" hidden="1" x14ac:dyDescent="0.3">
      <c r="A155" s="193">
        <v>762</v>
      </c>
      <c r="B155" s="193" t="s">
        <v>239</v>
      </c>
      <c r="C155" s="193" t="s">
        <v>1272</v>
      </c>
      <c r="D155" s="226">
        <f>+ROUNDUP(SUMIFS('MEMORIA CANTIDADES'!E:E,'MEMORIA CANTIDADES'!B:B,Table28[[#This Row],[DESCRIPCIÓN ]],'MEMORIA CANTIDADES'!C:C,Table28[[#This Row],[UNIDAD]]),0)</f>
        <v>0</v>
      </c>
      <c r="E155" s="225">
        <f>+VLOOKUP(Table28[[#This Row],[DESCRIPCIÓN ]],INSUMOS!A:D,3,FALSE)</f>
        <v>66905.36</v>
      </c>
      <c r="F155" s="225">
        <f>+Table28[[#This Row],[CANTIDAD]]*Table28[[#This Row],[VALOR UNITARIO]]</f>
        <v>0</v>
      </c>
    </row>
    <row r="156" spans="1:6" s="193" customFormat="1" ht="28.8" hidden="1" x14ac:dyDescent="0.3">
      <c r="A156" s="193">
        <v>763</v>
      </c>
      <c r="B156" s="193" t="s">
        <v>240</v>
      </c>
      <c r="C156" s="193" t="s">
        <v>1272</v>
      </c>
      <c r="D156" s="226">
        <f>+ROUNDUP(SUMIFS('MEMORIA CANTIDADES'!E:E,'MEMORIA CANTIDADES'!B:B,Table28[[#This Row],[DESCRIPCIÓN ]],'MEMORIA CANTIDADES'!C:C,Table28[[#This Row],[UNIDAD]]),0)</f>
        <v>0</v>
      </c>
      <c r="E156" s="225">
        <f>+VLOOKUP(Table28[[#This Row],[DESCRIPCIÓN ]],INSUMOS!A:D,3,FALSE)</f>
        <v>84327.56</v>
      </c>
      <c r="F156" s="225">
        <f>+Table28[[#This Row],[CANTIDAD]]*Table28[[#This Row],[VALOR UNITARIO]]</f>
        <v>0</v>
      </c>
    </row>
    <row r="157" spans="1:6" s="193" customFormat="1" ht="28.8" hidden="1" x14ac:dyDescent="0.3">
      <c r="A157" s="193">
        <v>764</v>
      </c>
      <c r="B157" s="193" t="s">
        <v>241</v>
      </c>
      <c r="C157" s="193" t="s">
        <v>1272</v>
      </c>
      <c r="D157" s="226">
        <f>+ROUNDUP(SUMIFS('MEMORIA CANTIDADES'!E:E,'MEMORIA CANTIDADES'!B:B,Table28[[#This Row],[DESCRIPCIÓN ]],'MEMORIA CANTIDADES'!C:C,Table28[[#This Row],[UNIDAD]]),0)</f>
        <v>0</v>
      </c>
      <c r="E157" s="225">
        <f>+VLOOKUP(Table28[[#This Row],[DESCRIPCIÓN ]],INSUMOS!A:D,3,FALSE)</f>
        <v>90374.84</v>
      </c>
      <c r="F157" s="225">
        <f>+Table28[[#This Row],[CANTIDAD]]*Table28[[#This Row],[VALOR UNITARIO]]</f>
        <v>0</v>
      </c>
    </row>
    <row r="158" spans="1:6" s="193" customFormat="1" hidden="1" x14ac:dyDescent="0.3">
      <c r="A158" s="193">
        <v>1259</v>
      </c>
      <c r="B158" s="193" t="s">
        <v>242</v>
      </c>
      <c r="C158" s="193" t="s">
        <v>55</v>
      </c>
      <c r="D158" s="226">
        <f>+ROUNDUP(SUMIFS('MEMORIA CANTIDADES'!E:E,'MEMORIA CANTIDADES'!B:B,Table28[[#This Row],[DESCRIPCIÓN ]],'MEMORIA CANTIDADES'!C:C,Table28[[#This Row],[UNIDAD]]),0)</f>
        <v>0</v>
      </c>
      <c r="E158" s="225">
        <f>+VLOOKUP(Table28[[#This Row],[DESCRIPCIÓN ]],INSUMOS!A:D,3,FALSE)</f>
        <v>1046919.88</v>
      </c>
      <c r="F158" s="225">
        <f>+Table28[[#This Row],[CANTIDAD]]*Table28[[#This Row],[VALOR UNITARIO]]</f>
        <v>0</v>
      </c>
    </row>
    <row r="159" spans="1:6" s="193" customFormat="1" hidden="1" x14ac:dyDescent="0.3">
      <c r="A159" s="193">
        <v>705</v>
      </c>
      <c r="B159" s="193" t="s">
        <v>243</v>
      </c>
      <c r="C159" s="193" t="s">
        <v>55</v>
      </c>
      <c r="D159" s="226">
        <f>+ROUNDUP(SUMIFS('MEMORIA CANTIDADES'!E:E,'MEMORIA CANTIDADES'!B:B,Table28[[#This Row],[DESCRIPCIÓN ]],'MEMORIA CANTIDADES'!C:C,Table28[[#This Row],[UNIDAD]]),0)</f>
        <v>0</v>
      </c>
      <c r="E159" s="225">
        <f>+VLOOKUP(Table28[[#This Row],[DESCRIPCIÓN ]],INSUMOS!A:D,3,FALSE)</f>
        <v>13400.41</v>
      </c>
      <c r="F159" s="225">
        <f>+Table28[[#This Row],[CANTIDAD]]*Table28[[#This Row],[VALOR UNITARIO]]</f>
        <v>0</v>
      </c>
    </row>
    <row r="160" spans="1:6" s="193" customFormat="1" hidden="1" x14ac:dyDescent="0.3">
      <c r="A160" s="193">
        <v>706</v>
      </c>
      <c r="B160" s="193" t="s">
        <v>244</v>
      </c>
      <c r="C160" s="193" t="s">
        <v>55</v>
      </c>
      <c r="D160" s="226">
        <f>+ROUNDUP(SUMIFS('MEMORIA CANTIDADES'!E:E,'MEMORIA CANTIDADES'!B:B,Table28[[#This Row],[DESCRIPCIÓN ]],'MEMORIA CANTIDADES'!C:C,Table28[[#This Row],[UNIDAD]]),0)</f>
        <v>0</v>
      </c>
      <c r="E160" s="225">
        <f>+VLOOKUP(Table28[[#This Row],[DESCRIPCIÓN ]],INSUMOS!A:D,3,FALSE)</f>
        <v>20371.7</v>
      </c>
      <c r="F160" s="225">
        <f>+Table28[[#This Row],[CANTIDAD]]*Table28[[#This Row],[VALOR UNITARIO]]</f>
        <v>0</v>
      </c>
    </row>
    <row r="161" spans="1:6" s="193" customFormat="1" hidden="1" x14ac:dyDescent="0.3">
      <c r="A161" s="193">
        <v>707</v>
      </c>
      <c r="B161" s="193" t="s">
        <v>245</v>
      </c>
      <c r="C161" s="193" t="s">
        <v>55</v>
      </c>
      <c r="D161" s="226">
        <f>+ROUNDUP(SUMIFS('MEMORIA CANTIDADES'!E:E,'MEMORIA CANTIDADES'!B:B,Table28[[#This Row],[DESCRIPCIÓN ]],'MEMORIA CANTIDADES'!C:C,Table28[[#This Row],[UNIDAD]]),0)</f>
        <v>0</v>
      </c>
      <c r="E161" s="225">
        <f>+VLOOKUP(Table28[[#This Row],[DESCRIPCIÓN ]],INSUMOS!A:D,3,FALSE)</f>
        <v>17059.419999999998</v>
      </c>
      <c r="F161" s="225">
        <f>+Table28[[#This Row],[CANTIDAD]]*Table28[[#This Row],[VALOR UNITARIO]]</f>
        <v>0</v>
      </c>
    </row>
    <row r="162" spans="1:6" s="193" customFormat="1" ht="28.8" hidden="1" x14ac:dyDescent="0.3">
      <c r="A162" s="193">
        <v>708</v>
      </c>
      <c r="B162" s="193" t="s">
        <v>246</v>
      </c>
      <c r="C162" s="193" t="s">
        <v>55</v>
      </c>
      <c r="D162" s="226">
        <f>+ROUNDUP(SUMIFS('MEMORIA CANTIDADES'!E:E,'MEMORIA CANTIDADES'!B:B,Table28[[#This Row],[DESCRIPCIÓN ]],'MEMORIA CANTIDADES'!C:C,Table28[[#This Row],[UNIDAD]]),0)</f>
        <v>0</v>
      </c>
      <c r="E162" s="225">
        <f>+VLOOKUP(Table28[[#This Row],[DESCRIPCIÓN ]],INSUMOS!A:D,3,FALSE)</f>
        <v>11321.72</v>
      </c>
      <c r="F162" s="225">
        <f>+Table28[[#This Row],[CANTIDAD]]*Table28[[#This Row],[VALOR UNITARIO]]</f>
        <v>0</v>
      </c>
    </row>
    <row r="163" spans="1:6" s="193" customFormat="1" hidden="1" x14ac:dyDescent="0.3">
      <c r="A163" s="193">
        <v>709</v>
      </c>
      <c r="B163" s="193" t="s">
        <v>247</v>
      </c>
      <c r="C163" s="193" t="s">
        <v>55</v>
      </c>
      <c r="D163" s="226">
        <f>+ROUNDUP(SUMIFS('MEMORIA CANTIDADES'!E:E,'MEMORIA CANTIDADES'!B:B,Table28[[#This Row],[DESCRIPCIÓN ]],'MEMORIA CANTIDADES'!C:C,Table28[[#This Row],[UNIDAD]]),0)</f>
        <v>0</v>
      </c>
      <c r="E163" s="225">
        <f>+VLOOKUP(Table28[[#This Row],[DESCRIPCIÓN ]],INSUMOS!A:D,3,FALSE)</f>
        <v>16336.09</v>
      </c>
      <c r="F163" s="225">
        <f>+Table28[[#This Row],[CANTIDAD]]*Table28[[#This Row],[VALOR UNITARIO]]</f>
        <v>0</v>
      </c>
    </row>
    <row r="164" spans="1:6" s="193" customFormat="1" hidden="1" x14ac:dyDescent="0.3">
      <c r="A164" s="193">
        <v>710</v>
      </c>
      <c r="B164" s="193" t="s">
        <v>248</v>
      </c>
      <c r="C164" s="193" t="s">
        <v>55</v>
      </c>
      <c r="D164" s="226">
        <f>+ROUNDUP(SUMIFS('MEMORIA CANTIDADES'!E:E,'MEMORIA CANTIDADES'!B:B,Table28[[#This Row],[DESCRIPCIÓN ]],'MEMORIA CANTIDADES'!C:C,Table28[[#This Row],[UNIDAD]]),0)</f>
        <v>0</v>
      </c>
      <c r="E164" s="225">
        <f>+VLOOKUP(Table28[[#This Row],[DESCRIPCIÓN ]],INSUMOS!A:D,3,FALSE)</f>
        <v>15621.7</v>
      </c>
      <c r="F164" s="225">
        <f>+Table28[[#This Row],[CANTIDAD]]*Table28[[#This Row],[VALOR UNITARIO]]</f>
        <v>0</v>
      </c>
    </row>
    <row r="165" spans="1:6" s="193" customFormat="1" hidden="1" x14ac:dyDescent="0.3">
      <c r="A165" s="193">
        <v>711</v>
      </c>
      <c r="B165" s="193" t="s">
        <v>249</v>
      </c>
      <c r="C165" s="193" t="s">
        <v>55</v>
      </c>
      <c r="D165" s="226">
        <f>+ROUNDUP(SUMIFS('MEMORIA CANTIDADES'!E:E,'MEMORIA CANTIDADES'!B:B,Table28[[#This Row],[DESCRIPCIÓN ]],'MEMORIA CANTIDADES'!C:C,Table28[[#This Row],[UNIDAD]]),0)</f>
        <v>0</v>
      </c>
      <c r="E165" s="225">
        <f>+VLOOKUP(Table28[[#This Row],[DESCRIPCIÓN ]],INSUMOS!A:D,3,FALSE)</f>
        <v>12889.58</v>
      </c>
      <c r="F165" s="225">
        <f>+Table28[[#This Row],[CANTIDAD]]*Table28[[#This Row],[VALOR UNITARIO]]</f>
        <v>0</v>
      </c>
    </row>
    <row r="166" spans="1:6" s="193" customFormat="1" hidden="1" x14ac:dyDescent="0.3">
      <c r="A166" s="193">
        <v>712</v>
      </c>
      <c r="B166" s="193" t="s">
        <v>250</v>
      </c>
      <c r="C166" s="193" t="s">
        <v>55</v>
      </c>
      <c r="D166" s="226">
        <f>+ROUNDUP(SUMIFS('MEMORIA CANTIDADES'!E:E,'MEMORIA CANTIDADES'!B:B,Table28[[#This Row],[DESCRIPCIÓN ]],'MEMORIA CANTIDADES'!C:C,Table28[[#This Row],[UNIDAD]]),0)</f>
        <v>0</v>
      </c>
      <c r="E166" s="225">
        <f>+VLOOKUP(Table28[[#This Row],[DESCRIPCIÓN ]],INSUMOS!A:D,3,FALSE)</f>
        <v>17675.98</v>
      </c>
      <c r="F166" s="225">
        <f>+Table28[[#This Row],[CANTIDAD]]*Table28[[#This Row],[VALOR UNITARIO]]</f>
        <v>0</v>
      </c>
    </row>
    <row r="167" spans="1:6" s="193" customFormat="1" hidden="1" x14ac:dyDescent="0.3">
      <c r="A167" s="193">
        <v>713</v>
      </c>
      <c r="B167" s="193" t="s">
        <v>251</v>
      </c>
      <c r="C167" s="193" t="s">
        <v>55</v>
      </c>
      <c r="D167" s="226">
        <f>+ROUNDUP(SUMIFS('MEMORIA CANTIDADES'!E:E,'MEMORIA CANTIDADES'!B:B,Table28[[#This Row],[DESCRIPCIÓN ]],'MEMORIA CANTIDADES'!C:C,Table28[[#This Row],[UNIDAD]]),0)</f>
        <v>0</v>
      </c>
      <c r="E167" s="225">
        <f>+VLOOKUP(Table28[[#This Row],[DESCRIPCIÓN ]],INSUMOS!A:D,3,FALSE)</f>
        <v>14530.08</v>
      </c>
      <c r="F167" s="225">
        <f>+Table28[[#This Row],[CANTIDAD]]*Table28[[#This Row],[VALOR UNITARIO]]</f>
        <v>0</v>
      </c>
    </row>
    <row r="168" spans="1:6" s="193" customFormat="1" hidden="1" x14ac:dyDescent="0.3">
      <c r="A168" s="193">
        <v>714</v>
      </c>
      <c r="B168" s="193" t="s">
        <v>252</v>
      </c>
      <c r="C168" s="193" t="s">
        <v>55</v>
      </c>
      <c r="D168" s="226">
        <f>+ROUNDUP(SUMIFS('MEMORIA CANTIDADES'!E:E,'MEMORIA CANTIDADES'!B:B,Table28[[#This Row],[DESCRIPCIÓN ]],'MEMORIA CANTIDADES'!C:C,Table28[[#This Row],[UNIDAD]]),0)</f>
        <v>0</v>
      </c>
      <c r="E168" s="225">
        <f>+VLOOKUP(Table28[[#This Row],[DESCRIPCIÓN ]],INSUMOS!A:D,3,FALSE)</f>
        <v>8078.38</v>
      </c>
      <c r="F168" s="225">
        <f>+Table28[[#This Row],[CANTIDAD]]*Table28[[#This Row],[VALOR UNITARIO]]</f>
        <v>0</v>
      </c>
    </row>
    <row r="169" spans="1:6" s="193" customFormat="1" hidden="1" x14ac:dyDescent="0.3">
      <c r="A169" s="193">
        <v>715</v>
      </c>
      <c r="B169" s="193" t="s">
        <v>253</v>
      </c>
      <c r="C169" s="193" t="s">
        <v>55</v>
      </c>
      <c r="D169" s="226">
        <f>+ROUNDUP(SUMIFS('MEMORIA CANTIDADES'!E:E,'MEMORIA CANTIDADES'!B:B,Table28[[#This Row],[DESCRIPCIÓN ]],'MEMORIA CANTIDADES'!C:C,Table28[[#This Row],[UNIDAD]]),0)</f>
        <v>0</v>
      </c>
      <c r="E169" s="225">
        <f>+VLOOKUP(Table28[[#This Row],[DESCRIPCIÓN ]],INSUMOS!A:D,3,FALSE)</f>
        <v>6886.49</v>
      </c>
      <c r="F169" s="225">
        <f>+Table28[[#This Row],[CANTIDAD]]*Table28[[#This Row],[VALOR UNITARIO]]</f>
        <v>0</v>
      </c>
    </row>
    <row r="170" spans="1:6" s="193" customFormat="1" hidden="1" x14ac:dyDescent="0.3">
      <c r="A170" s="193">
        <v>716</v>
      </c>
      <c r="B170" s="193" t="s">
        <v>254</v>
      </c>
      <c r="C170" s="193" t="s">
        <v>55</v>
      </c>
      <c r="D170" s="226">
        <f>+ROUNDUP(SUMIFS('MEMORIA CANTIDADES'!E:E,'MEMORIA CANTIDADES'!B:B,Table28[[#This Row],[DESCRIPCIÓN ]],'MEMORIA CANTIDADES'!C:C,Table28[[#This Row],[UNIDAD]]),0)</f>
        <v>0</v>
      </c>
      <c r="E170" s="225">
        <f>+VLOOKUP(Table28[[#This Row],[DESCRIPCIÓN ]],INSUMOS!A:D,3,FALSE)</f>
        <v>13738.65</v>
      </c>
      <c r="F170" s="225">
        <f>+Table28[[#This Row],[CANTIDAD]]*Table28[[#This Row],[VALOR UNITARIO]]</f>
        <v>0</v>
      </c>
    </row>
    <row r="171" spans="1:6" s="193" customFormat="1" hidden="1" x14ac:dyDescent="0.3">
      <c r="A171" s="193">
        <v>717</v>
      </c>
      <c r="B171" s="193" t="s">
        <v>255</v>
      </c>
      <c r="C171" s="193" t="s">
        <v>55</v>
      </c>
      <c r="D171" s="226">
        <f>+ROUNDUP(SUMIFS('MEMORIA CANTIDADES'!E:E,'MEMORIA CANTIDADES'!B:B,Table28[[#This Row],[DESCRIPCIÓN ]],'MEMORIA CANTIDADES'!C:C,Table28[[#This Row],[UNIDAD]]),0)</f>
        <v>0</v>
      </c>
      <c r="E171" s="225">
        <f>+VLOOKUP(Table28[[#This Row],[DESCRIPCIÓN ]],INSUMOS!A:D,3,FALSE)</f>
        <v>12843.03</v>
      </c>
      <c r="F171" s="225">
        <f>+Table28[[#This Row],[CANTIDAD]]*Table28[[#This Row],[VALOR UNITARIO]]</f>
        <v>0</v>
      </c>
    </row>
    <row r="172" spans="1:6" s="193" customFormat="1" hidden="1" x14ac:dyDescent="0.3">
      <c r="A172" s="193">
        <v>718</v>
      </c>
      <c r="B172" s="193" t="s">
        <v>256</v>
      </c>
      <c r="C172" s="193" t="s">
        <v>55</v>
      </c>
      <c r="D172" s="226">
        <f>+ROUNDUP(SUMIFS('MEMORIA CANTIDADES'!E:E,'MEMORIA CANTIDADES'!B:B,Table28[[#This Row],[DESCRIPCIÓN ]],'MEMORIA CANTIDADES'!C:C,Table28[[#This Row],[UNIDAD]]),0)</f>
        <v>0</v>
      </c>
      <c r="E172" s="225">
        <f>+VLOOKUP(Table28[[#This Row],[DESCRIPCIÓN ]],INSUMOS!A:D,3,FALSE)</f>
        <v>10419.58</v>
      </c>
      <c r="F172" s="225">
        <f>+Table28[[#This Row],[CANTIDAD]]*Table28[[#This Row],[VALOR UNITARIO]]</f>
        <v>0</v>
      </c>
    </row>
    <row r="173" spans="1:6" s="193" customFormat="1" hidden="1" x14ac:dyDescent="0.3">
      <c r="A173" s="193">
        <v>719</v>
      </c>
      <c r="B173" s="193" t="s">
        <v>257</v>
      </c>
      <c r="C173" s="193" t="s">
        <v>55</v>
      </c>
      <c r="D173" s="226">
        <f>+ROUNDUP(SUMIFS('MEMORIA CANTIDADES'!E:E,'MEMORIA CANTIDADES'!B:B,Table28[[#This Row],[DESCRIPCIÓN ]],'MEMORIA CANTIDADES'!C:C,Table28[[#This Row],[UNIDAD]]),0)</f>
        <v>0</v>
      </c>
      <c r="E173" s="225">
        <f>+VLOOKUP(Table28[[#This Row],[DESCRIPCIÓN ]],INSUMOS!A:D,3,FALSE)</f>
        <v>7272.85</v>
      </c>
      <c r="F173" s="225">
        <f>+Table28[[#This Row],[CANTIDAD]]*Table28[[#This Row],[VALOR UNITARIO]]</f>
        <v>0</v>
      </c>
    </row>
    <row r="174" spans="1:6" s="193" customFormat="1" hidden="1" x14ac:dyDescent="0.3">
      <c r="A174" s="193">
        <v>720</v>
      </c>
      <c r="B174" s="193" t="s">
        <v>258</v>
      </c>
      <c r="C174" s="193" t="s">
        <v>55</v>
      </c>
      <c r="D174" s="226">
        <f>+ROUNDUP(SUMIFS('MEMORIA CANTIDADES'!E:E,'MEMORIA CANTIDADES'!B:B,Table28[[#This Row],[DESCRIPCIÓN ]],'MEMORIA CANTIDADES'!C:C,Table28[[#This Row],[UNIDAD]]),0)</f>
        <v>0</v>
      </c>
      <c r="E174" s="225">
        <f>+VLOOKUP(Table28[[#This Row],[DESCRIPCIÓN ]],INSUMOS!A:D,3,FALSE)</f>
        <v>9916.94</v>
      </c>
      <c r="F174" s="225">
        <f>+Table28[[#This Row],[CANTIDAD]]*Table28[[#This Row],[VALOR UNITARIO]]</f>
        <v>0</v>
      </c>
    </row>
    <row r="175" spans="1:6" s="193" customFormat="1" hidden="1" x14ac:dyDescent="0.3">
      <c r="A175" s="193">
        <v>721</v>
      </c>
      <c r="B175" s="193" t="s">
        <v>259</v>
      </c>
      <c r="C175" s="193" t="s">
        <v>55</v>
      </c>
      <c r="D175" s="226">
        <f>+ROUNDUP(SUMIFS('MEMORIA CANTIDADES'!E:E,'MEMORIA CANTIDADES'!B:B,Table28[[#This Row],[DESCRIPCIÓN ]],'MEMORIA CANTIDADES'!C:C,Table28[[#This Row],[UNIDAD]]),0)</f>
        <v>0</v>
      </c>
      <c r="E175" s="225">
        <f>+VLOOKUP(Table28[[#This Row],[DESCRIPCIÓN ]],INSUMOS!A:D,3,FALSE)</f>
        <v>10512.15</v>
      </c>
      <c r="F175" s="225">
        <f>+Table28[[#This Row],[CANTIDAD]]*Table28[[#This Row],[VALOR UNITARIO]]</f>
        <v>0</v>
      </c>
    </row>
    <row r="176" spans="1:6" s="193" customFormat="1" hidden="1" x14ac:dyDescent="0.3">
      <c r="A176" s="193">
        <v>722</v>
      </c>
      <c r="B176" s="193" t="s">
        <v>260</v>
      </c>
      <c r="C176" s="193" t="s">
        <v>55</v>
      </c>
      <c r="D176" s="226">
        <f>+ROUNDUP(SUMIFS('MEMORIA CANTIDADES'!E:E,'MEMORIA CANTIDADES'!B:B,Table28[[#This Row],[DESCRIPCIÓN ]],'MEMORIA CANTIDADES'!C:C,Table28[[#This Row],[UNIDAD]]),0)</f>
        <v>0</v>
      </c>
      <c r="E176" s="225">
        <f>+VLOOKUP(Table28[[#This Row],[DESCRIPCIÓN ]],INSUMOS!A:D,3,FALSE)</f>
        <v>12921.78</v>
      </c>
      <c r="F176" s="225">
        <f>+Table28[[#This Row],[CANTIDAD]]*Table28[[#This Row],[VALOR UNITARIO]]</f>
        <v>0</v>
      </c>
    </row>
    <row r="177" spans="1:6" s="193" customFormat="1" hidden="1" x14ac:dyDescent="0.3">
      <c r="A177" s="193">
        <v>723</v>
      </c>
      <c r="B177" s="193" t="s">
        <v>261</v>
      </c>
      <c r="C177" s="193" t="s">
        <v>55</v>
      </c>
      <c r="D177" s="226">
        <f>+ROUNDUP(SUMIFS('MEMORIA CANTIDADES'!E:E,'MEMORIA CANTIDADES'!B:B,Table28[[#This Row],[DESCRIPCIÓN ]],'MEMORIA CANTIDADES'!C:C,Table28[[#This Row],[UNIDAD]]),0)</f>
        <v>0</v>
      </c>
      <c r="E177" s="225">
        <f>+VLOOKUP(Table28[[#This Row],[DESCRIPCIÓN ]],INSUMOS!A:D,3,FALSE)</f>
        <v>17581.13</v>
      </c>
      <c r="F177" s="225">
        <f>+Table28[[#This Row],[CANTIDAD]]*Table28[[#This Row],[VALOR UNITARIO]]</f>
        <v>0</v>
      </c>
    </row>
    <row r="178" spans="1:6" s="193" customFormat="1" hidden="1" x14ac:dyDescent="0.3">
      <c r="A178" s="193">
        <v>724</v>
      </c>
      <c r="B178" s="193" t="s">
        <v>262</v>
      </c>
      <c r="C178" s="193" t="s">
        <v>55</v>
      </c>
      <c r="D178" s="226">
        <f>+ROUNDUP(SUMIFS('MEMORIA CANTIDADES'!E:E,'MEMORIA CANTIDADES'!B:B,Table28[[#This Row],[DESCRIPCIÓN ]],'MEMORIA CANTIDADES'!C:C,Table28[[#This Row],[UNIDAD]]),0)</f>
        <v>0</v>
      </c>
      <c r="E178" s="225">
        <f>+VLOOKUP(Table28[[#This Row],[DESCRIPCIÓN ]],INSUMOS!A:D,3,FALSE)</f>
        <v>17815.38</v>
      </c>
      <c r="F178" s="225">
        <f>+Table28[[#This Row],[CANTIDAD]]*Table28[[#This Row],[VALOR UNITARIO]]</f>
        <v>0</v>
      </c>
    </row>
    <row r="179" spans="1:6" s="193" customFormat="1" hidden="1" x14ac:dyDescent="0.3">
      <c r="A179" s="193">
        <v>35</v>
      </c>
      <c r="B179" s="193" t="s">
        <v>263</v>
      </c>
      <c r="C179" s="193" t="s">
        <v>1278</v>
      </c>
      <c r="D179" s="226">
        <f>+ROUNDUP(SUMIFS('MEMORIA CANTIDADES'!E:E,'MEMORIA CANTIDADES'!B:B,Table28[[#This Row],[DESCRIPCIÓN ]],'MEMORIA CANTIDADES'!C:C,Table28[[#This Row],[UNIDAD]]),0)</f>
        <v>0</v>
      </c>
      <c r="E179" s="225">
        <f>+VLOOKUP(Table28[[#This Row],[DESCRIPCIÓN ]],INSUMOS!A:D,3,FALSE)</f>
        <v>14708.23</v>
      </c>
      <c r="F179" s="225">
        <f>+Table28[[#This Row],[CANTIDAD]]*Table28[[#This Row],[VALOR UNITARIO]]</f>
        <v>0</v>
      </c>
    </row>
    <row r="180" spans="1:6" s="193" customFormat="1" hidden="1" x14ac:dyDescent="0.3">
      <c r="A180" s="193">
        <v>94</v>
      </c>
      <c r="B180" s="193" t="s">
        <v>264</v>
      </c>
      <c r="C180" s="193" t="s">
        <v>55</v>
      </c>
      <c r="D180" s="226">
        <f>+ROUNDUP(SUMIFS('MEMORIA CANTIDADES'!E:E,'MEMORIA CANTIDADES'!B:B,Table28[[#This Row],[DESCRIPCIÓN ]],'MEMORIA CANTIDADES'!C:C,Table28[[#This Row],[UNIDAD]]),0)</f>
        <v>0</v>
      </c>
      <c r="E180" s="225">
        <f>+VLOOKUP(Table28[[#This Row],[DESCRIPCIÓN ]],INSUMOS!A:D,3,FALSE)</f>
        <v>2928.62</v>
      </c>
      <c r="F180" s="225">
        <f>+Table28[[#This Row],[CANTIDAD]]*Table28[[#This Row],[VALOR UNITARIO]]</f>
        <v>0</v>
      </c>
    </row>
    <row r="181" spans="1:6" s="193" customFormat="1" hidden="1" x14ac:dyDescent="0.3">
      <c r="A181" s="193">
        <v>95</v>
      </c>
      <c r="B181" s="193" t="s">
        <v>265</v>
      </c>
      <c r="C181" s="193" t="s">
        <v>55</v>
      </c>
      <c r="D181" s="226">
        <f>+ROUNDUP(SUMIFS('MEMORIA CANTIDADES'!E:E,'MEMORIA CANTIDADES'!B:B,Table28[[#This Row],[DESCRIPCIÓN ]],'MEMORIA CANTIDADES'!C:C,Table28[[#This Row],[UNIDAD]]),0)</f>
        <v>0</v>
      </c>
      <c r="E181" s="225">
        <f>+VLOOKUP(Table28[[#This Row],[DESCRIPCIÓN ]],INSUMOS!A:D,3,FALSE)</f>
        <v>2805.89</v>
      </c>
      <c r="F181" s="225">
        <f>+Table28[[#This Row],[CANTIDAD]]*Table28[[#This Row],[VALOR UNITARIO]]</f>
        <v>0</v>
      </c>
    </row>
    <row r="182" spans="1:6" s="193" customFormat="1" ht="28.8" hidden="1" x14ac:dyDescent="0.3">
      <c r="A182" s="193">
        <v>96</v>
      </c>
      <c r="B182" s="193" t="s">
        <v>266</v>
      </c>
      <c r="C182" s="193" t="s">
        <v>55</v>
      </c>
      <c r="D182" s="226">
        <f>+ROUNDUP(SUMIFS('MEMORIA CANTIDADES'!E:E,'MEMORIA CANTIDADES'!B:B,Table28[[#This Row],[DESCRIPCIÓN ]],'MEMORIA CANTIDADES'!C:C,Table28[[#This Row],[UNIDAD]]),0)</f>
        <v>0</v>
      </c>
      <c r="E182" s="225">
        <f>+VLOOKUP(Table28[[#This Row],[DESCRIPCIÓN ]],INSUMOS!A:D,3,FALSE)</f>
        <v>2812.45</v>
      </c>
      <c r="F182" s="225">
        <f>+Table28[[#This Row],[CANTIDAD]]*Table28[[#This Row],[VALOR UNITARIO]]</f>
        <v>0</v>
      </c>
    </row>
    <row r="183" spans="1:6" s="193" customFormat="1" ht="28.8" hidden="1" x14ac:dyDescent="0.3">
      <c r="A183" s="193">
        <v>97</v>
      </c>
      <c r="B183" s="193" t="s">
        <v>267</v>
      </c>
      <c r="C183" s="193" t="s">
        <v>55</v>
      </c>
      <c r="D183" s="226">
        <f>+ROUNDUP(SUMIFS('MEMORIA CANTIDADES'!E:E,'MEMORIA CANTIDADES'!B:B,Table28[[#This Row],[DESCRIPCIÓN ]],'MEMORIA CANTIDADES'!C:C,Table28[[#This Row],[UNIDAD]]),0)</f>
        <v>0</v>
      </c>
      <c r="E183" s="225">
        <f>+VLOOKUP(Table28[[#This Row],[DESCRIPCIÓN ]],INSUMOS!A:D,3,FALSE)</f>
        <v>3869.07</v>
      </c>
      <c r="F183" s="225">
        <f>+Table28[[#This Row],[CANTIDAD]]*Table28[[#This Row],[VALOR UNITARIO]]</f>
        <v>0</v>
      </c>
    </row>
    <row r="184" spans="1:6" s="193" customFormat="1" ht="28.8" hidden="1" x14ac:dyDescent="0.3">
      <c r="A184" s="193">
        <v>98</v>
      </c>
      <c r="B184" s="193" t="s">
        <v>268</v>
      </c>
      <c r="C184" s="193" t="s">
        <v>55</v>
      </c>
      <c r="D184" s="226">
        <f>+ROUNDUP(SUMIFS('MEMORIA CANTIDADES'!E:E,'MEMORIA CANTIDADES'!B:B,Table28[[#This Row],[DESCRIPCIÓN ]],'MEMORIA CANTIDADES'!C:C,Table28[[#This Row],[UNIDAD]]),0)</f>
        <v>0</v>
      </c>
      <c r="E184" s="225" t="e">
        <f>+VLOOKUP(Table28[[#This Row],[DESCRIPCIÓN ]],INSUMOS!A:D,3,FALSE)</f>
        <v>#N/A</v>
      </c>
      <c r="F184" s="225" t="e">
        <f>+Table28[[#This Row],[CANTIDAD]]*Table28[[#This Row],[VALOR UNITARIO]]</f>
        <v>#N/A</v>
      </c>
    </row>
    <row r="185" spans="1:6" s="193" customFormat="1" ht="28.8" hidden="1" x14ac:dyDescent="0.3">
      <c r="A185" s="193">
        <v>99</v>
      </c>
      <c r="B185" s="193" t="s">
        <v>2173</v>
      </c>
      <c r="C185" s="193" t="s">
        <v>55</v>
      </c>
      <c r="D185" s="226">
        <f>+ROUNDUP(SUMIFS('MEMORIA CANTIDADES'!E:E,'MEMORIA CANTIDADES'!B:B,Table28[[#This Row],[DESCRIPCIÓN ]],'MEMORIA CANTIDADES'!C:C,Table28[[#This Row],[UNIDAD]]),0)</f>
        <v>0</v>
      </c>
      <c r="E185" s="225" t="e">
        <f>+VLOOKUP(Table28[[#This Row],[DESCRIPCIÓN ]],INSUMOS!A:D,3,FALSE)</f>
        <v>#N/A</v>
      </c>
      <c r="F185" s="225" t="e">
        <f>+Table28[[#This Row],[CANTIDAD]]*Table28[[#This Row],[VALOR UNITARIO]]</f>
        <v>#N/A</v>
      </c>
    </row>
    <row r="186" spans="1:6" s="193" customFormat="1" ht="28.8" hidden="1" x14ac:dyDescent="0.3">
      <c r="A186" s="193">
        <v>100</v>
      </c>
      <c r="B186" s="193" t="s">
        <v>2174</v>
      </c>
      <c r="C186" s="193" t="s">
        <v>55</v>
      </c>
      <c r="D186" s="226">
        <f>+ROUNDUP(SUMIFS('MEMORIA CANTIDADES'!E:E,'MEMORIA CANTIDADES'!B:B,Table28[[#This Row],[DESCRIPCIÓN ]],'MEMORIA CANTIDADES'!C:C,Table28[[#This Row],[UNIDAD]]),0)</f>
        <v>0</v>
      </c>
      <c r="E186" s="225" t="e">
        <f>+VLOOKUP(Table28[[#This Row],[DESCRIPCIÓN ]],INSUMOS!A:D,3,FALSE)</f>
        <v>#N/A</v>
      </c>
      <c r="F186" s="225" t="e">
        <f>+Table28[[#This Row],[CANTIDAD]]*Table28[[#This Row],[VALOR UNITARIO]]</f>
        <v>#N/A</v>
      </c>
    </row>
    <row r="187" spans="1:6" s="193" customFormat="1" ht="28.8" hidden="1" x14ac:dyDescent="0.3">
      <c r="A187" s="193">
        <v>101</v>
      </c>
      <c r="B187" s="193" t="s">
        <v>2175</v>
      </c>
      <c r="C187" s="193" t="s">
        <v>55</v>
      </c>
      <c r="D187" s="226">
        <f>+ROUNDUP(SUMIFS('MEMORIA CANTIDADES'!E:E,'MEMORIA CANTIDADES'!B:B,Table28[[#This Row],[DESCRIPCIÓN ]],'MEMORIA CANTIDADES'!C:C,Table28[[#This Row],[UNIDAD]]),0)</f>
        <v>0</v>
      </c>
      <c r="E187" s="225">
        <f>+VLOOKUP(Table28[[#This Row],[DESCRIPCIÓN ]],INSUMOS!A:D,3,FALSE)</f>
        <v>10757.99</v>
      </c>
      <c r="F187" s="225">
        <f>+Table28[[#This Row],[CANTIDAD]]*Table28[[#This Row],[VALOR UNITARIO]]</f>
        <v>0</v>
      </c>
    </row>
    <row r="188" spans="1:6" s="193" customFormat="1" hidden="1" x14ac:dyDescent="0.3">
      <c r="A188" s="193">
        <v>102</v>
      </c>
      <c r="B188" s="193" t="s">
        <v>269</v>
      </c>
      <c r="C188" s="193" t="s">
        <v>55</v>
      </c>
      <c r="D188" s="226">
        <f>+ROUNDUP(SUMIFS('MEMORIA CANTIDADES'!E:E,'MEMORIA CANTIDADES'!B:B,Table28[[#This Row],[DESCRIPCIÓN ]],'MEMORIA CANTIDADES'!C:C,Table28[[#This Row],[UNIDAD]]),0)</f>
        <v>0</v>
      </c>
      <c r="E188" s="225">
        <f>+VLOOKUP(Table28[[#This Row],[DESCRIPCIÓN ]],INSUMOS!A:D,3,FALSE)</f>
        <v>4762.93</v>
      </c>
      <c r="F188" s="225">
        <f>+Table28[[#This Row],[CANTIDAD]]*Table28[[#This Row],[VALOR UNITARIO]]</f>
        <v>0</v>
      </c>
    </row>
    <row r="189" spans="1:6" s="193" customFormat="1" hidden="1" x14ac:dyDescent="0.3">
      <c r="A189" s="193">
        <v>103</v>
      </c>
      <c r="B189" s="193" t="s">
        <v>270</v>
      </c>
      <c r="C189" s="193" t="s">
        <v>55</v>
      </c>
      <c r="D189" s="226">
        <f>+ROUNDUP(SUMIFS('MEMORIA CANTIDADES'!E:E,'MEMORIA CANTIDADES'!B:B,Table28[[#This Row],[DESCRIPCIÓN ]],'MEMORIA CANTIDADES'!C:C,Table28[[#This Row],[UNIDAD]]),0)</f>
        <v>0</v>
      </c>
      <c r="E189" s="225">
        <f>+VLOOKUP(Table28[[#This Row],[DESCRIPCIÓN ]],INSUMOS!A:D,3,FALSE)</f>
        <v>7371.68</v>
      </c>
      <c r="F189" s="225">
        <f>+Table28[[#This Row],[CANTIDAD]]*Table28[[#This Row],[VALOR UNITARIO]]</f>
        <v>0</v>
      </c>
    </row>
    <row r="190" spans="1:6" s="193" customFormat="1" hidden="1" x14ac:dyDescent="0.3">
      <c r="A190" s="193">
        <v>104</v>
      </c>
      <c r="B190" s="193" t="s">
        <v>271</v>
      </c>
      <c r="C190" s="193" t="s">
        <v>55</v>
      </c>
      <c r="D190" s="226">
        <f>+ROUNDUP(SUMIFS('MEMORIA CANTIDADES'!E:E,'MEMORIA CANTIDADES'!B:B,Table28[[#This Row],[DESCRIPCIÓN ]],'MEMORIA CANTIDADES'!C:C,Table28[[#This Row],[UNIDAD]]),0)</f>
        <v>0</v>
      </c>
      <c r="E190" s="225">
        <f>+VLOOKUP(Table28[[#This Row],[DESCRIPCIÓN ]],INSUMOS!A:D,3,FALSE)</f>
        <v>13539.83</v>
      </c>
      <c r="F190" s="225">
        <f>+Table28[[#This Row],[CANTIDAD]]*Table28[[#This Row],[VALOR UNITARIO]]</f>
        <v>0</v>
      </c>
    </row>
    <row r="191" spans="1:6" s="193" customFormat="1" hidden="1" x14ac:dyDescent="0.3">
      <c r="A191" s="193">
        <v>105</v>
      </c>
      <c r="B191" s="193" t="s">
        <v>272</v>
      </c>
      <c r="C191" s="193" t="s">
        <v>55</v>
      </c>
      <c r="D191" s="226">
        <f>+ROUNDUP(SUMIFS('MEMORIA CANTIDADES'!E:E,'MEMORIA CANTIDADES'!B:B,Table28[[#This Row],[DESCRIPCIÓN ]],'MEMORIA CANTIDADES'!C:C,Table28[[#This Row],[UNIDAD]]),0)</f>
        <v>0</v>
      </c>
      <c r="E191" s="225">
        <f>+VLOOKUP(Table28[[#This Row],[DESCRIPCIÓN ]],INSUMOS!A:D,3,FALSE)</f>
        <v>1929.24</v>
      </c>
      <c r="F191" s="225">
        <f>+Table28[[#This Row],[CANTIDAD]]*Table28[[#This Row],[VALOR UNITARIO]]</f>
        <v>0</v>
      </c>
    </row>
    <row r="192" spans="1:6" s="193" customFormat="1" hidden="1" x14ac:dyDescent="0.3">
      <c r="A192" s="193">
        <v>106</v>
      </c>
      <c r="B192" s="193" t="s">
        <v>273</v>
      </c>
      <c r="C192" s="193" t="s">
        <v>55</v>
      </c>
      <c r="D192" s="226">
        <f>+ROUNDUP(SUMIFS('MEMORIA CANTIDADES'!E:E,'MEMORIA CANTIDADES'!B:B,Table28[[#This Row],[DESCRIPCIÓN ]],'MEMORIA CANTIDADES'!C:C,Table28[[#This Row],[UNIDAD]]),0)</f>
        <v>0</v>
      </c>
      <c r="E192" s="225">
        <f>+VLOOKUP(Table28[[#This Row],[DESCRIPCIÓN ]],INSUMOS!A:D,3,FALSE)</f>
        <v>2396.5700000000002</v>
      </c>
      <c r="F192" s="225">
        <f>+Table28[[#This Row],[CANTIDAD]]*Table28[[#This Row],[VALOR UNITARIO]]</f>
        <v>0</v>
      </c>
    </row>
    <row r="193" spans="1:6" s="193" customFormat="1" ht="28.8" hidden="1" x14ac:dyDescent="0.3">
      <c r="A193" s="193">
        <v>107</v>
      </c>
      <c r="B193" s="193" t="s">
        <v>274</v>
      </c>
      <c r="C193" s="193" t="s">
        <v>55</v>
      </c>
      <c r="D193" s="226">
        <f>+ROUNDUP(SUMIFS('MEMORIA CANTIDADES'!E:E,'MEMORIA CANTIDADES'!B:B,Table28[[#This Row],[DESCRIPCIÓN ]],'MEMORIA CANTIDADES'!C:C,Table28[[#This Row],[UNIDAD]]),0)</f>
        <v>0</v>
      </c>
      <c r="E193" s="225">
        <f>+VLOOKUP(Table28[[#This Row],[DESCRIPCIÓN ]],INSUMOS!A:D,3,FALSE)</f>
        <v>1828.54</v>
      </c>
      <c r="F193" s="225">
        <f>+Table28[[#This Row],[CANTIDAD]]*Table28[[#This Row],[VALOR UNITARIO]]</f>
        <v>0</v>
      </c>
    </row>
    <row r="194" spans="1:6" s="193" customFormat="1" ht="28.8" hidden="1" x14ac:dyDescent="0.3">
      <c r="A194" s="193">
        <v>108</v>
      </c>
      <c r="B194" s="193" t="s">
        <v>275</v>
      </c>
      <c r="C194" s="193" t="s">
        <v>55</v>
      </c>
      <c r="D194" s="226">
        <f>+ROUNDUP(SUMIFS('MEMORIA CANTIDADES'!E:E,'MEMORIA CANTIDADES'!B:B,Table28[[#This Row],[DESCRIPCIÓN ]],'MEMORIA CANTIDADES'!C:C,Table28[[#This Row],[UNIDAD]]),0)</f>
        <v>0</v>
      </c>
      <c r="E194" s="225">
        <f>+VLOOKUP(Table28[[#This Row],[DESCRIPCIÓN ]],INSUMOS!A:D,3,FALSE)</f>
        <v>2067.4499999999998</v>
      </c>
      <c r="F194" s="225">
        <f>+Table28[[#This Row],[CANTIDAD]]*Table28[[#This Row],[VALOR UNITARIO]]</f>
        <v>0</v>
      </c>
    </row>
    <row r="195" spans="1:6" s="193" customFormat="1" hidden="1" x14ac:dyDescent="0.3">
      <c r="A195" s="193">
        <v>109</v>
      </c>
      <c r="B195" s="193" t="s">
        <v>276</v>
      </c>
      <c r="C195" s="193" t="s">
        <v>55</v>
      </c>
      <c r="D195" s="226">
        <f>+ROUNDUP(SUMIFS('MEMORIA CANTIDADES'!E:E,'MEMORIA CANTIDADES'!B:B,Table28[[#This Row],[DESCRIPCIÓN ]],'MEMORIA CANTIDADES'!C:C,Table28[[#This Row],[UNIDAD]]),0)</f>
        <v>0</v>
      </c>
      <c r="E195" s="225">
        <f>+VLOOKUP(Table28[[#This Row],[DESCRIPCIÓN ]],INSUMOS!A:D,3,FALSE)</f>
        <v>2230.98</v>
      </c>
      <c r="F195" s="225">
        <f>+Table28[[#This Row],[CANTIDAD]]*Table28[[#This Row],[VALOR UNITARIO]]</f>
        <v>0</v>
      </c>
    </row>
    <row r="196" spans="1:6" s="193" customFormat="1" hidden="1" x14ac:dyDescent="0.3">
      <c r="A196" s="193">
        <v>110</v>
      </c>
      <c r="B196" s="193" t="s">
        <v>277</v>
      </c>
      <c r="C196" s="193" t="s">
        <v>55</v>
      </c>
      <c r="D196" s="226">
        <f>+ROUNDUP(SUMIFS('MEMORIA CANTIDADES'!E:E,'MEMORIA CANTIDADES'!B:B,Table28[[#This Row],[DESCRIPCIÓN ]],'MEMORIA CANTIDADES'!C:C,Table28[[#This Row],[UNIDAD]]),0)</f>
        <v>0</v>
      </c>
      <c r="E196" s="225">
        <f>+VLOOKUP(Table28[[#This Row],[DESCRIPCIÓN ]],INSUMOS!A:D,3,FALSE)</f>
        <v>2125.7800000000002</v>
      </c>
      <c r="F196" s="225">
        <f>+Table28[[#This Row],[CANTIDAD]]*Table28[[#This Row],[VALOR UNITARIO]]</f>
        <v>0</v>
      </c>
    </row>
    <row r="197" spans="1:6" s="193" customFormat="1" hidden="1" x14ac:dyDescent="0.3">
      <c r="A197" s="193">
        <v>111</v>
      </c>
      <c r="B197" s="193" t="s">
        <v>278</v>
      </c>
      <c r="C197" s="193" t="s">
        <v>55</v>
      </c>
      <c r="D197" s="226">
        <f>+ROUNDUP(SUMIFS('MEMORIA CANTIDADES'!E:E,'MEMORIA CANTIDADES'!B:B,Table28[[#This Row],[DESCRIPCIÓN ]],'MEMORIA CANTIDADES'!C:C,Table28[[#This Row],[UNIDAD]]),0)</f>
        <v>0</v>
      </c>
      <c r="E197" s="225">
        <f>+VLOOKUP(Table28[[#This Row],[DESCRIPCIÓN ]],INSUMOS!A:D,3,FALSE)</f>
        <v>3370.59</v>
      </c>
      <c r="F197" s="225">
        <f>+Table28[[#This Row],[CANTIDAD]]*Table28[[#This Row],[VALOR UNITARIO]]</f>
        <v>0</v>
      </c>
    </row>
    <row r="198" spans="1:6" s="193" customFormat="1" hidden="1" x14ac:dyDescent="0.3">
      <c r="A198" s="193">
        <v>112</v>
      </c>
      <c r="B198" s="193" t="s">
        <v>279</v>
      </c>
      <c r="C198" s="193" t="s">
        <v>55</v>
      </c>
      <c r="D198" s="226">
        <f>+ROUNDUP(SUMIFS('MEMORIA CANTIDADES'!E:E,'MEMORIA CANTIDADES'!B:B,Table28[[#This Row],[DESCRIPCIÓN ]],'MEMORIA CANTIDADES'!C:C,Table28[[#This Row],[UNIDAD]]),0)</f>
        <v>0</v>
      </c>
      <c r="E198" s="225">
        <f>+VLOOKUP(Table28[[#This Row],[DESCRIPCIÓN ]],INSUMOS!A:D,3,FALSE)</f>
        <v>4118.43</v>
      </c>
      <c r="F198" s="225">
        <f>+Table28[[#This Row],[CANTIDAD]]*Table28[[#This Row],[VALOR UNITARIO]]</f>
        <v>0</v>
      </c>
    </row>
    <row r="199" spans="1:6" s="193" customFormat="1" hidden="1" x14ac:dyDescent="0.3">
      <c r="A199" s="193">
        <v>113</v>
      </c>
      <c r="B199" s="193" t="s">
        <v>280</v>
      </c>
      <c r="C199" s="193" t="s">
        <v>55</v>
      </c>
      <c r="D199" s="226">
        <f>+ROUNDUP(SUMIFS('MEMORIA CANTIDADES'!E:E,'MEMORIA CANTIDADES'!B:B,Table28[[#This Row],[DESCRIPCIÓN ]],'MEMORIA CANTIDADES'!C:C,Table28[[#This Row],[UNIDAD]]),0)</f>
        <v>0</v>
      </c>
      <c r="E199" s="225">
        <f>+VLOOKUP(Table28[[#This Row],[DESCRIPCIÓN ]],INSUMOS!A:D,3,FALSE)</f>
        <v>2140.4699999999998</v>
      </c>
      <c r="F199" s="225">
        <f>+Table28[[#This Row],[CANTIDAD]]*Table28[[#This Row],[VALOR UNITARIO]]</f>
        <v>0</v>
      </c>
    </row>
    <row r="200" spans="1:6" s="193" customFormat="1" hidden="1" x14ac:dyDescent="0.3">
      <c r="A200" s="193">
        <v>114</v>
      </c>
      <c r="B200" s="193" t="s">
        <v>281</v>
      </c>
      <c r="C200" s="193" t="s">
        <v>55</v>
      </c>
      <c r="D200" s="226">
        <f>+ROUNDUP(SUMIFS('MEMORIA CANTIDADES'!E:E,'MEMORIA CANTIDADES'!B:B,Table28[[#This Row],[DESCRIPCIÓN ]],'MEMORIA CANTIDADES'!C:C,Table28[[#This Row],[UNIDAD]]),0)</f>
        <v>0</v>
      </c>
      <c r="E200" s="225">
        <f>+VLOOKUP(Table28[[#This Row],[DESCRIPCIÓN ]],INSUMOS!A:D,3,FALSE)</f>
        <v>2325.4299999999998</v>
      </c>
      <c r="F200" s="225">
        <f>+Table28[[#This Row],[CANTIDAD]]*Table28[[#This Row],[VALOR UNITARIO]]</f>
        <v>0</v>
      </c>
    </row>
    <row r="201" spans="1:6" s="193" customFormat="1" ht="28.8" hidden="1" x14ac:dyDescent="0.3">
      <c r="A201" s="193">
        <v>115</v>
      </c>
      <c r="B201" s="193" t="s">
        <v>282</v>
      </c>
      <c r="C201" s="193" t="s">
        <v>55</v>
      </c>
      <c r="D201" s="226">
        <f>+ROUNDUP(SUMIFS('MEMORIA CANTIDADES'!E:E,'MEMORIA CANTIDADES'!B:B,Table28[[#This Row],[DESCRIPCIÓN ]],'MEMORIA CANTIDADES'!C:C,Table28[[#This Row],[UNIDAD]]),0)</f>
        <v>0</v>
      </c>
      <c r="E201" s="225">
        <f>+VLOOKUP(Table28[[#This Row],[DESCRIPCIÓN ]],INSUMOS!A:D,3,FALSE)</f>
        <v>2396.4299999999998</v>
      </c>
      <c r="F201" s="225">
        <f>+Table28[[#This Row],[CANTIDAD]]*Table28[[#This Row],[VALOR UNITARIO]]</f>
        <v>0</v>
      </c>
    </row>
    <row r="202" spans="1:6" s="193" customFormat="1" hidden="1" x14ac:dyDescent="0.3">
      <c r="A202" s="193">
        <v>116</v>
      </c>
      <c r="B202" s="193" t="s">
        <v>283</v>
      </c>
      <c r="C202" s="193" t="s">
        <v>55</v>
      </c>
      <c r="D202" s="226">
        <f>+ROUNDUP(SUMIFS('MEMORIA CANTIDADES'!E:E,'MEMORIA CANTIDADES'!B:B,Table28[[#This Row],[DESCRIPCIÓN ]],'MEMORIA CANTIDADES'!C:C,Table28[[#This Row],[UNIDAD]]),0)</f>
        <v>0</v>
      </c>
      <c r="E202" s="225">
        <f>+VLOOKUP(Table28[[#This Row],[DESCRIPCIÓN ]],INSUMOS!A:D,3,FALSE)</f>
        <v>7502.51</v>
      </c>
      <c r="F202" s="225">
        <f>+Table28[[#This Row],[CANTIDAD]]*Table28[[#This Row],[VALOR UNITARIO]]</f>
        <v>0</v>
      </c>
    </row>
    <row r="203" spans="1:6" s="193" customFormat="1" hidden="1" x14ac:dyDescent="0.3">
      <c r="A203" s="193">
        <v>399</v>
      </c>
      <c r="B203" s="193" t="s">
        <v>284</v>
      </c>
      <c r="C203" s="193" t="s">
        <v>55</v>
      </c>
      <c r="D203" s="226">
        <f>+ROUNDUP(SUMIFS('MEMORIA CANTIDADES'!E:E,'MEMORIA CANTIDADES'!B:B,Table28[[#This Row],[DESCRIPCIÓN ]],'MEMORIA CANTIDADES'!C:C,Table28[[#This Row],[UNIDAD]]),0)</f>
        <v>0</v>
      </c>
      <c r="E203" s="225">
        <f>+VLOOKUP(Table28[[#This Row],[DESCRIPCIÓN ]],INSUMOS!A:D,3,FALSE)</f>
        <v>14737.37</v>
      </c>
      <c r="F203" s="225">
        <f>+Table28[[#This Row],[CANTIDAD]]*Table28[[#This Row],[VALOR UNITARIO]]</f>
        <v>0</v>
      </c>
    </row>
    <row r="204" spans="1:6" s="193" customFormat="1" hidden="1" x14ac:dyDescent="0.3">
      <c r="A204" s="193">
        <v>232</v>
      </c>
      <c r="B204" s="193" t="s">
        <v>285</v>
      </c>
      <c r="C204" s="193" t="s">
        <v>55</v>
      </c>
      <c r="D204" s="226">
        <f>+ROUNDUP(SUMIFS('MEMORIA CANTIDADES'!E:E,'MEMORIA CANTIDADES'!B:B,Table28[[#This Row],[DESCRIPCIÓN ]],'MEMORIA CANTIDADES'!C:C,Table28[[#This Row],[UNIDAD]]),0)</f>
        <v>0</v>
      </c>
      <c r="E204" s="225">
        <f>+VLOOKUP(Table28[[#This Row],[DESCRIPCIÓN ]],INSUMOS!A:D,3,FALSE)</f>
        <v>26326.29</v>
      </c>
      <c r="F204" s="225">
        <f>+Table28[[#This Row],[CANTIDAD]]*Table28[[#This Row],[VALOR UNITARIO]]</f>
        <v>0</v>
      </c>
    </row>
    <row r="205" spans="1:6" s="193" customFormat="1" hidden="1" x14ac:dyDescent="0.3">
      <c r="A205" s="193">
        <v>233</v>
      </c>
      <c r="B205" s="193" t="s">
        <v>286</v>
      </c>
      <c r="C205" s="193" t="s">
        <v>55</v>
      </c>
      <c r="D205" s="226">
        <f>+ROUNDUP(SUMIFS('MEMORIA CANTIDADES'!E:E,'MEMORIA CANTIDADES'!B:B,Table28[[#This Row],[DESCRIPCIÓN ]],'MEMORIA CANTIDADES'!C:C,Table28[[#This Row],[UNIDAD]]),0)</f>
        <v>0</v>
      </c>
      <c r="E205" s="225">
        <f>+VLOOKUP(Table28[[#This Row],[DESCRIPCIÓN ]],INSUMOS!A:D,3,FALSE)</f>
        <v>18561.57</v>
      </c>
      <c r="F205" s="225">
        <f>+Table28[[#This Row],[CANTIDAD]]*Table28[[#This Row],[VALOR UNITARIO]]</f>
        <v>0</v>
      </c>
    </row>
    <row r="206" spans="1:6" s="193" customFormat="1" hidden="1" x14ac:dyDescent="0.3">
      <c r="A206" s="193">
        <v>234</v>
      </c>
      <c r="B206" s="193" t="s">
        <v>287</v>
      </c>
      <c r="C206" s="193" t="s">
        <v>55</v>
      </c>
      <c r="D206" s="226">
        <f>+ROUNDUP(SUMIFS('MEMORIA CANTIDADES'!E:E,'MEMORIA CANTIDADES'!B:B,Table28[[#This Row],[DESCRIPCIÓN ]],'MEMORIA CANTIDADES'!C:C,Table28[[#This Row],[UNIDAD]]),0)</f>
        <v>0</v>
      </c>
      <c r="E206" s="225">
        <f>+VLOOKUP(Table28[[#This Row],[DESCRIPCIÓN ]],INSUMOS!A:D,3,FALSE)</f>
        <v>68142.720000000001</v>
      </c>
      <c r="F206" s="225">
        <f>+Table28[[#This Row],[CANTIDAD]]*Table28[[#This Row],[VALOR UNITARIO]]</f>
        <v>0</v>
      </c>
    </row>
    <row r="207" spans="1:6" s="193" customFormat="1" hidden="1" x14ac:dyDescent="0.3">
      <c r="A207" s="193">
        <v>235</v>
      </c>
      <c r="B207" s="193" t="s">
        <v>288</v>
      </c>
      <c r="C207" s="193" t="s">
        <v>55</v>
      </c>
      <c r="D207" s="226">
        <f>+ROUNDUP(SUMIFS('MEMORIA CANTIDADES'!E:E,'MEMORIA CANTIDADES'!B:B,Table28[[#This Row],[DESCRIPCIÓN ]],'MEMORIA CANTIDADES'!C:C,Table28[[#This Row],[UNIDAD]]),0)</f>
        <v>0</v>
      </c>
      <c r="E207" s="225">
        <f>+VLOOKUP(Table28[[#This Row],[DESCRIPCIÓN ]],INSUMOS!A:D,3,FALSE)</f>
        <v>24009.43</v>
      </c>
      <c r="F207" s="225">
        <f>+Table28[[#This Row],[CANTIDAD]]*Table28[[#This Row],[VALOR UNITARIO]]</f>
        <v>0</v>
      </c>
    </row>
    <row r="208" spans="1:6" s="193" customFormat="1" hidden="1" x14ac:dyDescent="0.3">
      <c r="A208" s="193">
        <v>236</v>
      </c>
      <c r="B208" s="193" t="s">
        <v>289</v>
      </c>
      <c r="C208" s="193" t="s">
        <v>55</v>
      </c>
      <c r="D208" s="226">
        <f>+ROUNDUP(SUMIFS('MEMORIA CANTIDADES'!E:E,'MEMORIA CANTIDADES'!B:B,Table28[[#This Row],[DESCRIPCIÓN ]],'MEMORIA CANTIDADES'!C:C,Table28[[#This Row],[UNIDAD]]),0)</f>
        <v>0</v>
      </c>
      <c r="E208" s="225">
        <f>+VLOOKUP(Table28[[#This Row],[DESCRIPCIÓN ]],INSUMOS!A:D,3,FALSE)</f>
        <v>29900.75</v>
      </c>
      <c r="F208" s="225">
        <f>+Table28[[#This Row],[CANTIDAD]]*Table28[[#This Row],[VALOR UNITARIO]]</f>
        <v>0</v>
      </c>
    </row>
    <row r="209" spans="1:6" s="193" customFormat="1" hidden="1" x14ac:dyDescent="0.3">
      <c r="A209" s="193">
        <v>237</v>
      </c>
      <c r="B209" s="193" t="s">
        <v>290</v>
      </c>
      <c r="C209" s="193" t="s">
        <v>55</v>
      </c>
      <c r="D209" s="226">
        <f>+ROUNDUP(SUMIFS('MEMORIA CANTIDADES'!E:E,'MEMORIA CANTIDADES'!B:B,Table28[[#This Row],[DESCRIPCIÓN ]],'MEMORIA CANTIDADES'!C:C,Table28[[#This Row],[UNIDAD]]),0)</f>
        <v>0</v>
      </c>
      <c r="E209" s="225">
        <f>+VLOOKUP(Table28[[#This Row],[DESCRIPCIÓN ]],INSUMOS!A:D,3,FALSE)</f>
        <v>39350.06</v>
      </c>
      <c r="F209" s="225">
        <f>+Table28[[#This Row],[CANTIDAD]]*Table28[[#This Row],[VALOR UNITARIO]]</f>
        <v>0</v>
      </c>
    </row>
    <row r="210" spans="1:6" s="193" customFormat="1" ht="28.8" hidden="1" x14ac:dyDescent="0.3">
      <c r="A210" s="193">
        <v>452</v>
      </c>
      <c r="B210" s="193" t="s">
        <v>291</v>
      </c>
      <c r="C210" s="193" t="s">
        <v>55</v>
      </c>
      <c r="D210" s="226">
        <f>+ROUNDUP(SUMIFS('MEMORIA CANTIDADES'!E:E,'MEMORIA CANTIDADES'!B:B,Table28[[#This Row],[DESCRIPCIÓN ]],'MEMORIA CANTIDADES'!C:C,Table28[[#This Row],[UNIDAD]]),0)</f>
        <v>0</v>
      </c>
      <c r="E210" s="225">
        <f>+VLOOKUP(Table28[[#This Row],[DESCRIPCIÓN ]],INSUMOS!A:D,3,FALSE)</f>
        <v>15780.35</v>
      </c>
      <c r="F210" s="225">
        <f>+Table28[[#This Row],[CANTIDAD]]*Table28[[#This Row],[VALOR UNITARIO]]</f>
        <v>0</v>
      </c>
    </row>
    <row r="211" spans="1:6" s="193" customFormat="1" ht="28.8" hidden="1" x14ac:dyDescent="0.3">
      <c r="A211" s="193">
        <v>453</v>
      </c>
      <c r="B211" s="193" t="s">
        <v>292</v>
      </c>
      <c r="C211" s="193" t="s">
        <v>55</v>
      </c>
      <c r="D211" s="226">
        <f>+ROUNDUP(SUMIFS('MEMORIA CANTIDADES'!E:E,'MEMORIA CANTIDADES'!B:B,Table28[[#This Row],[DESCRIPCIÓN ]],'MEMORIA CANTIDADES'!C:C,Table28[[#This Row],[UNIDAD]]),0)</f>
        <v>0</v>
      </c>
      <c r="E211" s="225">
        <f>+VLOOKUP(Table28[[#This Row],[DESCRIPCIÓN ]],INSUMOS!A:D,3,FALSE)</f>
        <v>22788.98</v>
      </c>
      <c r="F211" s="225">
        <f>+Table28[[#This Row],[CANTIDAD]]*Table28[[#This Row],[VALOR UNITARIO]]</f>
        <v>0</v>
      </c>
    </row>
    <row r="212" spans="1:6" s="193" customFormat="1" ht="28.8" hidden="1" x14ac:dyDescent="0.3">
      <c r="A212" s="193">
        <v>454</v>
      </c>
      <c r="B212" s="193" t="s">
        <v>293</v>
      </c>
      <c r="C212" s="193" t="s">
        <v>55</v>
      </c>
      <c r="D212" s="226">
        <f>+ROUNDUP(SUMIFS('MEMORIA CANTIDADES'!E:E,'MEMORIA CANTIDADES'!B:B,Table28[[#This Row],[DESCRIPCIÓN ]],'MEMORIA CANTIDADES'!C:C,Table28[[#This Row],[UNIDAD]]),0)</f>
        <v>0</v>
      </c>
      <c r="E212" s="225">
        <f>+VLOOKUP(Table28[[#This Row],[DESCRIPCIÓN ]],INSUMOS!A:D,3,FALSE)</f>
        <v>75326.600000000006</v>
      </c>
      <c r="F212" s="225">
        <f>+Table28[[#This Row],[CANTIDAD]]*Table28[[#This Row],[VALOR UNITARIO]]</f>
        <v>0</v>
      </c>
    </row>
    <row r="213" spans="1:6" s="193" customFormat="1" ht="28.8" hidden="1" x14ac:dyDescent="0.3">
      <c r="A213" s="193">
        <v>1230</v>
      </c>
      <c r="B213" s="193" t="s">
        <v>294</v>
      </c>
      <c r="C213" s="193" t="s">
        <v>55</v>
      </c>
      <c r="D213" s="226">
        <f>+ROUNDUP(SUMIFS('MEMORIA CANTIDADES'!E:E,'MEMORIA CANTIDADES'!B:B,Table28[[#This Row],[DESCRIPCIÓN ]],'MEMORIA CANTIDADES'!C:C,Table28[[#This Row],[UNIDAD]]),0)</f>
        <v>0</v>
      </c>
      <c r="E213" s="225">
        <f>+VLOOKUP(Table28[[#This Row],[DESCRIPCIÓN ]],INSUMOS!A:D,3,FALSE)</f>
        <v>54505.95</v>
      </c>
      <c r="F213" s="225">
        <f>+Table28[[#This Row],[CANTIDAD]]*Table28[[#This Row],[VALOR UNITARIO]]</f>
        <v>0</v>
      </c>
    </row>
    <row r="214" spans="1:6" s="193" customFormat="1" hidden="1" x14ac:dyDescent="0.3">
      <c r="A214" s="193">
        <v>1229</v>
      </c>
      <c r="B214" s="193" t="s">
        <v>295</v>
      </c>
      <c r="C214" s="193" t="s">
        <v>55</v>
      </c>
      <c r="D214" s="226">
        <f>+ROUNDUP(SUMIFS('MEMORIA CANTIDADES'!E:E,'MEMORIA CANTIDADES'!B:B,Table28[[#This Row],[DESCRIPCIÓN ]],'MEMORIA CANTIDADES'!C:C,Table28[[#This Row],[UNIDAD]]),0)</f>
        <v>0</v>
      </c>
      <c r="E214" s="225">
        <f>+VLOOKUP(Table28[[#This Row],[DESCRIPCIÓN ]],INSUMOS!A:D,3,FALSE)</f>
        <v>52089.49</v>
      </c>
      <c r="F214" s="225">
        <f>+Table28[[#This Row],[CANTIDAD]]*Table28[[#This Row],[VALOR UNITARIO]]</f>
        <v>0</v>
      </c>
    </row>
    <row r="215" spans="1:6" s="193" customFormat="1" hidden="1" x14ac:dyDescent="0.3">
      <c r="A215" s="193">
        <v>1227</v>
      </c>
      <c r="B215" s="193" t="s">
        <v>296</v>
      </c>
      <c r="C215" s="193" t="s">
        <v>55</v>
      </c>
      <c r="D215" s="226">
        <f>+ROUNDUP(SUMIFS('MEMORIA CANTIDADES'!E:E,'MEMORIA CANTIDADES'!B:B,Table28[[#This Row],[DESCRIPCIÓN ]],'MEMORIA CANTIDADES'!C:C,Table28[[#This Row],[UNIDAD]]),0)</f>
        <v>0</v>
      </c>
      <c r="E215" s="225">
        <f>+VLOOKUP(Table28[[#This Row],[DESCRIPCIÓN ]],INSUMOS!A:D,3,FALSE)</f>
        <v>56856.41</v>
      </c>
      <c r="F215" s="225">
        <f>+Table28[[#This Row],[CANTIDAD]]*Table28[[#This Row],[VALOR UNITARIO]]</f>
        <v>0</v>
      </c>
    </row>
    <row r="216" spans="1:6" s="193" customFormat="1" hidden="1" x14ac:dyDescent="0.3">
      <c r="A216" s="193">
        <v>1228</v>
      </c>
      <c r="B216" s="193" t="s">
        <v>297</v>
      </c>
      <c r="C216" s="193" t="s">
        <v>55</v>
      </c>
      <c r="D216" s="226">
        <f>+ROUNDUP(SUMIFS('MEMORIA CANTIDADES'!E:E,'MEMORIA CANTIDADES'!B:B,Table28[[#This Row],[DESCRIPCIÓN ]],'MEMORIA CANTIDADES'!C:C,Table28[[#This Row],[UNIDAD]]),0)</f>
        <v>0</v>
      </c>
      <c r="E216" s="225">
        <f>+VLOOKUP(Table28[[#This Row],[DESCRIPCIÓN ]],INSUMOS!A:D,3,FALSE)</f>
        <v>55141.86</v>
      </c>
      <c r="F216" s="225">
        <f>+Table28[[#This Row],[CANTIDAD]]*Table28[[#This Row],[VALOR UNITARIO]]</f>
        <v>0</v>
      </c>
    </row>
    <row r="217" spans="1:6" s="193" customFormat="1" ht="28.8" hidden="1" x14ac:dyDescent="0.3">
      <c r="A217" s="193">
        <v>1226</v>
      </c>
      <c r="B217" s="193" t="s">
        <v>298</v>
      </c>
      <c r="C217" s="193" t="s">
        <v>55</v>
      </c>
      <c r="D217" s="226">
        <f>+ROUNDUP(SUMIFS('MEMORIA CANTIDADES'!E:E,'MEMORIA CANTIDADES'!B:B,Table28[[#This Row],[DESCRIPCIÓN ]],'MEMORIA CANTIDADES'!C:C,Table28[[#This Row],[UNIDAD]]),0)</f>
        <v>0</v>
      </c>
      <c r="E217" s="225">
        <f>+VLOOKUP(Table28[[#This Row],[DESCRIPCIÓN ]],INSUMOS!A:D,3,FALSE)</f>
        <v>44329.599999999999</v>
      </c>
      <c r="F217" s="225">
        <f>+Table28[[#This Row],[CANTIDAD]]*Table28[[#This Row],[VALOR UNITARIO]]</f>
        <v>0</v>
      </c>
    </row>
    <row r="218" spans="1:6" s="193" customFormat="1" hidden="1" x14ac:dyDescent="0.3">
      <c r="A218" s="193">
        <v>455</v>
      </c>
      <c r="B218" s="193" t="s">
        <v>299</v>
      </c>
      <c r="C218" s="193" t="s">
        <v>55</v>
      </c>
      <c r="D218" s="226">
        <f>+ROUNDUP(SUMIFS('MEMORIA CANTIDADES'!E:E,'MEMORIA CANTIDADES'!B:B,Table28[[#This Row],[DESCRIPCIÓN ]],'MEMORIA CANTIDADES'!C:C,Table28[[#This Row],[UNIDAD]]),0)</f>
        <v>0</v>
      </c>
      <c r="E218" s="225">
        <f>+VLOOKUP(Table28[[#This Row],[DESCRIPCIÓN ]],INSUMOS!A:D,3,FALSE)</f>
        <v>98362.240000000005</v>
      </c>
      <c r="F218" s="225">
        <f>+Table28[[#This Row],[CANTIDAD]]*Table28[[#This Row],[VALOR UNITARIO]]</f>
        <v>0</v>
      </c>
    </row>
    <row r="219" spans="1:6" s="193" customFormat="1" hidden="1" x14ac:dyDescent="0.3">
      <c r="A219" s="193">
        <v>456</v>
      </c>
      <c r="B219" s="193" t="s">
        <v>300</v>
      </c>
      <c r="C219" s="193" t="s">
        <v>55</v>
      </c>
      <c r="D219" s="226">
        <f>+ROUNDUP(SUMIFS('MEMORIA CANTIDADES'!E:E,'MEMORIA CANTIDADES'!B:B,Table28[[#This Row],[DESCRIPCIÓN ]],'MEMORIA CANTIDADES'!C:C,Table28[[#This Row],[UNIDAD]]),0)</f>
        <v>0</v>
      </c>
      <c r="E219" s="225">
        <f>+VLOOKUP(Table28[[#This Row],[DESCRIPCIÓN ]],INSUMOS!A:D,3,FALSE)</f>
        <v>52305.96</v>
      </c>
      <c r="F219" s="225">
        <f>+Table28[[#This Row],[CANTIDAD]]*Table28[[#This Row],[VALOR UNITARIO]]</f>
        <v>0</v>
      </c>
    </row>
    <row r="220" spans="1:6" s="193" customFormat="1" hidden="1" x14ac:dyDescent="0.3">
      <c r="A220" s="193">
        <v>457</v>
      </c>
      <c r="B220" s="193" t="s">
        <v>301</v>
      </c>
      <c r="C220" s="193" t="s">
        <v>55</v>
      </c>
      <c r="D220" s="226">
        <f>+ROUNDUP(SUMIFS('MEMORIA CANTIDADES'!E:E,'MEMORIA CANTIDADES'!B:B,Table28[[#This Row],[DESCRIPCIÓN ]],'MEMORIA CANTIDADES'!C:C,Table28[[#This Row],[UNIDAD]]),0)</f>
        <v>0</v>
      </c>
      <c r="E220" s="225">
        <f>+VLOOKUP(Table28[[#This Row],[DESCRIPCIÓN ]],INSUMOS!A:D,3,FALSE)</f>
        <v>9257.59</v>
      </c>
      <c r="F220" s="225">
        <f>+Table28[[#This Row],[CANTIDAD]]*Table28[[#This Row],[VALOR UNITARIO]]</f>
        <v>0</v>
      </c>
    </row>
    <row r="221" spans="1:6" s="193" customFormat="1" hidden="1" x14ac:dyDescent="0.3">
      <c r="A221" s="193">
        <v>458</v>
      </c>
      <c r="B221" s="193" t="s">
        <v>302</v>
      </c>
      <c r="C221" s="193" t="s">
        <v>55</v>
      </c>
      <c r="D221" s="226">
        <f>+ROUNDUP(SUMIFS('MEMORIA CANTIDADES'!E:E,'MEMORIA CANTIDADES'!B:B,Table28[[#This Row],[DESCRIPCIÓN ]],'MEMORIA CANTIDADES'!C:C,Table28[[#This Row],[UNIDAD]]),0)</f>
        <v>0</v>
      </c>
      <c r="E221" s="225">
        <f>+VLOOKUP(Table28[[#This Row],[DESCRIPCIÓN ]],INSUMOS!A:D,3,FALSE)</f>
        <v>6706.89</v>
      </c>
      <c r="F221" s="225">
        <f>+Table28[[#This Row],[CANTIDAD]]*Table28[[#This Row],[VALOR UNITARIO]]</f>
        <v>0</v>
      </c>
    </row>
    <row r="222" spans="1:6" s="193" customFormat="1" hidden="1" x14ac:dyDescent="0.3">
      <c r="A222" s="193">
        <v>459</v>
      </c>
      <c r="B222" s="193" t="s">
        <v>303</v>
      </c>
      <c r="C222" s="193" t="s">
        <v>55</v>
      </c>
      <c r="D222" s="226">
        <f>+ROUNDUP(SUMIFS('MEMORIA CANTIDADES'!E:E,'MEMORIA CANTIDADES'!B:B,Table28[[#This Row],[DESCRIPCIÓN ]],'MEMORIA CANTIDADES'!C:C,Table28[[#This Row],[UNIDAD]]),0)</f>
        <v>0</v>
      </c>
      <c r="E222" s="225">
        <f>+VLOOKUP(Table28[[#This Row],[DESCRIPCIÓN ]],INSUMOS!A:D,3,FALSE)</f>
        <v>16197.49</v>
      </c>
      <c r="F222" s="225">
        <f>+Table28[[#This Row],[CANTIDAD]]*Table28[[#This Row],[VALOR UNITARIO]]</f>
        <v>0</v>
      </c>
    </row>
    <row r="223" spans="1:6" s="193" customFormat="1" hidden="1" x14ac:dyDescent="0.3">
      <c r="A223" s="193">
        <v>460</v>
      </c>
      <c r="B223" s="193" t="s">
        <v>304</v>
      </c>
      <c r="C223" s="193" t="s">
        <v>55</v>
      </c>
      <c r="D223" s="226">
        <f>+ROUNDUP(SUMIFS('MEMORIA CANTIDADES'!E:E,'MEMORIA CANTIDADES'!B:B,Table28[[#This Row],[DESCRIPCIÓN ]],'MEMORIA CANTIDADES'!C:C,Table28[[#This Row],[UNIDAD]]),0)</f>
        <v>0</v>
      </c>
      <c r="E223" s="225">
        <f>+VLOOKUP(Table28[[#This Row],[DESCRIPCIÓN ]],INSUMOS!A:D,3,FALSE)</f>
        <v>10981.33</v>
      </c>
      <c r="F223" s="225">
        <f>+Table28[[#This Row],[CANTIDAD]]*Table28[[#This Row],[VALOR UNITARIO]]</f>
        <v>0</v>
      </c>
    </row>
    <row r="224" spans="1:6" s="193" customFormat="1" hidden="1" x14ac:dyDescent="0.3">
      <c r="A224" s="193">
        <v>461</v>
      </c>
      <c r="B224" s="193" t="s">
        <v>305</v>
      </c>
      <c r="C224" s="193" t="s">
        <v>55</v>
      </c>
      <c r="D224" s="226">
        <f>+ROUNDUP(SUMIFS('MEMORIA CANTIDADES'!E:E,'MEMORIA CANTIDADES'!B:B,Table28[[#This Row],[DESCRIPCIÓN ]],'MEMORIA CANTIDADES'!C:C,Table28[[#This Row],[UNIDAD]]),0)</f>
        <v>0</v>
      </c>
      <c r="E224" s="225">
        <f>+VLOOKUP(Table28[[#This Row],[DESCRIPCIÓN ]],INSUMOS!A:D,3,FALSE)</f>
        <v>15724.62</v>
      </c>
      <c r="F224" s="225">
        <f>+Table28[[#This Row],[CANTIDAD]]*Table28[[#This Row],[VALOR UNITARIO]]</f>
        <v>0</v>
      </c>
    </row>
    <row r="225" spans="1:6" s="193" customFormat="1" hidden="1" x14ac:dyDescent="0.3">
      <c r="A225" s="193">
        <v>462</v>
      </c>
      <c r="B225" s="193" t="s">
        <v>306</v>
      </c>
      <c r="C225" s="193" t="s">
        <v>55</v>
      </c>
      <c r="D225" s="226">
        <f>+ROUNDUP(SUMIFS('MEMORIA CANTIDADES'!E:E,'MEMORIA CANTIDADES'!B:B,Table28[[#This Row],[DESCRIPCIÓN ]],'MEMORIA CANTIDADES'!C:C,Table28[[#This Row],[UNIDAD]]),0)</f>
        <v>0</v>
      </c>
      <c r="E225" s="225">
        <f>+VLOOKUP(Table28[[#This Row],[DESCRIPCIÓN ]],INSUMOS!A:D,3,FALSE)</f>
        <v>6751.43</v>
      </c>
      <c r="F225" s="225">
        <f>+Table28[[#This Row],[CANTIDAD]]*Table28[[#This Row],[VALOR UNITARIO]]</f>
        <v>0</v>
      </c>
    </row>
    <row r="226" spans="1:6" s="193" customFormat="1" hidden="1" x14ac:dyDescent="0.3">
      <c r="A226" s="193">
        <v>463</v>
      </c>
      <c r="B226" s="193" t="s">
        <v>307</v>
      </c>
      <c r="C226" s="193" t="s">
        <v>55</v>
      </c>
      <c r="D226" s="226">
        <f>+ROUNDUP(SUMIFS('MEMORIA CANTIDADES'!E:E,'MEMORIA CANTIDADES'!B:B,Table28[[#This Row],[DESCRIPCIÓN ]],'MEMORIA CANTIDADES'!C:C,Table28[[#This Row],[UNIDAD]]),0)</f>
        <v>0</v>
      </c>
      <c r="E226" s="225">
        <f>+VLOOKUP(Table28[[#This Row],[DESCRIPCIÓN ]],INSUMOS!A:D,3,FALSE)</f>
        <v>11421.13</v>
      </c>
      <c r="F226" s="225">
        <f>+Table28[[#This Row],[CANTIDAD]]*Table28[[#This Row],[VALOR UNITARIO]]</f>
        <v>0</v>
      </c>
    </row>
    <row r="227" spans="1:6" s="193" customFormat="1" hidden="1" x14ac:dyDescent="0.3">
      <c r="A227" s="193">
        <v>464</v>
      </c>
      <c r="B227" s="193" t="s">
        <v>308</v>
      </c>
      <c r="C227" s="193" t="s">
        <v>55</v>
      </c>
      <c r="D227" s="226">
        <f>+ROUNDUP(SUMIFS('MEMORIA CANTIDADES'!E:E,'MEMORIA CANTIDADES'!B:B,Table28[[#This Row],[DESCRIPCIÓN ]],'MEMORIA CANTIDADES'!C:C,Table28[[#This Row],[UNIDAD]]),0)</f>
        <v>0</v>
      </c>
      <c r="E227" s="225">
        <f>+VLOOKUP(Table28[[#This Row],[DESCRIPCIÓN ]],INSUMOS!A:D,3,FALSE)</f>
        <v>19459.47</v>
      </c>
      <c r="F227" s="225">
        <f>+Table28[[#This Row],[CANTIDAD]]*Table28[[#This Row],[VALOR UNITARIO]]</f>
        <v>0</v>
      </c>
    </row>
    <row r="228" spans="1:6" s="193" customFormat="1" hidden="1" x14ac:dyDescent="0.3">
      <c r="A228" s="193">
        <v>465</v>
      </c>
      <c r="B228" s="193" t="s">
        <v>309</v>
      </c>
      <c r="C228" s="193" t="s">
        <v>55</v>
      </c>
      <c r="D228" s="226">
        <f>+ROUNDUP(SUMIFS('MEMORIA CANTIDADES'!E:E,'MEMORIA CANTIDADES'!B:B,Table28[[#This Row],[DESCRIPCIÓN ]],'MEMORIA CANTIDADES'!C:C,Table28[[#This Row],[UNIDAD]]),0)</f>
        <v>0</v>
      </c>
      <c r="E228" s="225">
        <f>+VLOOKUP(Table28[[#This Row],[DESCRIPCIÓN ]],INSUMOS!A:D,3,FALSE)</f>
        <v>27566.04</v>
      </c>
      <c r="F228" s="225">
        <f>+Table28[[#This Row],[CANTIDAD]]*Table28[[#This Row],[VALOR UNITARIO]]</f>
        <v>0</v>
      </c>
    </row>
    <row r="229" spans="1:6" s="193" customFormat="1" hidden="1" x14ac:dyDescent="0.3">
      <c r="A229" s="193">
        <v>466</v>
      </c>
      <c r="B229" s="193" t="s">
        <v>310</v>
      </c>
      <c r="C229" s="193" t="s">
        <v>55</v>
      </c>
      <c r="D229" s="226">
        <f>+ROUNDUP(SUMIFS('MEMORIA CANTIDADES'!E:E,'MEMORIA CANTIDADES'!B:B,Table28[[#This Row],[DESCRIPCIÓN ]],'MEMORIA CANTIDADES'!C:C,Table28[[#This Row],[UNIDAD]]),0)</f>
        <v>0</v>
      </c>
      <c r="E229" s="225">
        <f>+VLOOKUP(Table28[[#This Row],[DESCRIPCIÓN ]],INSUMOS!A:D,3,FALSE)</f>
        <v>38894.57</v>
      </c>
      <c r="F229" s="225">
        <f>+Table28[[#This Row],[CANTIDAD]]*Table28[[#This Row],[VALOR UNITARIO]]</f>
        <v>0</v>
      </c>
    </row>
    <row r="230" spans="1:6" s="193" customFormat="1" ht="28.8" hidden="1" x14ac:dyDescent="0.3">
      <c r="A230" s="193">
        <v>946</v>
      </c>
      <c r="B230" s="193" t="s">
        <v>311</v>
      </c>
      <c r="C230" s="193" t="s">
        <v>55</v>
      </c>
      <c r="D230" s="226">
        <f>+ROUNDUP(SUMIFS('MEMORIA CANTIDADES'!E:E,'MEMORIA CANTIDADES'!B:B,Table28[[#This Row],[DESCRIPCIÓN ]],'MEMORIA CANTIDADES'!C:C,Table28[[#This Row],[UNIDAD]]),0)</f>
        <v>0</v>
      </c>
      <c r="E230" s="225">
        <f>+VLOOKUP(Table28[[#This Row],[DESCRIPCIÓN ]],INSUMOS!A:D,3,FALSE)</f>
        <v>7414.36</v>
      </c>
      <c r="F230" s="225">
        <f>+Table28[[#This Row],[CANTIDAD]]*Table28[[#This Row],[VALOR UNITARIO]]</f>
        <v>0</v>
      </c>
    </row>
    <row r="231" spans="1:6" s="193" customFormat="1" ht="28.8" hidden="1" x14ac:dyDescent="0.3">
      <c r="A231" s="193">
        <v>947</v>
      </c>
      <c r="B231" s="193" t="s">
        <v>312</v>
      </c>
      <c r="C231" s="193" t="s">
        <v>55</v>
      </c>
      <c r="D231" s="226">
        <f>+ROUNDUP(SUMIFS('MEMORIA CANTIDADES'!E:E,'MEMORIA CANTIDADES'!B:B,Table28[[#This Row],[DESCRIPCIÓN ]],'MEMORIA CANTIDADES'!C:C,Table28[[#This Row],[UNIDAD]]),0)</f>
        <v>0</v>
      </c>
      <c r="E231" s="225">
        <f>+VLOOKUP(Table28[[#This Row],[DESCRIPCIÓN ]],INSUMOS!A:D,3,FALSE)</f>
        <v>7249.15</v>
      </c>
      <c r="F231" s="225">
        <f>+Table28[[#This Row],[CANTIDAD]]*Table28[[#This Row],[VALOR UNITARIO]]</f>
        <v>0</v>
      </c>
    </row>
    <row r="232" spans="1:6" s="193" customFormat="1" ht="28.8" hidden="1" x14ac:dyDescent="0.3">
      <c r="A232" s="193">
        <v>948</v>
      </c>
      <c r="B232" s="193" t="s">
        <v>313</v>
      </c>
      <c r="C232" s="193" t="s">
        <v>55</v>
      </c>
      <c r="D232" s="226">
        <f>+ROUNDUP(SUMIFS('MEMORIA CANTIDADES'!E:E,'MEMORIA CANTIDADES'!B:B,Table28[[#This Row],[DESCRIPCIÓN ]],'MEMORIA CANTIDADES'!C:C,Table28[[#This Row],[UNIDAD]]),0)</f>
        <v>0</v>
      </c>
      <c r="E232" s="225">
        <f>+VLOOKUP(Table28[[#This Row],[DESCRIPCIÓN ]],INSUMOS!A:D,3,FALSE)</f>
        <v>7151.33</v>
      </c>
      <c r="F232" s="225">
        <f>+Table28[[#This Row],[CANTIDAD]]*Table28[[#This Row],[VALOR UNITARIO]]</f>
        <v>0</v>
      </c>
    </row>
    <row r="233" spans="1:6" s="193" customFormat="1" ht="28.8" hidden="1" x14ac:dyDescent="0.3">
      <c r="A233" s="193">
        <v>949</v>
      </c>
      <c r="B233" s="193" t="s">
        <v>314</v>
      </c>
      <c r="C233" s="193" t="s">
        <v>55</v>
      </c>
      <c r="D233" s="226">
        <f>+ROUNDUP(SUMIFS('MEMORIA CANTIDADES'!E:E,'MEMORIA CANTIDADES'!B:B,Table28[[#This Row],[DESCRIPCIÓN ]],'MEMORIA CANTIDADES'!C:C,Table28[[#This Row],[UNIDAD]]),0)</f>
        <v>0</v>
      </c>
      <c r="E233" s="225">
        <f>+VLOOKUP(Table28[[#This Row],[DESCRIPCIÓN ]],INSUMOS!A:D,3,FALSE)</f>
        <v>7223.03</v>
      </c>
      <c r="F233" s="225">
        <f>+Table28[[#This Row],[CANTIDAD]]*Table28[[#This Row],[VALOR UNITARIO]]</f>
        <v>0</v>
      </c>
    </row>
    <row r="234" spans="1:6" s="193" customFormat="1" ht="28.8" hidden="1" x14ac:dyDescent="0.3">
      <c r="A234" s="193">
        <v>950</v>
      </c>
      <c r="B234" s="193" t="s">
        <v>315</v>
      </c>
      <c r="C234" s="193" t="s">
        <v>55</v>
      </c>
      <c r="D234" s="226">
        <f>+ROUNDUP(SUMIFS('MEMORIA CANTIDADES'!E:E,'MEMORIA CANTIDADES'!B:B,Table28[[#This Row],[DESCRIPCIÓN ]],'MEMORIA CANTIDADES'!C:C,Table28[[#This Row],[UNIDAD]]),0)</f>
        <v>0</v>
      </c>
      <c r="E234" s="225">
        <f>+VLOOKUP(Table28[[#This Row],[DESCRIPCIÓN ]],INSUMOS!A:D,3,FALSE)</f>
        <v>5832.42</v>
      </c>
      <c r="F234" s="225">
        <f>+Table28[[#This Row],[CANTIDAD]]*Table28[[#This Row],[VALOR UNITARIO]]</f>
        <v>0</v>
      </c>
    </row>
    <row r="235" spans="1:6" s="193" customFormat="1" ht="28.8" hidden="1" x14ac:dyDescent="0.3">
      <c r="A235" s="193">
        <v>951</v>
      </c>
      <c r="B235" s="193" t="s">
        <v>316</v>
      </c>
      <c r="C235" s="193" t="s">
        <v>55</v>
      </c>
      <c r="D235" s="226">
        <f>+ROUNDUP(SUMIFS('MEMORIA CANTIDADES'!E:E,'MEMORIA CANTIDADES'!B:B,Table28[[#This Row],[DESCRIPCIÓN ]],'MEMORIA CANTIDADES'!C:C,Table28[[#This Row],[UNIDAD]]),0)</f>
        <v>0</v>
      </c>
      <c r="E235" s="225">
        <f>+VLOOKUP(Table28[[#This Row],[DESCRIPCIÓN ]],INSUMOS!A:D,3,FALSE)</f>
        <v>7680.03</v>
      </c>
      <c r="F235" s="225">
        <f>+Table28[[#This Row],[CANTIDAD]]*Table28[[#This Row],[VALOR UNITARIO]]</f>
        <v>0</v>
      </c>
    </row>
    <row r="236" spans="1:6" s="193" customFormat="1" ht="28.8" hidden="1" x14ac:dyDescent="0.3">
      <c r="A236" s="193">
        <v>952</v>
      </c>
      <c r="B236" s="193" t="s">
        <v>317</v>
      </c>
      <c r="C236" s="193" t="s">
        <v>55</v>
      </c>
      <c r="D236" s="226">
        <f>+ROUNDUP(SUMIFS('MEMORIA CANTIDADES'!E:E,'MEMORIA CANTIDADES'!B:B,Table28[[#This Row],[DESCRIPCIÓN ]],'MEMORIA CANTIDADES'!C:C,Table28[[#This Row],[UNIDAD]]),0)</f>
        <v>0</v>
      </c>
      <c r="E236" s="225">
        <f>+VLOOKUP(Table28[[#This Row],[DESCRIPCIÓN ]],INSUMOS!A:D,3,FALSE)</f>
        <v>7684.03</v>
      </c>
      <c r="F236" s="225">
        <f>+Table28[[#This Row],[CANTIDAD]]*Table28[[#This Row],[VALOR UNITARIO]]</f>
        <v>0</v>
      </c>
    </row>
    <row r="237" spans="1:6" s="193" customFormat="1" hidden="1" x14ac:dyDescent="0.3">
      <c r="A237" s="193">
        <v>953</v>
      </c>
      <c r="B237" s="193" t="s">
        <v>318</v>
      </c>
      <c r="C237" s="193" t="s">
        <v>55</v>
      </c>
      <c r="D237" s="226">
        <f>+ROUNDUP(SUMIFS('MEMORIA CANTIDADES'!E:E,'MEMORIA CANTIDADES'!B:B,Table28[[#This Row],[DESCRIPCIÓN ]],'MEMORIA CANTIDADES'!C:C,Table28[[#This Row],[UNIDAD]]),0)</f>
        <v>0</v>
      </c>
      <c r="E237" s="225">
        <f>+VLOOKUP(Table28[[#This Row],[DESCRIPCIÓN ]],INSUMOS!A:D,3,FALSE)</f>
        <v>3649.31</v>
      </c>
      <c r="F237" s="225">
        <f>+Table28[[#This Row],[CANTIDAD]]*Table28[[#This Row],[VALOR UNITARIO]]</f>
        <v>0</v>
      </c>
    </row>
    <row r="238" spans="1:6" s="193" customFormat="1" hidden="1" x14ac:dyDescent="0.3">
      <c r="A238" s="193">
        <v>954</v>
      </c>
      <c r="B238" s="193" t="s">
        <v>319</v>
      </c>
      <c r="C238" s="193" t="s">
        <v>55</v>
      </c>
      <c r="D238" s="226">
        <f>+ROUNDUP(SUMIFS('MEMORIA CANTIDADES'!E:E,'MEMORIA CANTIDADES'!B:B,Table28[[#This Row],[DESCRIPCIÓN ]],'MEMORIA CANTIDADES'!C:C,Table28[[#This Row],[UNIDAD]]),0)</f>
        <v>0</v>
      </c>
      <c r="E238" s="225">
        <f>+VLOOKUP(Table28[[#This Row],[DESCRIPCIÓN ]],INSUMOS!A:D,3,FALSE)</f>
        <v>3649.31</v>
      </c>
      <c r="F238" s="225">
        <f>+Table28[[#This Row],[CANTIDAD]]*Table28[[#This Row],[VALOR UNITARIO]]</f>
        <v>0</v>
      </c>
    </row>
    <row r="239" spans="1:6" s="193" customFormat="1" ht="28.8" hidden="1" x14ac:dyDescent="0.3">
      <c r="A239" s="193">
        <v>955</v>
      </c>
      <c r="B239" s="193" t="s">
        <v>320</v>
      </c>
      <c r="C239" s="193" t="s">
        <v>55</v>
      </c>
      <c r="D239" s="226">
        <f>+ROUNDUP(SUMIFS('MEMORIA CANTIDADES'!E:E,'MEMORIA CANTIDADES'!B:B,Table28[[#This Row],[DESCRIPCIÓN ]],'MEMORIA CANTIDADES'!C:C,Table28[[#This Row],[UNIDAD]]),0)</f>
        <v>0</v>
      </c>
      <c r="E239" s="225">
        <f>+VLOOKUP(Table28[[#This Row],[DESCRIPCIÓN ]],INSUMOS!A:D,3,FALSE)</f>
        <v>2047.33</v>
      </c>
      <c r="F239" s="225">
        <f>+Table28[[#This Row],[CANTIDAD]]*Table28[[#This Row],[VALOR UNITARIO]]</f>
        <v>0</v>
      </c>
    </row>
    <row r="240" spans="1:6" s="193" customFormat="1" ht="28.8" hidden="1" x14ac:dyDescent="0.3">
      <c r="A240" s="193">
        <v>956</v>
      </c>
      <c r="B240" s="193" t="s">
        <v>321</v>
      </c>
      <c r="C240" s="193" t="s">
        <v>55</v>
      </c>
      <c r="D240" s="226">
        <f>+ROUNDUP(SUMIFS('MEMORIA CANTIDADES'!E:E,'MEMORIA CANTIDADES'!B:B,Table28[[#This Row],[DESCRIPCIÓN ]],'MEMORIA CANTIDADES'!C:C,Table28[[#This Row],[UNIDAD]]),0)</f>
        <v>0</v>
      </c>
      <c r="E240" s="225">
        <f>+VLOOKUP(Table28[[#This Row],[DESCRIPCIÓN ]],INSUMOS!A:D,3,FALSE)</f>
        <v>10591.02</v>
      </c>
      <c r="F240" s="225">
        <f>+Table28[[#This Row],[CANTIDAD]]*Table28[[#This Row],[VALOR UNITARIO]]</f>
        <v>0</v>
      </c>
    </row>
    <row r="241" spans="1:6" s="193" customFormat="1" ht="28.8" hidden="1" x14ac:dyDescent="0.3">
      <c r="A241" s="193">
        <v>957</v>
      </c>
      <c r="B241" s="193" t="s">
        <v>322</v>
      </c>
      <c r="C241" s="193" t="s">
        <v>55</v>
      </c>
      <c r="D241" s="226">
        <f>+ROUNDUP(SUMIFS('MEMORIA CANTIDADES'!E:E,'MEMORIA CANTIDADES'!B:B,Table28[[#This Row],[DESCRIPCIÓN ]],'MEMORIA CANTIDADES'!C:C,Table28[[#This Row],[UNIDAD]]),0)</f>
        <v>0</v>
      </c>
      <c r="E241" s="225">
        <f>+VLOOKUP(Table28[[#This Row],[DESCRIPCIÓN ]],INSUMOS!A:D,3,FALSE)</f>
        <v>10436.56</v>
      </c>
      <c r="F241" s="225">
        <f>+Table28[[#This Row],[CANTIDAD]]*Table28[[#This Row],[VALOR UNITARIO]]</f>
        <v>0</v>
      </c>
    </row>
    <row r="242" spans="1:6" s="193" customFormat="1" hidden="1" x14ac:dyDescent="0.3">
      <c r="A242" s="193">
        <v>958</v>
      </c>
      <c r="B242" s="193" t="s">
        <v>323</v>
      </c>
      <c r="C242" s="193" t="s">
        <v>55</v>
      </c>
      <c r="D242" s="226">
        <f>+ROUNDUP(SUMIFS('MEMORIA CANTIDADES'!E:E,'MEMORIA CANTIDADES'!B:B,Table28[[#This Row],[DESCRIPCIÓN ]],'MEMORIA CANTIDADES'!C:C,Table28[[#This Row],[UNIDAD]]),0)</f>
        <v>0</v>
      </c>
      <c r="E242" s="225">
        <f>+VLOOKUP(Table28[[#This Row],[DESCRIPCIÓN ]],INSUMOS!A:D,3,FALSE)</f>
        <v>10621.88</v>
      </c>
      <c r="F242" s="225">
        <f>+Table28[[#This Row],[CANTIDAD]]*Table28[[#This Row],[VALOR UNITARIO]]</f>
        <v>0</v>
      </c>
    </row>
    <row r="243" spans="1:6" s="193" customFormat="1" hidden="1" x14ac:dyDescent="0.3">
      <c r="A243" s="193">
        <v>959</v>
      </c>
      <c r="B243" s="193" t="s">
        <v>324</v>
      </c>
      <c r="C243" s="193" t="s">
        <v>55</v>
      </c>
      <c r="D243" s="226">
        <f>+ROUNDUP(SUMIFS('MEMORIA CANTIDADES'!E:E,'MEMORIA CANTIDADES'!B:B,Table28[[#This Row],[DESCRIPCIÓN ]],'MEMORIA CANTIDADES'!C:C,Table28[[#This Row],[UNIDAD]]),0)</f>
        <v>0</v>
      </c>
      <c r="E243" s="225">
        <f>+VLOOKUP(Table28[[#This Row],[DESCRIPCIÓN ]],INSUMOS!A:D,3,FALSE)</f>
        <v>10575.93</v>
      </c>
      <c r="F243" s="225">
        <f>+Table28[[#This Row],[CANTIDAD]]*Table28[[#This Row],[VALOR UNITARIO]]</f>
        <v>0</v>
      </c>
    </row>
    <row r="244" spans="1:6" s="193" customFormat="1" hidden="1" x14ac:dyDescent="0.3">
      <c r="A244" s="193">
        <v>960</v>
      </c>
      <c r="B244" s="193" t="s">
        <v>325</v>
      </c>
      <c r="C244" s="193" t="s">
        <v>55</v>
      </c>
      <c r="D244" s="226">
        <f>+ROUNDUP(SUMIFS('MEMORIA CANTIDADES'!E:E,'MEMORIA CANTIDADES'!B:B,Table28[[#This Row],[DESCRIPCIÓN ]],'MEMORIA CANTIDADES'!C:C,Table28[[#This Row],[UNIDAD]]),0)</f>
        <v>0</v>
      </c>
      <c r="E244" s="225">
        <f>+VLOOKUP(Table28[[#This Row],[DESCRIPCIÓN ]],INSUMOS!A:D,3,FALSE)</f>
        <v>11056.41</v>
      </c>
      <c r="F244" s="225">
        <f>+Table28[[#This Row],[CANTIDAD]]*Table28[[#This Row],[VALOR UNITARIO]]</f>
        <v>0</v>
      </c>
    </row>
    <row r="245" spans="1:6" s="193" customFormat="1" hidden="1" x14ac:dyDescent="0.3">
      <c r="A245" s="193">
        <v>961</v>
      </c>
      <c r="B245" s="193" t="s">
        <v>326</v>
      </c>
      <c r="C245" s="193" t="s">
        <v>55</v>
      </c>
      <c r="D245" s="226">
        <f>+ROUNDUP(SUMIFS('MEMORIA CANTIDADES'!E:E,'MEMORIA CANTIDADES'!B:B,Table28[[#This Row],[DESCRIPCIÓN ]],'MEMORIA CANTIDADES'!C:C,Table28[[#This Row],[UNIDAD]]),0)</f>
        <v>0</v>
      </c>
      <c r="E245" s="225">
        <f>+VLOOKUP(Table28[[#This Row],[DESCRIPCIÓN ]],INSUMOS!A:D,3,FALSE)</f>
        <v>42710.53</v>
      </c>
      <c r="F245" s="225">
        <f>+Table28[[#This Row],[CANTIDAD]]*Table28[[#This Row],[VALOR UNITARIO]]</f>
        <v>0</v>
      </c>
    </row>
    <row r="246" spans="1:6" s="193" customFormat="1" ht="28.8" hidden="1" x14ac:dyDescent="0.3">
      <c r="A246" s="193">
        <v>962</v>
      </c>
      <c r="B246" s="193" t="s">
        <v>327</v>
      </c>
      <c r="C246" s="193" t="s">
        <v>55</v>
      </c>
      <c r="D246" s="226">
        <f>+ROUNDUP(SUMIFS('MEMORIA CANTIDADES'!E:E,'MEMORIA CANTIDADES'!B:B,Table28[[#This Row],[DESCRIPCIÓN ]],'MEMORIA CANTIDADES'!C:C,Table28[[#This Row],[UNIDAD]]),0)</f>
        <v>0</v>
      </c>
      <c r="E246" s="225">
        <f>+VLOOKUP(Table28[[#This Row],[DESCRIPCIÓN ]],INSUMOS!A:D,3,FALSE)</f>
        <v>2237.7800000000002</v>
      </c>
      <c r="F246" s="225">
        <f>+Table28[[#This Row],[CANTIDAD]]*Table28[[#This Row],[VALOR UNITARIO]]</f>
        <v>0</v>
      </c>
    </row>
    <row r="247" spans="1:6" s="193" customFormat="1" ht="28.8" hidden="1" x14ac:dyDescent="0.3">
      <c r="A247" s="193">
        <v>963</v>
      </c>
      <c r="B247" s="193" t="s">
        <v>328</v>
      </c>
      <c r="C247" s="193" t="s">
        <v>55</v>
      </c>
      <c r="D247" s="226">
        <f>+ROUNDUP(SUMIFS('MEMORIA CANTIDADES'!E:E,'MEMORIA CANTIDADES'!B:B,Table28[[#This Row],[DESCRIPCIÓN ]],'MEMORIA CANTIDADES'!C:C,Table28[[#This Row],[UNIDAD]]),0)</f>
        <v>0</v>
      </c>
      <c r="E247" s="225">
        <f>+VLOOKUP(Table28[[#This Row],[DESCRIPCIÓN ]],INSUMOS!A:D,3,FALSE)</f>
        <v>6936</v>
      </c>
      <c r="F247" s="225">
        <f>+Table28[[#This Row],[CANTIDAD]]*Table28[[#This Row],[VALOR UNITARIO]]</f>
        <v>0</v>
      </c>
    </row>
    <row r="248" spans="1:6" s="193" customFormat="1" ht="28.8" hidden="1" x14ac:dyDescent="0.3">
      <c r="A248" s="193">
        <v>964</v>
      </c>
      <c r="B248" s="193" t="s">
        <v>329</v>
      </c>
      <c r="C248" s="193" t="s">
        <v>55</v>
      </c>
      <c r="D248" s="226">
        <f>+ROUNDUP(SUMIFS('MEMORIA CANTIDADES'!E:E,'MEMORIA CANTIDADES'!B:B,Table28[[#This Row],[DESCRIPCIÓN ]],'MEMORIA CANTIDADES'!C:C,Table28[[#This Row],[UNIDAD]]),0)</f>
        <v>0</v>
      </c>
      <c r="E248" s="225">
        <f>+VLOOKUP(Table28[[#This Row],[DESCRIPCIÓN ]],INSUMOS!A:D,3,FALSE)</f>
        <v>6681.86</v>
      </c>
      <c r="F248" s="225">
        <f>+Table28[[#This Row],[CANTIDAD]]*Table28[[#This Row],[VALOR UNITARIO]]</f>
        <v>0</v>
      </c>
    </row>
    <row r="249" spans="1:6" s="193" customFormat="1" ht="28.8" hidden="1" x14ac:dyDescent="0.3">
      <c r="A249" s="193">
        <v>965</v>
      </c>
      <c r="B249" s="193" t="s">
        <v>330</v>
      </c>
      <c r="C249" s="193" t="s">
        <v>55</v>
      </c>
      <c r="D249" s="226">
        <f>+ROUNDUP(SUMIFS('MEMORIA CANTIDADES'!E:E,'MEMORIA CANTIDADES'!B:B,Table28[[#This Row],[DESCRIPCIÓN ]],'MEMORIA CANTIDADES'!C:C,Table28[[#This Row],[UNIDAD]]),0)</f>
        <v>0</v>
      </c>
      <c r="E249" s="225">
        <f>+VLOOKUP(Table28[[#This Row],[DESCRIPCIÓN ]],INSUMOS!A:D,3,FALSE)</f>
        <v>2609.0500000000002</v>
      </c>
      <c r="F249" s="225">
        <f>+Table28[[#This Row],[CANTIDAD]]*Table28[[#This Row],[VALOR UNITARIO]]</f>
        <v>0</v>
      </c>
    </row>
    <row r="250" spans="1:6" s="193" customFormat="1" ht="28.8" hidden="1" x14ac:dyDescent="0.3">
      <c r="A250" s="193">
        <v>966</v>
      </c>
      <c r="B250" s="193" t="s">
        <v>331</v>
      </c>
      <c r="C250" s="193" t="s">
        <v>55</v>
      </c>
      <c r="D250" s="226">
        <f>+ROUNDUP(SUMIFS('MEMORIA CANTIDADES'!E:E,'MEMORIA CANTIDADES'!B:B,Table28[[#This Row],[DESCRIPCIÓN ]],'MEMORIA CANTIDADES'!C:C,Table28[[#This Row],[UNIDAD]]),0)</f>
        <v>0</v>
      </c>
      <c r="E250" s="225">
        <f>+VLOOKUP(Table28[[#This Row],[DESCRIPCIÓN ]],INSUMOS!A:D,3,FALSE)</f>
        <v>5468.43</v>
      </c>
      <c r="F250" s="225">
        <f>+Table28[[#This Row],[CANTIDAD]]*Table28[[#This Row],[VALOR UNITARIO]]</f>
        <v>0</v>
      </c>
    </row>
    <row r="251" spans="1:6" s="193" customFormat="1" ht="28.8" hidden="1" x14ac:dyDescent="0.3">
      <c r="A251" s="193">
        <v>967</v>
      </c>
      <c r="B251" s="193" t="s">
        <v>332</v>
      </c>
      <c r="C251" s="193" t="s">
        <v>55</v>
      </c>
      <c r="D251" s="226">
        <f>+ROUNDUP(SUMIFS('MEMORIA CANTIDADES'!E:E,'MEMORIA CANTIDADES'!B:B,Table28[[#This Row],[DESCRIPCIÓN ]],'MEMORIA CANTIDADES'!C:C,Table28[[#This Row],[UNIDAD]]),0)</f>
        <v>0</v>
      </c>
      <c r="E251" s="225">
        <f>+VLOOKUP(Table28[[#This Row],[DESCRIPCIÓN ]],INSUMOS!A:D,3,FALSE)</f>
        <v>5451.97</v>
      </c>
      <c r="F251" s="225">
        <f>+Table28[[#This Row],[CANTIDAD]]*Table28[[#This Row],[VALOR UNITARIO]]</f>
        <v>0</v>
      </c>
    </row>
    <row r="252" spans="1:6" s="193" customFormat="1" ht="28.8" hidden="1" x14ac:dyDescent="0.3">
      <c r="A252" s="193">
        <v>968</v>
      </c>
      <c r="B252" s="193" t="s">
        <v>333</v>
      </c>
      <c r="C252" s="193" t="s">
        <v>55</v>
      </c>
      <c r="D252" s="226">
        <f>+ROUNDUP(SUMIFS('MEMORIA CANTIDADES'!E:E,'MEMORIA CANTIDADES'!B:B,Table28[[#This Row],[DESCRIPCIÓN ]],'MEMORIA CANTIDADES'!C:C,Table28[[#This Row],[UNIDAD]]),0)</f>
        <v>0</v>
      </c>
      <c r="E252" s="225">
        <f>+VLOOKUP(Table28[[#This Row],[DESCRIPCIÓN ]],INSUMOS!A:D,3,FALSE)</f>
        <v>5442.3</v>
      </c>
      <c r="F252" s="225">
        <f>+Table28[[#This Row],[CANTIDAD]]*Table28[[#This Row],[VALOR UNITARIO]]</f>
        <v>0</v>
      </c>
    </row>
    <row r="253" spans="1:6" s="193" customFormat="1" ht="28.8" hidden="1" x14ac:dyDescent="0.3">
      <c r="A253" s="193">
        <v>969</v>
      </c>
      <c r="B253" s="193" t="s">
        <v>334</v>
      </c>
      <c r="C253" s="193" t="s">
        <v>55</v>
      </c>
      <c r="D253" s="226">
        <f>+ROUNDUP(SUMIFS('MEMORIA CANTIDADES'!E:E,'MEMORIA CANTIDADES'!B:B,Table28[[#This Row],[DESCRIPCIÓN ]],'MEMORIA CANTIDADES'!C:C,Table28[[#This Row],[UNIDAD]]),0)</f>
        <v>0</v>
      </c>
      <c r="E253" s="225">
        <f>+VLOOKUP(Table28[[#This Row],[DESCRIPCIÓN ]],INSUMOS!A:D,3,FALSE)</f>
        <v>5448.55</v>
      </c>
      <c r="F253" s="225">
        <f>+Table28[[#This Row],[CANTIDAD]]*Table28[[#This Row],[VALOR UNITARIO]]</f>
        <v>0</v>
      </c>
    </row>
    <row r="254" spans="1:6" s="193" customFormat="1" ht="28.8" hidden="1" x14ac:dyDescent="0.3">
      <c r="A254" s="193">
        <v>970</v>
      </c>
      <c r="B254" s="193" t="s">
        <v>335</v>
      </c>
      <c r="C254" s="193" t="s">
        <v>55</v>
      </c>
      <c r="D254" s="226">
        <f>+ROUNDUP(SUMIFS('MEMORIA CANTIDADES'!E:E,'MEMORIA CANTIDADES'!B:B,Table28[[#This Row],[DESCRIPCIÓN ]],'MEMORIA CANTIDADES'!C:C,Table28[[#This Row],[UNIDAD]]),0)</f>
        <v>0</v>
      </c>
      <c r="E254" s="225">
        <f>+VLOOKUP(Table28[[#This Row],[DESCRIPCIÓN ]],INSUMOS!A:D,3,FALSE)</f>
        <v>3636.63</v>
      </c>
      <c r="F254" s="225">
        <f>+Table28[[#This Row],[CANTIDAD]]*Table28[[#This Row],[VALOR UNITARIO]]</f>
        <v>0</v>
      </c>
    </row>
    <row r="255" spans="1:6" s="193" customFormat="1" ht="28.8" hidden="1" x14ac:dyDescent="0.3">
      <c r="A255" s="193">
        <v>971</v>
      </c>
      <c r="B255" s="193" t="s">
        <v>336</v>
      </c>
      <c r="C255" s="193" t="s">
        <v>55</v>
      </c>
      <c r="D255" s="226">
        <f>+ROUNDUP(SUMIFS('MEMORIA CANTIDADES'!E:E,'MEMORIA CANTIDADES'!B:B,Table28[[#This Row],[DESCRIPCIÓN ]],'MEMORIA CANTIDADES'!C:C,Table28[[#This Row],[UNIDAD]]),0)</f>
        <v>0</v>
      </c>
      <c r="E255" s="225">
        <f>+VLOOKUP(Table28[[#This Row],[DESCRIPCIÓN ]],INSUMOS!A:D,3,FALSE)</f>
        <v>3592.95</v>
      </c>
      <c r="F255" s="225">
        <f>+Table28[[#This Row],[CANTIDAD]]*Table28[[#This Row],[VALOR UNITARIO]]</f>
        <v>0</v>
      </c>
    </row>
    <row r="256" spans="1:6" s="193" customFormat="1" ht="28.8" hidden="1" x14ac:dyDescent="0.3">
      <c r="A256" s="193">
        <v>972</v>
      </c>
      <c r="B256" s="193" t="s">
        <v>337</v>
      </c>
      <c r="C256" s="193" t="s">
        <v>55</v>
      </c>
      <c r="D256" s="226">
        <f>+ROUNDUP(SUMIFS('MEMORIA CANTIDADES'!E:E,'MEMORIA CANTIDADES'!B:B,Table28[[#This Row],[DESCRIPCIÓN ]],'MEMORIA CANTIDADES'!C:C,Table28[[#This Row],[UNIDAD]]),0)</f>
        <v>0</v>
      </c>
      <c r="E256" s="225">
        <f>+VLOOKUP(Table28[[#This Row],[DESCRIPCIÓN ]],INSUMOS!A:D,3,FALSE)</f>
        <v>3509.38</v>
      </c>
      <c r="F256" s="225">
        <f>+Table28[[#This Row],[CANTIDAD]]*Table28[[#This Row],[VALOR UNITARIO]]</f>
        <v>0</v>
      </c>
    </row>
    <row r="257" spans="1:6" s="193" customFormat="1" hidden="1" x14ac:dyDescent="0.3">
      <c r="A257" s="193">
        <v>973</v>
      </c>
      <c r="B257" s="193" t="s">
        <v>338</v>
      </c>
      <c r="C257" s="193" t="s">
        <v>55</v>
      </c>
      <c r="D257" s="226">
        <f>+ROUNDUP(SUMIFS('MEMORIA CANTIDADES'!E:E,'MEMORIA CANTIDADES'!B:B,Table28[[#This Row],[DESCRIPCIÓN ]],'MEMORIA CANTIDADES'!C:C,Table28[[#This Row],[UNIDAD]]),0)</f>
        <v>0</v>
      </c>
      <c r="E257" s="225">
        <f>+VLOOKUP(Table28[[#This Row],[DESCRIPCIÓN ]],INSUMOS!A:D,3,FALSE)</f>
        <v>1896.57</v>
      </c>
      <c r="F257" s="225">
        <f>+Table28[[#This Row],[CANTIDAD]]*Table28[[#This Row],[VALOR UNITARIO]]</f>
        <v>0</v>
      </c>
    </row>
    <row r="258" spans="1:6" s="193" customFormat="1" hidden="1" x14ac:dyDescent="0.3">
      <c r="A258" s="193">
        <v>974</v>
      </c>
      <c r="B258" s="193" t="s">
        <v>339</v>
      </c>
      <c r="C258" s="193" t="s">
        <v>55</v>
      </c>
      <c r="D258" s="226">
        <f>+ROUNDUP(SUMIFS('MEMORIA CANTIDADES'!E:E,'MEMORIA CANTIDADES'!B:B,Table28[[#This Row],[DESCRIPCIÓN ]],'MEMORIA CANTIDADES'!C:C,Table28[[#This Row],[UNIDAD]]),0)</f>
        <v>0</v>
      </c>
      <c r="E258" s="225">
        <f>+VLOOKUP(Table28[[#This Row],[DESCRIPCIÓN ]],INSUMOS!A:D,3,FALSE)</f>
        <v>1924.92</v>
      </c>
      <c r="F258" s="225">
        <f>+Table28[[#This Row],[CANTIDAD]]*Table28[[#This Row],[VALOR UNITARIO]]</f>
        <v>0</v>
      </c>
    </row>
    <row r="259" spans="1:6" s="193" customFormat="1" ht="28.8" hidden="1" x14ac:dyDescent="0.3">
      <c r="A259" s="193">
        <v>975</v>
      </c>
      <c r="B259" s="193" t="s">
        <v>340</v>
      </c>
      <c r="C259" s="193" t="s">
        <v>55</v>
      </c>
      <c r="D259" s="226">
        <f>+ROUNDUP(SUMIFS('MEMORIA CANTIDADES'!E:E,'MEMORIA CANTIDADES'!B:B,Table28[[#This Row],[DESCRIPCIÓN ]],'MEMORIA CANTIDADES'!C:C,Table28[[#This Row],[UNIDAD]]),0)</f>
        <v>0</v>
      </c>
      <c r="E259" s="225">
        <f>+VLOOKUP(Table28[[#This Row],[DESCRIPCIÓN ]],INSUMOS!A:D,3,FALSE)</f>
        <v>17443.04</v>
      </c>
      <c r="F259" s="225">
        <f>+Table28[[#This Row],[CANTIDAD]]*Table28[[#This Row],[VALOR UNITARIO]]</f>
        <v>0</v>
      </c>
    </row>
    <row r="260" spans="1:6" s="193" customFormat="1" ht="28.8" hidden="1" x14ac:dyDescent="0.3">
      <c r="A260" s="193">
        <v>976</v>
      </c>
      <c r="B260" s="193" t="s">
        <v>341</v>
      </c>
      <c r="C260" s="193" t="s">
        <v>55</v>
      </c>
      <c r="D260" s="226">
        <f>+ROUNDUP(SUMIFS('MEMORIA CANTIDADES'!E:E,'MEMORIA CANTIDADES'!B:B,Table28[[#This Row],[DESCRIPCIÓN ]],'MEMORIA CANTIDADES'!C:C,Table28[[#This Row],[UNIDAD]]),0)</f>
        <v>0</v>
      </c>
      <c r="E260" s="225">
        <f>+VLOOKUP(Table28[[#This Row],[DESCRIPCIÓN ]],INSUMOS!A:D,3,FALSE)</f>
        <v>20542.04</v>
      </c>
      <c r="F260" s="225">
        <f>+Table28[[#This Row],[CANTIDAD]]*Table28[[#This Row],[VALOR UNITARIO]]</f>
        <v>0</v>
      </c>
    </row>
    <row r="261" spans="1:6" s="193" customFormat="1" ht="28.8" hidden="1" x14ac:dyDescent="0.3">
      <c r="A261" s="193">
        <v>977</v>
      </c>
      <c r="B261" s="193" t="s">
        <v>342</v>
      </c>
      <c r="C261" s="193" t="s">
        <v>55</v>
      </c>
      <c r="D261" s="226">
        <f>+ROUNDUP(SUMIFS('MEMORIA CANTIDADES'!E:E,'MEMORIA CANTIDADES'!B:B,Table28[[#This Row],[DESCRIPCIÓN ]],'MEMORIA CANTIDADES'!C:C,Table28[[#This Row],[UNIDAD]]),0)</f>
        <v>0</v>
      </c>
      <c r="E261" s="225">
        <f>+VLOOKUP(Table28[[#This Row],[DESCRIPCIÓN ]],INSUMOS!A:D,3,FALSE)</f>
        <v>8372.26</v>
      </c>
      <c r="F261" s="225">
        <f>+Table28[[#This Row],[CANTIDAD]]*Table28[[#This Row],[VALOR UNITARIO]]</f>
        <v>0</v>
      </c>
    </row>
    <row r="262" spans="1:6" s="193" customFormat="1" ht="28.8" hidden="1" x14ac:dyDescent="0.3">
      <c r="A262" s="193">
        <v>978</v>
      </c>
      <c r="B262" s="193" t="s">
        <v>343</v>
      </c>
      <c r="C262" s="193" t="s">
        <v>55</v>
      </c>
      <c r="D262" s="226">
        <f>+ROUNDUP(SUMIFS('MEMORIA CANTIDADES'!E:E,'MEMORIA CANTIDADES'!B:B,Table28[[#This Row],[DESCRIPCIÓN ]],'MEMORIA CANTIDADES'!C:C,Table28[[#This Row],[UNIDAD]]),0)</f>
        <v>0</v>
      </c>
      <c r="E262" s="225">
        <f>+VLOOKUP(Table28[[#This Row],[DESCRIPCIÓN ]],INSUMOS!A:D,3,FALSE)</f>
        <v>8301.11</v>
      </c>
      <c r="F262" s="225">
        <f>+Table28[[#This Row],[CANTIDAD]]*Table28[[#This Row],[VALOR UNITARIO]]</f>
        <v>0</v>
      </c>
    </row>
    <row r="263" spans="1:6" s="193" customFormat="1" hidden="1" x14ac:dyDescent="0.3">
      <c r="A263" s="193">
        <v>979</v>
      </c>
      <c r="B263" s="193" t="s">
        <v>344</v>
      </c>
      <c r="C263" s="193" t="s">
        <v>55</v>
      </c>
      <c r="D263" s="226">
        <f>+ROUNDUP(SUMIFS('MEMORIA CANTIDADES'!E:E,'MEMORIA CANTIDADES'!B:B,Table28[[#This Row],[DESCRIPCIÓN ]],'MEMORIA CANTIDADES'!C:C,Table28[[#This Row],[UNIDAD]]),0)</f>
        <v>0</v>
      </c>
      <c r="E263" s="225">
        <f>+VLOOKUP(Table28[[#This Row],[DESCRIPCIÓN ]],INSUMOS!A:D,3,FALSE)</f>
        <v>8391.4699999999993</v>
      </c>
      <c r="F263" s="225">
        <f>+Table28[[#This Row],[CANTIDAD]]*Table28[[#This Row],[VALOR UNITARIO]]</f>
        <v>0</v>
      </c>
    </row>
    <row r="264" spans="1:6" s="193" customFormat="1" hidden="1" x14ac:dyDescent="0.3">
      <c r="A264" s="193">
        <v>980</v>
      </c>
      <c r="B264" s="193" t="s">
        <v>345</v>
      </c>
      <c r="C264" s="193" t="s">
        <v>55</v>
      </c>
      <c r="D264" s="226">
        <f>+ROUNDUP(SUMIFS('MEMORIA CANTIDADES'!E:E,'MEMORIA CANTIDADES'!B:B,Table28[[#This Row],[DESCRIPCIÓN ]],'MEMORIA CANTIDADES'!C:C,Table28[[#This Row],[UNIDAD]]),0)</f>
        <v>0</v>
      </c>
      <c r="E264" s="225">
        <f>+VLOOKUP(Table28[[#This Row],[DESCRIPCIÓN ]],INSUMOS!A:D,3,FALSE)</f>
        <v>8294.9500000000007</v>
      </c>
      <c r="F264" s="225">
        <f>+Table28[[#This Row],[CANTIDAD]]*Table28[[#This Row],[VALOR UNITARIO]]</f>
        <v>0</v>
      </c>
    </row>
    <row r="265" spans="1:6" s="193" customFormat="1" hidden="1" x14ac:dyDescent="0.3">
      <c r="A265" s="193">
        <v>981</v>
      </c>
      <c r="B265" s="193" t="s">
        <v>346</v>
      </c>
      <c r="C265" s="193" t="s">
        <v>55</v>
      </c>
      <c r="D265" s="226">
        <f>+ROUNDUP(SUMIFS('MEMORIA CANTIDADES'!E:E,'MEMORIA CANTIDADES'!B:B,Table28[[#This Row],[DESCRIPCIÓN ]],'MEMORIA CANTIDADES'!C:C,Table28[[#This Row],[UNIDAD]]),0)</f>
        <v>0</v>
      </c>
      <c r="E265" s="225">
        <f>+VLOOKUP(Table28[[#This Row],[DESCRIPCIÓN ]],INSUMOS!A:D,3,FALSE)</f>
        <v>8261.11</v>
      </c>
      <c r="F265" s="225">
        <f>+Table28[[#This Row],[CANTIDAD]]*Table28[[#This Row],[VALOR UNITARIO]]</f>
        <v>0</v>
      </c>
    </row>
    <row r="266" spans="1:6" s="193" customFormat="1" ht="28.8" hidden="1" x14ac:dyDescent="0.3">
      <c r="A266" s="193">
        <v>982</v>
      </c>
      <c r="B266" s="193" t="s">
        <v>347</v>
      </c>
      <c r="C266" s="193" t="s">
        <v>55</v>
      </c>
      <c r="D266" s="226">
        <f>+ROUNDUP(SUMIFS('MEMORIA CANTIDADES'!E:E,'MEMORIA CANTIDADES'!B:B,Table28[[#This Row],[DESCRIPCIÓN ]],'MEMORIA CANTIDADES'!C:C,Table28[[#This Row],[UNIDAD]]),0)</f>
        <v>0</v>
      </c>
      <c r="E266" s="225">
        <f>+VLOOKUP(Table28[[#This Row],[DESCRIPCIÓN ]],INSUMOS!A:D,3,FALSE)</f>
        <v>29659.25</v>
      </c>
      <c r="F266" s="225">
        <f>+Table28[[#This Row],[CANTIDAD]]*Table28[[#This Row],[VALOR UNITARIO]]</f>
        <v>0</v>
      </c>
    </row>
    <row r="267" spans="1:6" s="193" customFormat="1" hidden="1" x14ac:dyDescent="0.3">
      <c r="A267" s="193">
        <v>983</v>
      </c>
      <c r="B267" s="193" t="s">
        <v>348</v>
      </c>
      <c r="C267" s="193" t="s">
        <v>55</v>
      </c>
      <c r="D267" s="226">
        <f>+ROUNDUP(SUMIFS('MEMORIA CANTIDADES'!E:E,'MEMORIA CANTIDADES'!B:B,Table28[[#This Row],[DESCRIPCIÓN ]],'MEMORIA CANTIDADES'!C:C,Table28[[#This Row],[UNIDAD]]),0)</f>
        <v>0</v>
      </c>
      <c r="E267" s="225">
        <f>+VLOOKUP(Table28[[#This Row],[DESCRIPCIÓN ]],INSUMOS!A:D,3,FALSE)</f>
        <v>30016.38</v>
      </c>
      <c r="F267" s="225">
        <f>+Table28[[#This Row],[CANTIDAD]]*Table28[[#This Row],[VALOR UNITARIO]]</f>
        <v>0</v>
      </c>
    </row>
    <row r="268" spans="1:6" s="193" customFormat="1" ht="28.8" hidden="1" x14ac:dyDescent="0.3">
      <c r="A268" s="193">
        <v>984</v>
      </c>
      <c r="B268" s="193" t="s">
        <v>349</v>
      </c>
      <c r="C268" s="193" t="s">
        <v>55</v>
      </c>
      <c r="D268" s="226">
        <f>+ROUNDUP(SUMIFS('MEMORIA CANTIDADES'!E:E,'MEMORIA CANTIDADES'!B:B,Table28[[#This Row],[DESCRIPCIÓN ]],'MEMORIA CANTIDADES'!C:C,Table28[[#This Row],[UNIDAD]]),0)</f>
        <v>0</v>
      </c>
      <c r="E268" s="225">
        <f>+VLOOKUP(Table28[[#This Row],[DESCRIPCIÓN ]],INSUMOS!A:D,3,FALSE)</f>
        <v>961.94</v>
      </c>
      <c r="F268" s="225">
        <f>+Table28[[#This Row],[CANTIDAD]]*Table28[[#This Row],[VALOR UNITARIO]]</f>
        <v>0</v>
      </c>
    </row>
    <row r="269" spans="1:6" s="193" customFormat="1" ht="28.8" hidden="1" x14ac:dyDescent="0.3">
      <c r="A269" s="193">
        <v>985</v>
      </c>
      <c r="B269" s="193" t="s">
        <v>350</v>
      </c>
      <c r="C269" s="193" t="s">
        <v>55</v>
      </c>
      <c r="D269" s="226">
        <f>+ROUNDUP(SUMIFS('MEMORIA CANTIDADES'!E:E,'MEMORIA CANTIDADES'!B:B,Table28[[#This Row],[DESCRIPCIÓN ]],'MEMORIA CANTIDADES'!C:C,Table28[[#This Row],[UNIDAD]]),0)</f>
        <v>0</v>
      </c>
      <c r="E269" s="225">
        <f>+VLOOKUP(Table28[[#This Row],[DESCRIPCIÓN ]],INSUMOS!A:D,3,FALSE)</f>
        <v>34859.449999999997</v>
      </c>
      <c r="F269" s="225">
        <f>+Table28[[#This Row],[CANTIDAD]]*Table28[[#This Row],[VALOR UNITARIO]]</f>
        <v>0</v>
      </c>
    </row>
    <row r="270" spans="1:6" s="193" customFormat="1" hidden="1" x14ac:dyDescent="0.3">
      <c r="A270" s="193">
        <v>986</v>
      </c>
      <c r="B270" s="193" t="s">
        <v>351</v>
      </c>
      <c r="C270" s="193" t="s">
        <v>55</v>
      </c>
      <c r="D270" s="226">
        <f>+ROUNDUP(SUMIFS('MEMORIA CANTIDADES'!E:E,'MEMORIA CANTIDADES'!B:B,Table28[[#This Row],[DESCRIPCIÓN ]],'MEMORIA CANTIDADES'!C:C,Table28[[#This Row],[UNIDAD]]),0)</f>
        <v>0</v>
      </c>
      <c r="E270" s="225">
        <f>+VLOOKUP(Table28[[#This Row],[DESCRIPCIÓN ]],INSUMOS!A:D,3,FALSE)</f>
        <v>44333.03</v>
      </c>
      <c r="F270" s="225">
        <f>+Table28[[#This Row],[CANTIDAD]]*Table28[[#This Row],[VALOR UNITARIO]]</f>
        <v>0</v>
      </c>
    </row>
    <row r="271" spans="1:6" s="193" customFormat="1" hidden="1" x14ac:dyDescent="0.3">
      <c r="A271" s="193">
        <v>987</v>
      </c>
      <c r="B271" s="193" t="s">
        <v>352</v>
      </c>
      <c r="C271" s="193" t="s">
        <v>55</v>
      </c>
      <c r="D271" s="226">
        <f>+ROUNDUP(SUMIFS('MEMORIA CANTIDADES'!E:E,'MEMORIA CANTIDADES'!B:B,Table28[[#This Row],[DESCRIPCIÓN ]],'MEMORIA CANTIDADES'!C:C,Table28[[#This Row],[UNIDAD]]),0)</f>
        <v>0</v>
      </c>
      <c r="E271" s="225">
        <f>+VLOOKUP(Table28[[#This Row],[DESCRIPCIÓN ]],INSUMOS!A:D,3,FALSE)</f>
        <v>43770.81</v>
      </c>
      <c r="F271" s="225">
        <f>+Table28[[#This Row],[CANTIDAD]]*Table28[[#This Row],[VALOR UNITARIO]]</f>
        <v>0</v>
      </c>
    </row>
    <row r="272" spans="1:6" s="193" customFormat="1" hidden="1" x14ac:dyDescent="0.3">
      <c r="A272" s="193">
        <v>988</v>
      </c>
      <c r="B272" s="193" t="s">
        <v>353</v>
      </c>
      <c r="C272" s="193" t="s">
        <v>55</v>
      </c>
      <c r="D272" s="226">
        <f>+ROUNDUP(SUMIFS('MEMORIA CANTIDADES'!E:E,'MEMORIA CANTIDADES'!B:B,Table28[[#This Row],[DESCRIPCIÓN ]],'MEMORIA CANTIDADES'!C:C,Table28[[#This Row],[UNIDAD]]),0)</f>
        <v>0</v>
      </c>
      <c r="E272" s="225">
        <f>+VLOOKUP(Table28[[#This Row],[DESCRIPCIÓN ]],INSUMOS!A:D,3,FALSE)</f>
        <v>3924.77</v>
      </c>
      <c r="F272" s="225">
        <f>+Table28[[#This Row],[CANTIDAD]]*Table28[[#This Row],[VALOR UNITARIO]]</f>
        <v>0</v>
      </c>
    </row>
    <row r="273" spans="1:6" s="193" customFormat="1" hidden="1" x14ac:dyDescent="0.3">
      <c r="A273" s="193">
        <v>989</v>
      </c>
      <c r="B273" s="193" t="s">
        <v>354</v>
      </c>
      <c r="C273" s="193" t="s">
        <v>55</v>
      </c>
      <c r="D273" s="226">
        <f>+ROUNDUP(SUMIFS('MEMORIA CANTIDADES'!E:E,'MEMORIA CANTIDADES'!B:B,Table28[[#This Row],[DESCRIPCIÓN ]],'MEMORIA CANTIDADES'!C:C,Table28[[#This Row],[UNIDAD]]),0)</f>
        <v>0</v>
      </c>
      <c r="E273" s="225">
        <f>+VLOOKUP(Table28[[#This Row],[DESCRIPCIÓN ]],INSUMOS!A:D,3,FALSE)</f>
        <v>8013.98</v>
      </c>
      <c r="F273" s="225">
        <f>+Table28[[#This Row],[CANTIDAD]]*Table28[[#This Row],[VALOR UNITARIO]]</f>
        <v>0</v>
      </c>
    </row>
    <row r="274" spans="1:6" s="193" customFormat="1" hidden="1" x14ac:dyDescent="0.3">
      <c r="A274" s="193">
        <v>990</v>
      </c>
      <c r="B274" s="193" t="s">
        <v>355</v>
      </c>
      <c r="C274" s="193" t="s">
        <v>55</v>
      </c>
      <c r="D274" s="226">
        <f>+ROUNDUP(SUMIFS('MEMORIA CANTIDADES'!E:E,'MEMORIA CANTIDADES'!B:B,Table28[[#This Row],[DESCRIPCIÓN ]],'MEMORIA CANTIDADES'!C:C,Table28[[#This Row],[UNIDAD]]),0)</f>
        <v>0</v>
      </c>
      <c r="E274" s="225">
        <f>+VLOOKUP(Table28[[#This Row],[DESCRIPCIÓN ]],INSUMOS!A:D,3,FALSE)</f>
        <v>7875.41</v>
      </c>
      <c r="F274" s="225">
        <f>+Table28[[#This Row],[CANTIDAD]]*Table28[[#This Row],[VALOR UNITARIO]]</f>
        <v>0</v>
      </c>
    </row>
    <row r="275" spans="1:6" s="193" customFormat="1" hidden="1" x14ac:dyDescent="0.3">
      <c r="A275" s="193">
        <v>991</v>
      </c>
      <c r="B275" s="193" t="s">
        <v>356</v>
      </c>
      <c r="C275" s="193" t="s">
        <v>55</v>
      </c>
      <c r="D275" s="226">
        <f>+ROUNDUP(SUMIFS('MEMORIA CANTIDADES'!E:E,'MEMORIA CANTIDADES'!B:B,Table28[[#This Row],[DESCRIPCIÓN ]],'MEMORIA CANTIDADES'!C:C,Table28[[#This Row],[UNIDAD]]),0)</f>
        <v>0</v>
      </c>
      <c r="E275" s="225">
        <f>+VLOOKUP(Table28[[#This Row],[DESCRIPCIÓN ]],INSUMOS!A:D,3,FALSE)</f>
        <v>12246.78</v>
      </c>
      <c r="F275" s="225">
        <f>+Table28[[#This Row],[CANTIDAD]]*Table28[[#This Row],[VALOR UNITARIO]]</f>
        <v>0</v>
      </c>
    </row>
    <row r="276" spans="1:6" s="193" customFormat="1" hidden="1" x14ac:dyDescent="0.3">
      <c r="A276" s="193">
        <v>992</v>
      </c>
      <c r="B276" s="193" t="s">
        <v>357</v>
      </c>
      <c r="C276" s="193" t="s">
        <v>55</v>
      </c>
      <c r="D276" s="226">
        <f>+ROUNDUP(SUMIFS('MEMORIA CANTIDADES'!E:E,'MEMORIA CANTIDADES'!B:B,Table28[[#This Row],[DESCRIPCIÓN ]],'MEMORIA CANTIDADES'!C:C,Table28[[#This Row],[UNIDAD]]),0)</f>
        <v>0</v>
      </c>
      <c r="E276" s="225">
        <f>+VLOOKUP(Table28[[#This Row],[DESCRIPCIÓN ]],INSUMOS!A:D,3,FALSE)</f>
        <v>13388.82</v>
      </c>
      <c r="F276" s="225">
        <f>+Table28[[#This Row],[CANTIDAD]]*Table28[[#This Row],[VALOR UNITARIO]]</f>
        <v>0</v>
      </c>
    </row>
    <row r="277" spans="1:6" s="193" customFormat="1" hidden="1" x14ac:dyDescent="0.3">
      <c r="A277" s="193">
        <v>993</v>
      </c>
      <c r="B277" s="193" t="s">
        <v>358</v>
      </c>
      <c r="C277" s="193" t="s">
        <v>55</v>
      </c>
      <c r="D277" s="226">
        <f>+ROUNDUP(SUMIFS('MEMORIA CANTIDADES'!E:E,'MEMORIA CANTIDADES'!B:B,Table28[[#This Row],[DESCRIPCIÓN ]],'MEMORIA CANTIDADES'!C:C,Table28[[#This Row],[UNIDAD]]),0)</f>
        <v>0</v>
      </c>
      <c r="E277" s="225">
        <f>+VLOOKUP(Table28[[#This Row],[DESCRIPCIÓN ]],INSUMOS!A:D,3,FALSE)</f>
        <v>59227.13</v>
      </c>
      <c r="F277" s="225">
        <f>+Table28[[#This Row],[CANTIDAD]]*Table28[[#This Row],[VALOR UNITARIO]]</f>
        <v>0</v>
      </c>
    </row>
    <row r="278" spans="1:6" s="193" customFormat="1" ht="43.2" hidden="1" x14ac:dyDescent="0.3">
      <c r="A278" s="193">
        <v>216</v>
      </c>
      <c r="B278" s="193" t="s">
        <v>359</v>
      </c>
      <c r="C278" s="193" t="s">
        <v>55</v>
      </c>
      <c r="D278" s="226">
        <f>+ROUNDUP(SUMIFS('MEMORIA CANTIDADES'!E:E,'MEMORIA CANTIDADES'!B:B,Table28[[#This Row],[DESCRIPCIÓN ]],'MEMORIA CANTIDADES'!C:C,Table28[[#This Row],[UNIDAD]]),0)</f>
        <v>0</v>
      </c>
      <c r="E278" s="225" t="e">
        <f>+VLOOKUP(Table28[[#This Row],[DESCRIPCIÓN ]],INSUMOS!A:D,3,FALSE)</f>
        <v>#N/A</v>
      </c>
      <c r="F278" s="225" t="e">
        <f>+Table28[[#This Row],[CANTIDAD]]*Table28[[#This Row],[VALOR UNITARIO]]</f>
        <v>#N/A</v>
      </c>
    </row>
    <row r="279" spans="1:6" s="193" customFormat="1" ht="43.2" hidden="1" x14ac:dyDescent="0.3">
      <c r="A279" s="193">
        <v>217</v>
      </c>
      <c r="B279" s="193" t="s">
        <v>360</v>
      </c>
      <c r="C279" s="193" t="s">
        <v>55</v>
      </c>
      <c r="D279" s="226">
        <f>+ROUNDUP(SUMIFS('MEMORIA CANTIDADES'!E:E,'MEMORIA CANTIDADES'!B:B,Table28[[#This Row],[DESCRIPCIÓN ]],'MEMORIA CANTIDADES'!C:C,Table28[[#This Row],[UNIDAD]]),0)</f>
        <v>0</v>
      </c>
      <c r="E279" s="225">
        <f>+VLOOKUP(Table28[[#This Row],[DESCRIPCIÓN ]],INSUMOS!A:D,3,FALSE)</f>
        <v>170097.48</v>
      </c>
      <c r="F279" s="225">
        <f>+Table28[[#This Row],[CANTIDAD]]*Table28[[#This Row],[VALOR UNITARIO]]</f>
        <v>0</v>
      </c>
    </row>
    <row r="280" spans="1:6" s="193" customFormat="1" hidden="1" x14ac:dyDescent="0.3">
      <c r="A280" s="193">
        <v>1243</v>
      </c>
      <c r="B280" s="193" t="s">
        <v>361</v>
      </c>
      <c r="C280" s="193" t="s">
        <v>55</v>
      </c>
      <c r="D280" s="226">
        <f>+ROUNDUP(SUMIFS('MEMORIA CANTIDADES'!E:E,'MEMORIA CANTIDADES'!B:B,Table28[[#This Row],[DESCRIPCIÓN ]],'MEMORIA CANTIDADES'!C:C,Table28[[#This Row],[UNIDAD]]),0)</f>
        <v>0</v>
      </c>
      <c r="E280" s="225">
        <f>+VLOOKUP(Table28[[#This Row],[DESCRIPCIÓN ]],INSUMOS!A:D,3,FALSE)</f>
        <v>96183.06</v>
      </c>
      <c r="F280" s="225">
        <f>+Table28[[#This Row],[CANTIDAD]]*Table28[[#This Row],[VALOR UNITARIO]]</f>
        <v>0</v>
      </c>
    </row>
    <row r="281" spans="1:6" s="193" customFormat="1" ht="28.8" hidden="1" x14ac:dyDescent="0.3">
      <c r="A281" s="193">
        <v>238</v>
      </c>
      <c r="B281" s="193" t="s">
        <v>2184</v>
      </c>
      <c r="C281" s="193" t="s">
        <v>1270</v>
      </c>
      <c r="D281" s="226">
        <f>+ROUNDUP(SUMIFS('MEMORIA CANTIDADES'!E:E,'MEMORIA CANTIDADES'!B:B,Table28[[#This Row],[DESCRIPCIÓN ]],'MEMORIA CANTIDADES'!C:C,Table28[[#This Row],[UNIDAD]]),0)</f>
        <v>0</v>
      </c>
      <c r="E281" s="225">
        <f>+VLOOKUP(Table28[[#This Row],[DESCRIPCIÓN ]],INSUMOS!A:D,3,FALSE)</f>
        <v>21322.23</v>
      </c>
      <c r="F281" s="225">
        <f>+Table28[[#This Row],[CANTIDAD]]*Table28[[#This Row],[VALOR UNITARIO]]</f>
        <v>0</v>
      </c>
    </row>
    <row r="282" spans="1:6" s="193" customFormat="1" ht="28.8" hidden="1" x14ac:dyDescent="0.3">
      <c r="A282" s="193">
        <v>239</v>
      </c>
      <c r="B282" s="193" t="s">
        <v>2185</v>
      </c>
      <c r="C282" s="193" t="s">
        <v>1270</v>
      </c>
      <c r="D282" s="226">
        <f>+ROUNDUP(SUMIFS('MEMORIA CANTIDADES'!E:E,'MEMORIA CANTIDADES'!B:B,Table28[[#This Row],[DESCRIPCIÓN ]],'MEMORIA CANTIDADES'!C:C,Table28[[#This Row],[UNIDAD]]),0)</f>
        <v>0</v>
      </c>
      <c r="E282" s="225">
        <f>+VLOOKUP(Table28[[#This Row],[DESCRIPCIÓN ]],INSUMOS!A:D,3,FALSE)</f>
        <v>33505.629999999997</v>
      </c>
      <c r="F282" s="225">
        <f>+Table28[[#This Row],[CANTIDAD]]*Table28[[#This Row],[VALOR UNITARIO]]</f>
        <v>0</v>
      </c>
    </row>
    <row r="283" spans="1:6" s="193" customFormat="1" ht="28.8" hidden="1" x14ac:dyDescent="0.3">
      <c r="A283" s="193">
        <v>725</v>
      </c>
      <c r="B283" s="193" t="s">
        <v>362</v>
      </c>
      <c r="C283" s="193" t="s">
        <v>1270</v>
      </c>
      <c r="D283" s="226">
        <f>+ROUNDUP(SUMIFS('MEMORIA CANTIDADES'!E:E,'MEMORIA CANTIDADES'!B:B,Table28[[#This Row],[DESCRIPCIÓN ]],'MEMORIA CANTIDADES'!C:C,Table28[[#This Row],[UNIDAD]]),0)</f>
        <v>0</v>
      </c>
      <c r="E283" s="225">
        <f>+VLOOKUP(Table28[[#This Row],[DESCRIPCIÓN ]],INSUMOS!A:D,3,FALSE)</f>
        <v>2361.19</v>
      </c>
      <c r="F283" s="225">
        <f>+Table28[[#This Row],[CANTIDAD]]*Table28[[#This Row],[VALOR UNITARIO]]</f>
        <v>0</v>
      </c>
    </row>
    <row r="284" spans="1:6" s="193" customFormat="1" ht="28.8" hidden="1" x14ac:dyDescent="0.3">
      <c r="A284" s="193">
        <v>726</v>
      </c>
      <c r="B284" s="193" t="s">
        <v>363</v>
      </c>
      <c r="C284" s="193" t="s">
        <v>1270</v>
      </c>
      <c r="D284" s="226">
        <f>+ROUNDUP(SUMIFS('MEMORIA CANTIDADES'!E:E,'MEMORIA CANTIDADES'!B:B,Table28[[#This Row],[DESCRIPCIÓN ]],'MEMORIA CANTIDADES'!C:C,Table28[[#This Row],[UNIDAD]]),0)</f>
        <v>0</v>
      </c>
      <c r="E284" s="225">
        <f>+VLOOKUP(Table28[[#This Row],[DESCRIPCIÓN ]],INSUMOS!A:D,3,FALSE)</f>
        <v>9980.98</v>
      </c>
      <c r="F284" s="225">
        <f>+Table28[[#This Row],[CANTIDAD]]*Table28[[#This Row],[VALOR UNITARIO]]</f>
        <v>0</v>
      </c>
    </row>
    <row r="285" spans="1:6" s="193" customFormat="1" ht="28.8" hidden="1" x14ac:dyDescent="0.3">
      <c r="A285" s="193">
        <v>727</v>
      </c>
      <c r="B285" s="193" t="s">
        <v>364</v>
      </c>
      <c r="C285" s="193" t="s">
        <v>1270</v>
      </c>
      <c r="D285" s="226">
        <f>+ROUNDUP(SUMIFS('MEMORIA CANTIDADES'!E:E,'MEMORIA CANTIDADES'!B:B,Table28[[#This Row],[DESCRIPCIÓN ]],'MEMORIA CANTIDADES'!C:C,Table28[[#This Row],[UNIDAD]]),0)</f>
        <v>0</v>
      </c>
      <c r="E285" s="225">
        <f>+VLOOKUP(Table28[[#This Row],[DESCRIPCIÓN ]],INSUMOS!A:D,3,FALSE)</f>
        <v>6644.91</v>
      </c>
      <c r="F285" s="225">
        <f>+Table28[[#This Row],[CANTIDAD]]*Table28[[#This Row],[VALOR UNITARIO]]</f>
        <v>0</v>
      </c>
    </row>
    <row r="286" spans="1:6" s="193" customFormat="1" ht="28.8" hidden="1" x14ac:dyDescent="0.3">
      <c r="A286" s="193">
        <v>728</v>
      </c>
      <c r="B286" s="193" t="s">
        <v>365</v>
      </c>
      <c r="C286" s="193" t="s">
        <v>1270</v>
      </c>
      <c r="D286" s="226">
        <f>+ROUNDUP(SUMIFS('MEMORIA CANTIDADES'!E:E,'MEMORIA CANTIDADES'!B:B,Table28[[#This Row],[DESCRIPCIÓN ]],'MEMORIA CANTIDADES'!C:C,Table28[[#This Row],[UNIDAD]]),0)</f>
        <v>0</v>
      </c>
      <c r="E286" s="225">
        <f>+VLOOKUP(Table28[[#This Row],[DESCRIPCIÓN ]],INSUMOS!A:D,3,FALSE)</f>
        <v>11308.94</v>
      </c>
      <c r="F286" s="225">
        <f>+Table28[[#This Row],[CANTIDAD]]*Table28[[#This Row],[VALOR UNITARIO]]</f>
        <v>0</v>
      </c>
    </row>
    <row r="287" spans="1:6" s="193" customFormat="1" ht="28.8" hidden="1" x14ac:dyDescent="0.3">
      <c r="A287" s="193">
        <v>729</v>
      </c>
      <c r="B287" s="193" t="s">
        <v>366</v>
      </c>
      <c r="C287" s="193" t="s">
        <v>1270</v>
      </c>
      <c r="D287" s="226">
        <f>+ROUNDUP(SUMIFS('MEMORIA CANTIDADES'!E:E,'MEMORIA CANTIDADES'!B:B,Table28[[#This Row],[DESCRIPCIÓN ]],'MEMORIA CANTIDADES'!C:C,Table28[[#This Row],[UNIDAD]]),0)</f>
        <v>0</v>
      </c>
      <c r="E287" s="225">
        <f>+VLOOKUP(Table28[[#This Row],[DESCRIPCIÓN ]],INSUMOS!A:D,3,FALSE)</f>
        <v>15423.94</v>
      </c>
      <c r="F287" s="225">
        <f>+Table28[[#This Row],[CANTIDAD]]*Table28[[#This Row],[VALOR UNITARIO]]</f>
        <v>0</v>
      </c>
    </row>
    <row r="288" spans="1:6" s="193" customFormat="1" hidden="1" x14ac:dyDescent="0.3">
      <c r="A288" s="193">
        <v>240</v>
      </c>
      <c r="B288" s="193" t="s">
        <v>2186</v>
      </c>
      <c r="C288" s="193" t="s">
        <v>1270</v>
      </c>
      <c r="D288" s="226">
        <f>+ROUNDUP(SUMIFS('MEMORIA CANTIDADES'!E:E,'MEMORIA CANTIDADES'!B:B,Table28[[#This Row],[DESCRIPCIÓN ]],'MEMORIA CANTIDADES'!C:C,Table28[[#This Row],[UNIDAD]]),0)</f>
        <v>0</v>
      </c>
      <c r="E288" s="225">
        <f>+VLOOKUP(Table28[[#This Row],[DESCRIPCIÓN ]],INSUMOS!A:D,3,FALSE)</f>
        <v>4650.46</v>
      </c>
      <c r="F288" s="225">
        <f>+Table28[[#This Row],[CANTIDAD]]*Table28[[#This Row],[VALOR UNITARIO]]</f>
        <v>0</v>
      </c>
    </row>
    <row r="289" spans="1:6" s="193" customFormat="1" ht="28.8" x14ac:dyDescent="0.3">
      <c r="A289" s="193">
        <v>117</v>
      </c>
      <c r="B289" s="193" t="s">
        <v>2176</v>
      </c>
      <c r="C289" s="193" t="s">
        <v>55</v>
      </c>
      <c r="D289" s="226">
        <f>+ROUNDUP(SUMIFS('MEMORIA CANTIDADES'!E:E,'MEMORIA CANTIDADES'!B:B,Table28[[#This Row],[DESCRIPCIÓN ]],'MEMORIA CANTIDADES'!C:C,Table28[[#This Row],[UNIDAD]]),0)</f>
        <v>118</v>
      </c>
      <c r="E289" s="225">
        <f>+VLOOKUP(Table28[[#This Row],[DESCRIPCIÓN ]],INSUMOS!A:D,3,FALSE)</f>
        <v>80515.59</v>
      </c>
      <c r="F289" s="225">
        <f>+Table28[[#This Row],[CANTIDAD]]*Table28[[#This Row],[VALOR UNITARIO]]</f>
        <v>9500839.6199999992</v>
      </c>
    </row>
    <row r="290" spans="1:6" s="193" customFormat="1" hidden="1" x14ac:dyDescent="0.3">
      <c r="A290" s="193">
        <v>242</v>
      </c>
      <c r="B290" s="193" t="s">
        <v>2188</v>
      </c>
      <c r="C290" s="193" t="s">
        <v>1270</v>
      </c>
      <c r="D290" s="226">
        <f>+ROUNDUP(SUMIFS('MEMORIA CANTIDADES'!E:E,'MEMORIA CANTIDADES'!B:B,Table28[[#This Row],[DESCRIPCIÓN ]],'MEMORIA CANTIDADES'!C:C,Table28[[#This Row],[UNIDAD]]),0)</f>
        <v>0</v>
      </c>
      <c r="E290" s="225">
        <f>+VLOOKUP(Table28[[#This Row],[DESCRIPCIÓN ]],INSUMOS!A:D,3,FALSE)</f>
        <v>1870.94</v>
      </c>
      <c r="F290" s="225">
        <f>+Table28[[#This Row],[CANTIDAD]]*Table28[[#This Row],[VALOR UNITARIO]]</f>
        <v>0</v>
      </c>
    </row>
    <row r="291" spans="1:6" s="193" customFormat="1" hidden="1" x14ac:dyDescent="0.3">
      <c r="A291" s="193">
        <v>243</v>
      </c>
      <c r="B291" s="193" t="s">
        <v>2189</v>
      </c>
      <c r="C291" s="193" t="s">
        <v>1270</v>
      </c>
      <c r="D291" s="226">
        <f>+ROUNDUP(SUMIFS('MEMORIA CANTIDADES'!E:E,'MEMORIA CANTIDADES'!B:B,Table28[[#This Row],[DESCRIPCIÓN ]],'MEMORIA CANTIDADES'!C:C,Table28[[#This Row],[UNIDAD]]),0)</f>
        <v>0</v>
      </c>
      <c r="E291" s="225">
        <f>+VLOOKUP(Table28[[#This Row],[DESCRIPCIÓN ]],INSUMOS!A:D,3,FALSE)</f>
        <v>49155.07</v>
      </c>
      <c r="F291" s="225">
        <f>+Table28[[#This Row],[CANTIDAD]]*Table28[[#This Row],[VALOR UNITARIO]]</f>
        <v>0</v>
      </c>
    </row>
    <row r="292" spans="1:6" s="193" customFormat="1" hidden="1" x14ac:dyDescent="0.3">
      <c r="A292" s="193">
        <v>244</v>
      </c>
      <c r="B292" s="193" t="s">
        <v>2190</v>
      </c>
      <c r="C292" s="193" t="s">
        <v>1270</v>
      </c>
      <c r="D292" s="226">
        <f>+ROUNDUP(SUMIFS('MEMORIA CANTIDADES'!E:E,'MEMORIA CANTIDADES'!B:B,Table28[[#This Row],[DESCRIPCIÓN ]],'MEMORIA CANTIDADES'!C:C,Table28[[#This Row],[UNIDAD]]),0)</f>
        <v>0</v>
      </c>
      <c r="E292" s="225">
        <f>+VLOOKUP(Table28[[#This Row],[DESCRIPCIÓN ]],INSUMOS!A:D,3,FALSE)</f>
        <v>24399.439999999999</v>
      </c>
      <c r="F292" s="225">
        <f>+Table28[[#This Row],[CANTIDAD]]*Table28[[#This Row],[VALOR UNITARIO]]</f>
        <v>0</v>
      </c>
    </row>
    <row r="293" spans="1:6" s="193" customFormat="1" hidden="1" x14ac:dyDescent="0.3">
      <c r="A293" s="193">
        <v>245</v>
      </c>
      <c r="B293" s="193" t="s">
        <v>2191</v>
      </c>
      <c r="C293" s="193" t="s">
        <v>1270</v>
      </c>
      <c r="D293" s="226">
        <f>+ROUNDUP(SUMIFS('MEMORIA CANTIDADES'!E:E,'MEMORIA CANTIDADES'!B:B,Table28[[#This Row],[DESCRIPCIÓN ]],'MEMORIA CANTIDADES'!C:C,Table28[[#This Row],[UNIDAD]]),0)</f>
        <v>0</v>
      </c>
      <c r="E293" s="225">
        <f>+VLOOKUP(Table28[[#This Row],[DESCRIPCIÓN ]],INSUMOS!A:D,3,FALSE)</f>
        <v>14912.41</v>
      </c>
      <c r="F293" s="225">
        <f>+Table28[[#This Row],[CANTIDAD]]*Table28[[#This Row],[VALOR UNITARIO]]</f>
        <v>0</v>
      </c>
    </row>
    <row r="294" spans="1:6" s="193" customFormat="1" hidden="1" x14ac:dyDescent="0.3">
      <c r="A294" s="193">
        <v>246</v>
      </c>
      <c r="B294" s="193" t="s">
        <v>2192</v>
      </c>
      <c r="C294" s="193" t="s">
        <v>1270</v>
      </c>
      <c r="D294" s="226">
        <f>+ROUNDUP(SUMIFS('MEMORIA CANTIDADES'!E:E,'MEMORIA CANTIDADES'!B:B,Table28[[#This Row],[DESCRIPCIÓN ]],'MEMORIA CANTIDADES'!C:C,Table28[[#This Row],[UNIDAD]]),0)</f>
        <v>0</v>
      </c>
      <c r="E294" s="225">
        <f>+VLOOKUP(Table28[[#This Row],[DESCRIPCIÓN ]],INSUMOS!A:D,3,FALSE)</f>
        <v>7524.32</v>
      </c>
      <c r="F294" s="225">
        <f>+Table28[[#This Row],[CANTIDAD]]*Table28[[#This Row],[VALOR UNITARIO]]</f>
        <v>0</v>
      </c>
    </row>
    <row r="295" spans="1:6" s="193" customFormat="1" hidden="1" x14ac:dyDescent="0.3">
      <c r="A295" s="193">
        <v>247</v>
      </c>
      <c r="B295" s="193" t="s">
        <v>367</v>
      </c>
      <c r="C295" s="193" t="s">
        <v>1270</v>
      </c>
      <c r="D295" s="226">
        <f>+ROUNDUP(SUMIFS('MEMORIA CANTIDADES'!E:E,'MEMORIA CANTIDADES'!B:B,Table28[[#This Row],[DESCRIPCIÓN ]],'MEMORIA CANTIDADES'!C:C,Table28[[#This Row],[UNIDAD]]),0)</f>
        <v>0</v>
      </c>
      <c r="E295" s="225">
        <f>+VLOOKUP(Table28[[#This Row],[DESCRIPCIÓN ]],INSUMOS!A:D,3,FALSE)</f>
        <v>48628.06</v>
      </c>
      <c r="F295" s="225">
        <f>+Table28[[#This Row],[CANTIDAD]]*Table28[[#This Row],[VALOR UNITARIO]]</f>
        <v>0</v>
      </c>
    </row>
    <row r="296" spans="1:6" s="193" customFormat="1" hidden="1" x14ac:dyDescent="0.3">
      <c r="A296" s="193">
        <v>248</v>
      </c>
      <c r="B296" s="193" t="s">
        <v>368</v>
      </c>
      <c r="C296" s="193" t="s">
        <v>1270</v>
      </c>
      <c r="D296" s="226">
        <f>+ROUNDUP(SUMIFS('MEMORIA CANTIDADES'!E:E,'MEMORIA CANTIDADES'!B:B,Table28[[#This Row],[DESCRIPCIÓN ]],'MEMORIA CANTIDADES'!C:C,Table28[[#This Row],[UNIDAD]]),0)</f>
        <v>0</v>
      </c>
      <c r="E296" s="225">
        <f>+VLOOKUP(Table28[[#This Row],[DESCRIPCIÓN ]],INSUMOS!A:D,3,FALSE)</f>
        <v>72978.25</v>
      </c>
      <c r="F296" s="225">
        <f>+Table28[[#This Row],[CANTIDAD]]*Table28[[#This Row],[VALOR UNITARIO]]</f>
        <v>0</v>
      </c>
    </row>
    <row r="297" spans="1:6" s="193" customFormat="1" hidden="1" x14ac:dyDescent="0.3">
      <c r="A297" s="193">
        <v>249</v>
      </c>
      <c r="B297" s="193" t="s">
        <v>369</v>
      </c>
      <c r="C297" s="193" t="s">
        <v>1270</v>
      </c>
      <c r="D297" s="226">
        <f>+ROUNDUP(SUMIFS('MEMORIA CANTIDADES'!E:E,'MEMORIA CANTIDADES'!B:B,Table28[[#This Row],[DESCRIPCIÓN ]],'MEMORIA CANTIDADES'!C:C,Table28[[#This Row],[UNIDAD]]),0)</f>
        <v>0</v>
      </c>
      <c r="E297" s="225">
        <f>+VLOOKUP(Table28[[#This Row],[DESCRIPCIÓN ]],INSUMOS!A:D,3,FALSE)</f>
        <v>94226.86</v>
      </c>
      <c r="F297" s="225">
        <f>+Table28[[#This Row],[CANTIDAD]]*Table28[[#This Row],[VALOR UNITARIO]]</f>
        <v>0</v>
      </c>
    </row>
    <row r="298" spans="1:6" s="193" customFormat="1" hidden="1" x14ac:dyDescent="0.3">
      <c r="A298" s="193">
        <v>250</v>
      </c>
      <c r="B298" s="193" t="s">
        <v>370</v>
      </c>
      <c r="C298" s="193" t="s">
        <v>1270</v>
      </c>
      <c r="D298" s="226">
        <f>+ROUNDUP(SUMIFS('MEMORIA CANTIDADES'!E:E,'MEMORIA CANTIDADES'!B:B,Table28[[#This Row],[DESCRIPCIÓN ]],'MEMORIA CANTIDADES'!C:C,Table28[[#This Row],[UNIDAD]]),0)</f>
        <v>0</v>
      </c>
      <c r="E298" s="225">
        <f>+VLOOKUP(Table28[[#This Row],[DESCRIPCIÓN ]],INSUMOS!A:D,3,FALSE)</f>
        <v>114113.79</v>
      </c>
      <c r="F298" s="225">
        <f>+Table28[[#This Row],[CANTIDAD]]*Table28[[#This Row],[VALOR UNITARIO]]</f>
        <v>0</v>
      </c>
    </row>
    <row r="299" spans="1:6" s="193" customFormat="1" hidden="1" x14ac:dyDescent="0.3">
      <c r="A299" s="193">
        <v>251</v>
      </c>
      <c r="B299" s="193" t="s">
        <v>371</v>
      </c>
      <c r="C299" s="193" t="s">
        <v>1270</v>
      </c>
      <c r="D299" s="226">
        <f>+ROUNDUP(SUMIFS('MEMORIA CANTIDADES'!E:E,'MEMORIA CANTIDADES'!B:B,Table28[[#This Row],[DESCRIPCIÓN ]],'MEMORIA CANTIDADES'!C:C,Table28[[#This Row],[UNIDAD]]),0)</f>
        <v>0</v>
      </c>
      <c r="E299" s="225">
        <f>+VLOOKUP(Table28[[#This Row],[DESCRIPCIÓN ]],INSUMOS!A:D,3,FALSE)</f>
        <v>35001.230000000003</v>
      </c>
      <c r="F299" s="225">
        <f>+Table28[[#This Row],[CANTIDAD]]*Table28[[#This Row],[VALOR UNITARIO]]</f>
        <v>0</v>
      </c>
    </row>
    <row r="300" spans="1:6" s="193" customFormat="1" hidden="1" x14ac:dyDescent="0.3">
      <c r="A300" s="193">
        <v>252</v>
      </c>
      <c r="B300" s="193" t="s">
        <v>372</v>
      </c>
      <c r="C300" s="193" t="s">
        <v>1270</v>
      </c>
      <c r="D300" s="226">
        <f>+ROUNDUP(SUMIFS('MEMORIA CANTIDADES'!E:E,'MEMORIA CANTIDADES'!B:B,Table28[[#This Row],[DESCRIPCIÓN ]],'MEMORIA CANTIDADES'!C:C,Table28[[#This Row],[UNIDAD]]),0)</f>
        <v>0</v>
      </c>
      <c r="E300" s="225">
        <f>+VLOOKUP(Table28[[#This Row],[DESCRIPCIÓN ]],INSUMOS!A:D,3,FALSE)</f>
        <v>19467.5</v>
      </c>
      <c r="F300" s="225">
        <f>+Table28[[#This Row],[CANTIDAD]]*Table28[[#This Row],[VALOR UNITARIO]]</f>
        <v>0</v>
      </c>
    </row>
    <row r="301" spans="1:6" s="193" customFormat="1" hidden="1" x14ac:dyDescent="0.3">
      <c r="A301" s="193">
        <v>253</v>
      </c>
      <c r="B301" s="193" t="s">
        <v>373</v>
      </c>
      <c r="C301" s="193" t="s">
        <v>1270</v>
      </c>
      <c r="D301" s="226">
        <f>+ROUNDUP(SUMIFS('MEMORIA CANTIDADES'!E:E,'MEMORIA CANTIDADES'!B:B,Table28[[#This Row],[DESCRIPCIÓN ]],'MEMORIA CANTIDADES'!C:C,Table28[[#This Row],[UNIDAD]]),0)</f>
        <v>0</v>
      </c>
      <c r="E301" s="225">
        <f>+VLOOKUP(Table28[[#This Row],[DESCRIPCIÓN ]],INSUMOS!A:D,3,FALSE)</f>
        <v>11838.71</v>
      </c>
      <c r="F301" s="225">
        <f>+Table28[[#This Row],[CANTIDAD]]*Table28[[#This Row],[VALOR UNITARIO]]</f>
        <v>0</v>
      </c>
    </row>
    <row r="302" spans="1:6" s="193" customFormat="1" hidden="1" x14ac:dyDescent="0.3">
      <c r="A302" s="193">
        <v>254</v>
      </c>
      <c r="B302" s="193" t="s">
        <v>374</v>
      </c>
      <c r="C302" s="193" t="s">
        <v>1270</v>
      </c>
      <c r="D302" s="226">
        <f>+ROUNDUP(SUMIFS('MEMORIA CANTIDADES'!E:E,'MEMORIA CANTIDADES'!B:B,Table28[[#This Row],[DESCRIPCIÓN ]],'MEMORIA CANTIDADES'!C:C,Table28[[#This Row],[UNIDAD]]),0)</f>
        <v>0</v>
      </c>
      <c r="E302" s="225">
        <f>+VLOOKUP(Table28[[#This Row],[DESCRIPCIÓN ]],INSUMOS!A:D,3,FALSE)</f>
        <v>7407.8</v>
      </c>
      <c r="F302" s="225">
        <f>+Table28[[#This Row],[CANTIDAD]]*Table28[[#This Row],[VALOR UNITARIO]]</f>
        <v>0</v>
      </c>
    </row>
    <row r="303" spans="1:6" s="193" customFormat="1" hidden="1" x14ac:dyDescent="0.3">
      <c r="A303" s="193">
        <v>255</v>
      </c>
      <c r="B303" s="193" t="s">
        <v>375</v>
      </c>
      <c r="C303" s="193" t="s">
        <v>1270</v>
      </c>
      <c r="D303" s="226">
        <f>+ROUNDUP(SUMIFS('MEMORIA CANTIDADES'!E:E,'MEMORIA CANTIDADES'!B:B,Table28[[#This Row],[DESCRIPCIÓN ]],'MEMORIA CANTIDADES'!C:C,Table28[[#This Row],[UNIDAD]]),0)</f>
        <v>0</v>
      </c>
      <c r="E303" s="225">
        <f>+VLOOKUP(Table28[[#This Row],[DESCRIPCIÓN ]],INSUMOS!A:D,3,FALSE)</f>
        <v>5092.17</v>
      </c>
      <c r="F303" s="225">
        <f>+Table28[[#This Row],[CANTIDAD]]*Table28[[#This Row],[VALOR UNITARIO]]</f>
        <v>0</v>
      </c>
    </row>
    <row r="304" spans="1:6" s="193" customFormat="1" hidden="1" x14ac:dyDescent="0.3">
      <c r="A304" s="193">
        <v>256</v>
      </c>
      <c r="B304" s="193" t="s">
        <v>376</v>
      </c>
      <c r="C304" s="193" t="s">
        <v>1270</v>
      </c>
      <c r="D304" s="226">
        <f>+ROUNDUP(SUMIFS('MEMORIA CANTIDADES'!E:E,'MEMORIA CANTIDADES'!B:B,Table28[[#This Row],[DESCRIPCIÓN ]],'MEMORIA CANTIDADES'!C:C,Table28[[#This Row],[UNIDAD]]),0)</f>
        <v>0</v>
      </c>
      <c r="E304" s="225">
        <f>+VLOOKUP(Table28[[#This Row],[DESCRIPCIÓN ]],INSUMOS!A:D,3,FALSE)</f>
        <v>4144.8900000000003</v>
      </c>
      <c r="F304" s="225">
        <f>+Table28[[#This Row],[CANTIDAD]]*Table28[[#This Row],[VALOR UNITARIO]]</f>
        <v>0</v>
      </c>
    </row>
    <row r="305" spans="1:6" s="193" customFormat="1" hidden="1" x14ac:dyDescent="0.3">
      <c r="A305" s="193">
        <v>257</v>
      </c>
      <c r="B305" s="193" t="s">
        <v>377</v>
      </c>
      <c r="C305" s="193" t="s">
        <v>1270</v>
      </c>
      <c r="D305" s="226">
        <f>+ROUNDUP(SUMIFS('MEMORIA CANTIDADES'!E:E,'MEMORIA CANTIDADES'!B:B,Table28[[#This Row],[DESCRIPCIÓN ]],'MEMORIA CANTIDADES'!C:C,Table28[[#This Row],[UNIDAD]]),0)</f>
        <v>0</v>
      </c>
      <c r="E305" s="225">
        <f>+VLOOKUP(Table28[[#This Row],[DESCRIPCIÓN ]],INSUMOS!A:D,3,FALSE)</f>
        <v>2956.69</v>
      </c>
      <c r="F305" s="225">
        <f>+Table28[[#This Row],[CANTIDAD]]*Table28[[#This Row],[VALOR UNITARIO]]</f>
        <v>0</v>
      </c>
    </row>
    <row r="306" spans="1:6" s="193" customFormat="1" hidden="1" x14ac:dyDescent="0.3">
      <c r="A306" s="193">
        <v>258</v>
      </c>
      <c r="B306" s="193" t="s">
        <v>378</v>
      </c>
      <c r="C306" s="193" t="s">
        <v>1270</v>
      </c>
      <c r="D306" s="226">
        <f>+ROUNDUP(SUMIFS('MEMORIA CANTIDADES'!E:E,'MEMORIA CANTIDADES'!B:B,Table28[[#This Row],[DESCRIPCIÓN ]],'MEMORIA CANTIDADES'!C:C,Table28[[#This Row],[UNIDAD]]),0)</f>
        <v>0</v>
      </c>
      <c r="E306" s="225">
        <f>+VLOOKUP(Table28[[#This Row],[DESCRIPCIÓN ]],INSUMOS!A:D,3,FALSE)</f>
        <v>14261.21</v>
      </c>
      <c r="F306" s="225">
        <f>+Table28[[#This Row],[CANTIDAD]]*Table28[[#This Row],[VALOR UNITARIO]]</f>
        <v>0</v>
      </c>
    </row>
    <row r="307" spans="1:6" s="193" customFormat="1" hidden="1" x14ac:dyDescent="0.3">
      <c r="A307" s="193">
        <v>259</v>
      </c>
      <c r="B307" s="193" t="s">
        <v>379</v>
      </c>
      <c r="C307" s="193" t="s">
        <v>1270</v>
      </c>
      <c r="D307" s="226">
        <f>+ROUNDUP(SUMIFS('MEMORIA CANTIDADES'!E:E,'MEMORIA CANTIDADES'!B:B,Table28[[#This Row],[DESCRIPCIÓN ]],'MEMORIA CANTIDADES'!C:C,Table28[[#This Row],[UNIDAD]]),0)</f>
        <v>0</v>
      </c>
      <c r="E307" s="225">
        <f>+VLOOKUP(Table28[[#This Row],[DESCRIPCIÓN ]],INSUMOS!A:D,3,FALSE)</f>
        <v>10403.6</v>
      </c>
      <c r="F307" s="225">
        <f>+Table28[[#This Row],[CANTIDAD]]*Table28[[#This Row],[VALOR UNITARIO]]</f>
        <v>0</v>
      </c>
    </row>
    <row r="308" spans="1:6" s="193" customFormat="1" hidden="1" x14ac:dyDescent="0.3">
      <c r="A308" s="193">
        <v>260</v>
      </c>
      <c r="B308" s="193" t="s">
        <v>380</v>
      </c>
      <c r="C308" s="193" t="s">
        <v>1270</v>
      </c>
      <c r="D308" s="226">
        <f>+ROUNDUP(SUMIFS('MEMORIA CANTIDADES'!E:E,'MEMORIA CANTIDADES'!B:B,Table28[[#This Row],[DESCRIPCIÓN ]],'MEMORIA CANTIDADES'!C:C,Table28[[#This Row],[UNIDAD]]),0)</f>
        <v>0</v>
      </c>
      <c r="E308" s="225">
        <f>+VLOOKUP(Table28[[#This Row],[DESCRIPCIÓN ]],INSUMOS!A:D,3,FALSE)</f>
        <v>7064.03</v>
      </c>
      <c r="F308" s="225">
        <f>+Table28[[#This Row],[CANTIDAD]]*Table28[[#This Row],[VALOR UNITARIO]]</f>
        <v>0</v>
      </c>
    </row>
    <row r="309" spans="1:6" s="193" customFormat="1" hidden="1" x14ac:dyDescent="0.3">
      <c r="A309" s="193">
        <v>261</v>
      </c>
      <c r="B309" s="193" t="s">
        <v>381</v>
      </c>
      <c r="C309" s="193" t="s">
        <v>1270</v>
      </c>
      <c r="D309" s="226">
        <f>+ROUNDUP(SUMIFS('MEMORIA CANTIDADES'!E:E,'MEMORIA CANTIDADES'!B:B,Table28[[#This Row],[DESCRIPCIÓN ]],'MEMORIA CANTIDADES'!C:C,Table28[[#This Row],[UNIDAD]]),0)</f>
        <v>0</v>
      </c>
      <c r="E309" s="225">
        <f>+VLOOKUP(Table28[[#This Row],[DESCRIPCIÓN ]],INSUMOS!A:D,3,FALSE)</f>
        <v>5013.3500000000004</v>
      </c>
      <c r="F309" s="225">
        <f>+Table28[[#This Row],[CANTIDAD]]*Table28[[#This Row],[VALOR UNITARIO]]</f>
        <v>0</v>
      </c>
    </row>
    <row r="310" spans="1:6" s="193" customFormat="1" hidden="1" x14ac:dyDescent="0.3">
      <c r="A310" s="193">
        <v>262</v>
      </c>
      <c r="B310" s="193" t="s">
        <v>382</v>
      </c>
      <c r="C310" s="193" t="s">
        <v>1270</v>
      </c>
      <c r="D310" s="226">
        <f>+ROUNDUP(SUMIFS('MEMORIA CANTIDADES'!E:E,'MEMORIA CANTIDADES'!B:B,Table28[[#This Row],[DESCRIPCIÓN ]],'MEMORIA CANTIDADES'!C:C,Table28[[#This Row],[UNIDAD]]),0)</f>
        <v>0</v>
      </c>
      <c r="E310" s="225">
        <f>+VLOOKUP(Table28[[#This Row],[DESCRIPCIÓN ]],INSUMOS!A:D,3,FALSE)</f>
        <v>3732.54</v>
      </c>
      <c r="F310" s="225">
        <f>+Table28[[#This Row],[CANTIDAD]]*Table28[[#This Row],[VALOR UNITARIO]]</f>
        <v>0</v>
      </c>
    </row>
    <row r="311" spans="1:6" s="193" customFormat="1" hidden="1" x14ac:dyDescent="0.3">
      <c r="A311" s="193">
        <v>263</v>
      </c>
      <c r="B311" s="193" t="s">
        <v>383</v>
      </c>
      <c r="C311" s="193" t="s">
        <v>1270</v>
      </c>
      <c r="D311" s="226">
        <f>+ROUNDUP(SUMIFS('MEMORIA CANTIDADES'!E:E,'MEMORIA CANTIDADES'!B:B,Table28[[#This Row],[DESCRIPCIÓN ]],'MEMORIA CANTIDADES'!C:C,Table28[[#This Row],[UNIDAD]]),0)</f>
        <v>0</v>
      </c>
      <c r="E311" s="225">
        <f>+VLOOKUP(Table28[[#This Row],[DESCRIPCIÓN ]],INSUMOS!A:D,3,FALSE)</f>
        <v>19077</v>
      </c>
      <c r="F311" s="225">
        <f>+Table28[[#This Row],[CANTIDAD]]*Table28[[#This Row],[VALOR UNITARIO]]</f>
        <v>0</v>
      </c>
    </row>
    <row r="312" spans="1:6" s="193" customFormat="1" hidden="1" x14ac:dyDescent="0.3">
      <c r="A312" s="193">
        <v>264</v>
      </c>
      <c r="B312" s="193" t="s">
        <v>384</v>
      </c>
      <c r="C312" s="193" t="s">
        <v>1270</v>
      </c>
      <c r="D312" s="226">
        <f>+ROUNDUP(SUMIFS('MEMORIA CANTIDADES'!E:E,'MEMORIA CANTIDADES'!B:B,Table28[[#This Row],[DESCRIPCIÓN ]],'MEMORIA CANTIDADES'!C:C,Table28[[#This Row],[UNIDAD]]),0)</f>
        <v>0</v>
      </c>
      <c r="E312" s="225">
        <f>+VLOOKUP(Table28[[#This Row],[DESCRIPCIÓN ]],INSUMOS!A:D,3,FALSE)</f>
        <v>11485.08</v>
      </c>
      <c r="F312" s="225">
        <f>+Table28[[#This Row],[CANTIDAD]]*Table28[[#This Row],[VALOR UNITARIO]]</f>
        <v>0</v>
      </c>
    </row>
    <row r="313" spans="1:6" s="193" customFormat="1" hidden="1" x14ac:dyDescent="0.3">
      <c r="A313" s="193">
        <v>265</v>
      </c>
      <c r="B313" s="193" t="s">
        <v>385</v>
      </c>
      <c r="C313" s="193" t="s">
        <v>1270</v>
      </c>
      <c r="D313" s="226">
        <f>+ROUNDUP(SUMIFS('MEMORIA CANTIDADES'!E:E,'MEMORIA CANTIDADES'!B:B,Table28[[#This Row],[DESCRIPCIÓN ]],'MEMORIA CANTIDADES'!C:C,Table28[[#This Row],[UNIDAD]]),0)</f>
        <v>0</v>
      </c>
      <c r="E313" s="225">
        <f>+VLOOKUP(Table28[[#This Row],[DESCRIPCIÓN ]],INSUMOS!A:D,3,FALSE)</f>
        <v>8313.56</v>
      </c>
      <c r="F313" s="225">
        <f>+Table28[[#This Row],[CANTIDAD]]*Table28[[#This Row],[VALOR UNITARIO]]</f>
        <v>0</v>
      </c>
    </row>
    <row r="314" spans="1:6" s="193" customFormat="1" hidden="1" x14ac:dyDescent="0.3">
      <c r="A314" s="193">
        <v>266</v>
      </c>
      <c r="B314" s="193" t="s">
        <v>386</v>
      </c>
      <c r="C314" s="193" t="s">
        <v>1270</v>
      </c>
      <c r="D314" s="226">
        <f>+ROUNDUP(SUMIFS('MEMORIA CANTIDADES'!E:E,'MEMORIA CANTIDADES'!B:B,Table28[[#This Row],[DESCRIPCIÓN ]],'MEMORIA CANTIDADES'!C:C,Table28[[#This Row],[UNIDAD]]),0)</f>
        <v>0</v>
      </c>
      <c r="E314" s="225">
        <f>+VLOOKUP(Table28[[#This Row],[DESCRIPCIÓN ]],INSUMOS!A:D,3,FALSE)</f>
        <v>5296.27</v>
      </c>
      <c r="F314" s="225">
        <f>+Table28[[#This Row],[CANTIDAD]]*Table28[[#This Row],[VALOR UNITARIO]]</f>
        <v>0</v>
      </c>
    </row>
    <row r="315" spans="1:6" s="193" customFormat="1" hidden="1" x14ac:dyDescent="0.3">
      <c r="A315" s="193">
        <v>267</v>
      </c>
      <c r="B315" s="193" t="s">
        <v>387</v>
      </c>
      <c r="C315" s="193" t="s">
        <v>1270</v>
      </c>
      <c r="D315" s="226">
        <f>+ROUNDUP(SUMIFS('MEMORIA CANTIDADES'!E:E,'MEMORIA CANTIDADES'!B:B,Table28[[#This Row],[DESCRIPCIÓN ]],'MEMORIA CANTIDADES'!C:C,Table28[[#This Row],[UNIDAD]]),0)</f>
        <v>0</v>
      </c>
      <c r="E315" s="225">
        <f>+VLOOKUP(Table28[[#This Row],[DESCRIPCIÓN ]],INSUMOS!A:D,3,FALSE)</f>
        <v>5035.5600000000004</v>
      </c>
      <c r="F315" s="225">
        <f>+Table28[[#This Row],[CANTIDAD]]*Table28[[#This Row],[VALOR UNITARIO]]</f>
        <v>0</v>
      </c>
    </row>
    <row r="316" spans="1:6" s="193" customFormat="1" hidden="1" x14ac:dyDescent="0.3">
      <c r="A316" s="193">
        <v>268</v>
      </c>
      <c r="B316" s="193" t="s">
        <v>388</v>
      </c>
      <c r="C316" s="193" t="s">
        <v>1270</v>
      </c>
      <c r="D316" s="226">
        <f>+ROUNDUP(SUMIFS('MEMORIA CANTIDADES'!E:E,'MEMORIA CANTIDADES'!B:B,Table28[[#This Row],[DESCRIPCIÓN ]],'MEMORIA CANTIDADES'!C:C,Table28[[#This Row],[UNIDAD]]),0)</f>
        <v>0</v>
      </c>
      <c r="E316" s="225">
        <f>+VLOOKUP(Table28[[#This Row],[DESCRIPCIÓN ]],INSUMOS!A:D,3,FALSE)</f>
        <v>14591.58</v>
      </c>
      <c r="F316" s="225">
        <f>+Table28[[#This Row],[CANTIDAD]]*Table28[[#This Row],[VALOR UNITARIO]]</f>
        <v>0</v>
      </c>
    </row>
    <row r="317" spans="1:6" s="193" customFormat="1" hidden="1" x14ac:dyDescent="0.3">
      <c r="A317" s="193">
        <v>269</v>
      </c>
      <c r="B317" s="193" t="s">
        <v>389</v>
      </c>
      <c r="C317" s="193" t="s">
        <v>1270</v>
      </c>
      <c r="D317" s="226">
        <f>+ROUNDUP(SUMIFS('MEMORIA CANTIDADES'!E:E,'MEMORIA CANTIDADES'!B:B,Table28[[#This Row],[DESCRIPCIÓN ]],'MEMORIA CANTIDADES'!C:C,Table28[[#This Row],[UNIDAD]]),0)</f>
        <v>0</v>
      </c>
      <c r="E317" s="225">
        <f>+VLOOKUP(Table28[[#This Row],[DESCRIPCIÓN ]],INSUMOS!A:D,3,FALSE)</f>
        <v>7594.79</v>
      </c>
      <c r="F317" s="225">
        <f>+Table28[[#This Row],[CANTIDAD]]*Table28[[#This Row],[VALOR UNITARIO]]</f>
        <v>0</v>
      </c>
    </row>
    <row r="318" spans="1:6" s="193" customFormat="1" hidden="1" x14ac:dyDescent="0.3">
      <c r="A318" s="193">
        <v>270</v>
      </c>
      <c r="B318" s="193" t="s">
        <v>390</v>
      </c>
      <c r="C318" s="193" t="s">
        <v>1270</v>
      </c>
      <c r="D318" s="226">
        <f>+ROUNDUP(SUMIFS('MEMORIA CANTIDADES'!E:E,'MEMORIA CANTIDADES'!B:B,Table28[[#This Row],[DESCRIPCIÓN ]],'MEMORIA CANTIDADES'!C:C,Table28[[#This Row],[UNIDAD]]),0)</f>
        <v>0</v>
      </c>
      <c r="E318" s="225">
        <f>+VLOOKUP(Table28[[#This Row],[DESCRIPCIÓN ]],INSUMOS!A:D,3,FALSE)</f>
        <v>6831.9</v>
      </c>
      <c r="F318" s="225">
        <f>+Table28[[#This Row],[CANTIDAD]]*Table28[[#This Row],[VALOR UNITARIO]]</f>
        <v>0</v>
      </c>
    </row>
    <row r="319" spans="1:6" s="193" customFormat="1" hidden="1" x14ac:dyDescent="0.3">
      <c r="A319" s="193">
        <v>271</v>
      </c>
      <c r="B319" s="193" t="s">
        <v>391</v>
      </c>
      <c r="C319" s="193" t="s">
        <v>1270</v>
      </c>
      <c r="D319" s="226">
        <f>+ROUNDUP(SUMIFS('MEMORIA CANTIDADES'!E:E,'MEMORIA CANTIDADES'!B:B,Table28[[#This Row],[DESCRIPCIÓN ]],'MEMORIA CANTIDADES'!C:C,Table28[[#This Row],[UNIDAD]]),0)</f>
        <v>0</v>
      </c>
      <c r="E319" s="225">
        <f>+VLOOKUP(Table28[[#This Row],[DESCRIPCIÓN ]],INSUMOS!A:D,3,FALSE)</f>
        <v>37655.879999999997</v>
      </c>
      <c r="F319" s="225">
        <f>+Table28[[#This Row],[CANTIDAD]]*Table28[[#This Row],[VALOR UNITARIO]]</f>
        <v>0</v>
      </c>
    </row>
    <row r="320" spans="1:6" s="193" customFormat="1" hidden="1" x14ac:dyDescent="0.3">
      <c r="A320" s="193">
        <v>272</v>
      </c>
      <c r="B320" s="193" t="s">
        <v>392</v>
      </c>
      <c r="C320" s="193" t="s">
        <v>1270</v>
      </c>
      <c r="D320" s="226">
        <f>+ROUNDUP(SUMIFS('MEMORIA CANTIDADES'!E:E,'MEMORIA CANTIDADES'!B:B,Table28[[#This Row],[DESCRIPCIÓN ]],'MEMORIA CANTIDADES'!C:C,Table28[[#This Row],[UNIDAD]]),0)</f>
        <v>0</v>
      </c>
      <c r="E320" s="225">
        <f>+VLOOKUP(Table28[[#This Row],[DESCRIPCIÓN ]],INSUMOS!A:D,3,FALSE)</f>
        <v>23549.279999999999</v>
      </c>
      <c r="F320" s="225">
        <f>+Table28[[#This Row],[CANTIDAD]]*Table28[[#This Row],[VALOR UNITARIO]]</f>
        <v>0</v>
      </c>
    </row>
    <row r="321" spans="1:6" s="193" customFormat="1" hidden="1" x14ac:dyDescent="0.3">
      <c r="A321" s="193">
        <v>273</v>
      </c>
      <c r="B321" s="193" t="s">
        <v>393</v>
      </c>
      <c r="C321" s="193" t="s">
        <v>1270</v>
      </c>
      <c r="D321" s="226">
        <f>+ROUNDUP(SUMIFS('MEMORIA CANTIDADES'!E:E,'MEMORIA CANTIDADES'!B:B,Table28[[#This Row],[DESCRIPCIÓN ]],'MEMORIA CANTIDADES'!C:C,Table28[[#This Row],[UNIDAD]]),0)</f>
        <v>0</v>
      </c>
      <c r="E321" s="225">
        <f>+VLOOKUP(Table28[[#This Row],[DESCRIPCIÓN ]],INSUMOS!A:D,3,FALSE)</f>
        <v>13981.07</v>
      </c>
      <c r="F321" s="225">
        <f>+Table28[[#This Row],[CANTIDAD]]*Table28[[#This Row],[VALOR UNITARIO]]</f>
        <v>0</v>
      </c>
    </row>
    <row r="322" spans="1:6" s="193" customFormat="1" hidden="1" x14ac:dyDescent="0.3">
      <c r="A322" s="193">
        <v>274</v>
      </c>
      <c r="B322" s="193" t="s">
        <v>394</v>
      </c>
      <c r="C322" s="193" t="s">
        <v>1270</v>
      </c>
      <c r="D322" s="226">
        <f>+ROUNDUP(SUMIFS('MEMORIA CANTIDADES'!E:E,'MEMORIA CANTIDADES'!B:B,Table28[[#This Row],[DESCRIPCIÓN ]],'MEMORIA CANTIDADES'!C:C,Table28[[#This Row],[UNIDAD]]),0)</f>
        <v>0</v>
      </c>
      <c r="E322" s="225">
        <f>+VLOOKUP(Table28[[#This Row],[DESCRIPCIÓN ]],INSUMOS!A:D,3,FALSE)</f>
        <v>9078.69</v>
      </c>
      <c r="F322" s="225">
        <f>+Table28[[#This Row],[CANTIDAD]]*Table28[[#This Row],[VALOR UNITARIO]]</f>
        <v>0</v>
      </c>
    </row>
    <row r="323" spans="1:6" s="193" customFormat="1" x14ac:dyDescent="0.3">
      <c r="A323" s="193">
        <v>241</v>
      </c>
      <c r="B323" s="193" t="s">
        <v>2187</v>
      </c>
      <c r="C323" s="193" t="s">
        <v>1270</v>
      </c>
      <c r="D323" s="226">
        <f>+ROUNDUP(SUMIFS('MEMORIA CANTIDADES'!E:E,'MEMORIA CANTIDADES'!B:B,Table28[[#This Row],[DESCRIPCIÓN ]],'MEMORIA CANTIDADES'!C:C,Table28[[#This Row],[UNIDAD]]),0)</f>
        <v>141</v>
      </c>
      <c r="E323" s="225">
        <f>+VLOOKUP(Table28[[#This Row],[DESCRIPCIÓN ]],INSUMOS!A:D,3,FALSE)</f>
        <v>2922.72</v>
      </c>
      <c r="F323" s="225">
        <f>+Table28[[#This Row],[CANTIDAD]]*Table28[[#This Row],[VALOR UNITARIO]]</f>
        <v>412103.51999999996</v>
      </c>
    </row>
    <row r="324" spans="1:6" s="193" customFormat="1" hidden="1" x14ac:dyDescent="0.3">
      <c r="A324" s="193">
        <v>135</v>
      </c>
      <c r="B324" s="193" t="s">
        <v>396</v>
      </c>
      <c r="C324" s="193" t="s">
        <v>55</v>
      </c>
      <c r="D324" s="226">
        <f>+ROUNDUP(SUMIFS('MEMORIA CANTIDADES'!E:E,'MEMORIA CANTIDADES'!B:B,Table28[[#This Row],[DESCRIPCIÓN ]],'MEMORIA CANTIDADES'!C:C,Table28[[#This Row],[UNIDAD]]),0)</f>
        <v>0</v>
      </c>
      <c r="E324" s="225">
        <f>+VLOOKUP(Table28[[#This Row],[DESCRIPCIÓN ]],INSUMOS!A:D,3,FALSE)</f>
        <v>331800.05</v>
      </c>
      <c r="F324" s="225">
        <f>+Table28[[#This Row],[CANTIDAD]]*Table28[[#This Row],[VALOR UNITARIO]]</f>
        <v>0</v>
      </c>
    </row>
    <row r="325" spans="1:6" s="193" customFormat="1" hidden="1" x14ac:dyDescent="0.3">
      <c r="A325" s="193">
        <v>276</v>
      </c>
      <c r="B325" s="193" t="s">
        <v>397</v>
      </c>
      <c r="C325" s="193" t="s">
        <v>55</v>
      </c>
      <c r="D325" s="226">
        <f>+ROUNDUP(SUMIFS('MEMORIA CANTIDADES'!E:E,'MEMORIA CANTIDADES'!B:B,Table28[[#This Row],[DESCRIPCIÓN ]],'MEMORIA CANTIDADES'!C:C,Table28[[#This Row],[UNIDAD]]),0)</f>
        <v>0</v>
      </c>
      <c r="E325" s="225">
        <f>+VLOOKUP(Table28[[#This Row],[DESCRIPCIÓN ]],INSUMOS!A:D,3,FALSE)</f>
        <v>60154.43</v>
      </c>
      <c r="F325" s="225">
        <f>+Table28[[#This Row],[CANTIDAD]]*Table28[[#This Row],[VALOR UNITARIO]]</f>
        <v>0</v>
      </c>
    </row>
    <row r="326" spans="1:6" s="193" customFormat="1" hidden="1" x14ac:dyDescent="0.3">
      <c r="A326" s="193">
        <v>277</v>
      </c>
      <c r="B326" s="193" t="s">
        <v>398</v>
      </c>
      <c r="C326" s="193" t="s">
        <v>55</v>
      </c>
      <c r="D326" s="226">
        <f>+ROUNDUP(SUMIFS('MEMORIA CANTIDADES'!E:E,'MEMORIA CANTIDADES'!B:B,Table28[[#This Row],[DESCRIPCIÓN ]],'MEMORIA CANTIDADES'!C:C,Table28[[#This Row],[UNIDAD]]),0)</f>
        <v>0</v>
      </c>
      <c r="E326" s="225">
        <f>+VLOOKUP(Table28[[#This Row],[DESCRIPCIÓN ]],INSUMOS!A:D,3,FALSE)</f>
        <v>102338.43</v>
      </c>
      <c r="F326" s="225">
        <f>+Table28[[#This Row],[CANTIDAD]]*Table28[[#This Row],[VALOR UNITARIO]]</f>
        <v>0</v>
      </c>
    </row>
    <row r="327" spans="1:6" s="193" customFormat="1" hidden="1" x14ac:dyDescent="0.3">
      <c r="A327" s="193">
        <v>278</v>
      </c>
      <c r="B327" s="193" t="s">
        <v>399</v>
      </c>
      <c r="C327" s="193" t="s">
        <v>55</v>
      </c>
      <c r="D327" s="226">
        <f>+ROUNDUP(SUMIFS('MEMORIA CANTIDADES'!E:E,'MEMORIA CANTIDADES'!B:B,Table28[[#This Row],[DESCRIPCIÓN ]],'MEMORIA CANTIDADES'!C:C,Table28[[#This Row],[UNIDAD]]),0)</f>
        <v>0</v>
      </c>
      <c r="E327" s="225">
        <f>+VLOOKUP(Table28[[#This Row],[DESCRIPCIÓN ]],INSUMOS!A:D,3,FALSE)</f>
        <v>151670.07999999999</v>
      </c>
      <c r="F327" s="225">
        <f>+Table28[[#This Row],[CANTIDAD]]*Table28[[#This Row],[VALOR UNITARIO]]</f>
        <v>0</v>
      </c>
    </row>
    <row r="328" spans="1:6" s="193" customFormat="1" ht="28.8" hidden="1" x14ac:dyDescent="0.3">
      <c r="A328" s="193">
        <v>279</v>
      </c>
      <c r="B328" s="193" t="s">
        <v>400</v>
      </c>
      <c r="C328" s="193" t="s">
        <v>55</v>
      </c>
      <c r="D328" s="226">
        <f>+ROUNDUP(SUMIFS('MEMORIA CANTIDADES'!E:E,'MEMORIA CANTIDADES'!B:B,Table28[[#This Row],[DESCRIPCIÓN ]],'MEMORIA CANTIDADES'!C:C,Table28[[#This Row],[UNIDAD]]),0)</f>
        <v>0</v>
      </c>
      <c r="E328" s="225">
        <f>+VLOOKUP(Table28[[#This Row],[DESCRIPCIÓN ]],INSUMOS!A:D,3,FALSE)</f>
        <v>5146.83</v>
      </c>
      <c r="F328" s="225">
        <f>+Table28[[#This Row],[CANTIDAD]]*Table28[[#This Row],[VALOR UNITARIO]]</f>
        <v>0</v>
      </c>
    </row>
    <row r="329" spans="1:6" s="193" customFormat="1" hidden="1" x14ac:dyDescent="0.3">
      <c r="A329" s="193">
        <v>280</v>
      </c>
      <c r="B329" s="193" t="s">
        <v>401</v>
      </c>
      <c r="C329" s="193" t="s">
        <v>55</v>
      </c>
      <c r="D329" s="226">
        <f>+ROUNDUP(SUMIFS('MEMORIA CANTIDADES'!E:E,'MEMORIA CANTIDADES'!B:B,Table28[[#This Row],[DESCRIPCIÓN ]],'MEMORIA CANTIDADES'!C:C,Table28[[#This Row],[UNIDAD]]),0)</f>
        <v>0</v>
      </c>
      <c r="E329" s="225">
        <f>+VLOOKUP(Table28[[#This Row],[DESCRIPCIÓN ]],INSUMOS!A:D,3,FALSE)</f>
        <v>3603.08</v>
      </c>
      <c r="F329" s="225">
        <f>+Table28[[#This Row],[CANTIDAD]]*Table28[[#This Row],[VALOR UNITARIO]]</f>
        <v>0</v>
      </c>
    </row>
    <row r="330" spans="1:6" s="193" customFormat="1" hidden="1" x14ac:dyDescent="0.3">
      <c r="A330" s="193">
        <v>281</v>
      </c>
      <c r="B330" s="193" t="s">
        <v>402</v>
      </c>
      <c r="C330" s="193" t="s">
        <v>55</v>
      </c>
      <c r="D330" s="226">
        <f>+ROUNDUP(SUMIFS('MEMORIA CANTIDADES'!E:E,'MEMORIA CANTIDADES'!B:B,Table28[[#This Row],[DESCRIPCIÓN ]],'MEMORIA CANTIDADES'!C:C,Table28[[#This Row],[UNIDAD]]),0)</f>
        <v>0</v>
      </c>
      <c r="E330" s="225">
        <f>+VLOOKUP(Table28[[#This Row],[DESCRIPCIÓN ]],INSUMOS!A:D,3,FALSE)</f>
        <v>2634.35</v>
      </c>
      <c r="F330" s="225">
        <f>+Table28[[#This Row],[CANTIDAD]]*Table28[[#This Row],[VALOR UNITARIO]]</f>
        <v>0</v>
      </c>
    </row>
    <row r="331" spans="1:6" s="193" customFormat="1" ht="28.8" hidden="1" x14ac:dyDescent="0.3">
      <c r="A331" s="193">
        <v>282</v>
      </c>
      <c r="B331" s="193" t="s">
        <v>403</v>
      </c>
      <c r="C331" s="193" t="s">
        <v>55</v>
      </c>
      <c r="D331" s="226">
        <f>+ROUNDUP(SUMIFS('MEMORIA CANTIDADES'!E:E,'MEMORIA CANTIDADES'!B:B,Table28[[#This Row],[DESCRIPCIÓN ]],'MEMORIA CANTIDADES'!C:C,Table28[[#This Row],[UNIDAD]]),0)</f>
        <v>0</v>
      </c>
      <c r="E331" s="225">
        <f>+VLOOKUP(Table28[[#This Row],[DESCRIPCIÓN ]],INSUMOS!A:D,3,FALSE)</f>
        <v>2057.35</v>
      </c>
      <c r="F331" s="225">
        <f>+Table28[[#This Row],[CANTIDAD]]*Table28[[#This Row],[VALOR UNITARIO]]</f>
        <v>0</v>
      </c>
    </row>
    <row r="332" spans="1:6" s="193" customFormat="1" hidden="1" x14ac:dyDescent="0.3">
      <c r="A332" s="193">
        <v>283</v>
      </c>
      <c r="B332" s="193" t="s">
        <v>404</v>
      </c>
      <c r="C332" s="193" t="s">
        <v>55</v>
      </c>
      <c r="D332" s="226">
        <f>+ROUNDUP(SUMIFS('MEMORIA CANTIDADES'!E:E,'MEMORIA CANTIDADES'!B:B,Table28[[#This Row],[DESCRIPCIÓN ]],'MEMORIA CANTIDADES'!C:C,Table28[[#This Row],[UNIDAD]]),0)</f>
        <v>0</v>
      </c>
      <c r="E332" s="225">
        <f>+VLOOKUP(Table28[[#This Row],[DESCRIPCIÓN ]],INSUMOS!A:D,3,FALSE)</f>
        <v>87689.32</v>
      </c>
      <c r="F332" s="225">
        <f>+Table28[[#This Row],[CANTIDAD]]*Table28[[#This Row],[VALOR UNITARIO]]</f>
        <v>0</v>
      </c>
    </row>
    <row r="333" spans="1:6" s="193" customFormat="1" hidden="1" x14ac:dyDescent="0.3">
      <c r="A333" s="193">
        <v>284</v>
      </c>
      <c r="B333" s="193" t="s">
        <v>405</v>
      </c>
      <c r="C333" s="193" t="s">
        <v>55</v>
      </c>
      <c r="D333" s="226">
        <f>+ROUNDUP(SUMIFS('MEMORIA CANTIDADES'!E:E,'MEMORIA CANTIDADES'!B:B,Table28[[#This Row],[DESCRIPCIÓN ]],'MEMORIA CANTIDADES'!C:C,Table28[[#This Row],[UNIDAD]]),0)</f>
        <v>0</v>
      </c>
      <c r="E333" s="225">
        <f>+VLOOKUP(Table28[[#This Row],[DESCRIPCIÓN ]],INSUMOS!A:D,3,FALSE)</f>
        <v>47908.83</v>
      </c>
      <c r="F333" s="225">
        <f>+Table28[[#This Row],[CANTIDAD]]*Table28[[#This Row],[VALOR UNITARIO]]</f>
        <v>0</v>
      </c>
    </row>
    <row r="334" spans="1:6" s="193" customFormat="1" hidden="1" x14ac:dyDescent="0.3">
      <c r="A334" s="193">
        <v>285</v>
      </c>
      <c r="B334" s="193" t="s">
        <v>406</v>
      </c>
      <c r="C334" s="193" t="s">
        <v>55</v>
      </c>
      <c r="D334" s="226">
        <f>+ROUNDUP(SUMIFS('MEMORIA CANTIDADES'!E:E,'MEMORIA CANTIDADES'!B:B,Table28[[#This Row],[DESCRIPCIÓN ]],'MEMORIA CANTIDADES'!C:C,Table28[[#This Row],[UNIDAD]]),0)</f>
        <v>0</v>
      </c>
      <c r="E334" s="225">
        <f>+VLOOKUP(Table28[[#This Row],[DESCRIPCIÓN ]],INSUMOS!A:D,3,FALSE)</f>
        <v>52896.98</v>
      </c>
      <c r="F334" s="225">
        <f>+Table28[[#This Row],[CANTIDAD]]*Table28[[#This Row],[VALOR UNITARIO]]</f>
        <v>0</v>
      </c>
    </row>
    <row r="335" spans="1:6" s="193" customFormat="1" hidden="1" x14ac:dyDescent="0.3">
      <c r="A335" s="193">
        <v>286</v>
      </c>
      <c r="B335" s="193" t="s">
        <v>407</v>
      </c>
      <c r="C335" s="193" t="s">
        <v>55</v>
      </c>
      <c r="D335" s="226">
        <f>+ROUNDUP(SUMIFS('MEMORIA CANTIDADES'!E:E,'MEMORIA CANTIDADES'!B:B,Table28[[#This Row],[DESCRIPCIÓN ]],'MEMORIA CANTIDADES'!C:C,Table28[[#This Row],[UNIDAD]]),0)</f>
        <v>0</v>
      </c>
      <c r="E335" s="225">
        <f>+VLOOKUP(Table28[[#This Row],[DESCRIPCIÓN ]],INSUMOS!A:D,3,FALSE)</f>
        <v>73438.759999999995</v>
      </c>
      <c r="F335" s="225">
        <f>+Table28[[#This Row],[CANTIDAD]]*Table28[[#This Row],[VALOR UNITARIO]]</f>
        <v>0</v>
      </c>
    </row>
    <row r="336" spans="1:6" s="193" customFormat="1" hidden="1" x14ac:dyDescent="0.3">
      <c r="A336" s="193">
        <v>467</v>
      </c>
      <c r="B336" s="193" t="s">
        <v>408</v>
      </c>
      <c r="C336" s="193" t="s">
        <v>55</v>
      </c>
      <c r="D336" s="226">
        <f>+ROUNDUP(SUMIFS('MEMORIA CANTIDADES'!E:E,'MEMORIA CANTIDADES'!B:B,Table28[[#This Row],[DESCRIPCIÓN ]],'MEMORIA CANTIDADES'!C:C,Table28[[#This Row],[UNIDAD]]),0)</f>
        <v>0</v>
      </c>
      <c r="E336" s="225">
        <f>+VLOOKUP(Table28[[#This Row],[DESCRIPCIÓN ]],INSUMOS!A:D,3,FALSE)</f>
        <v>33855.99</v>
      </c>
      <c r="F336" s="225">
        <f>+Table28[[#This Row],[CANTIDAD]]*Table28[[#This Row],[VALOR UNITARIO]]</f>
        <v>0</v>
      </c>
    </row>
    <row r="337" spans="1:6" s="193" customFormat="1" x14ac:dyDescent="0.3">
      <c r="A337" s="193">
        <v>275</v>
      </c>
      <c r="B337" s="193" t="s">
        <v>395</v>
      </c>
      <c r="C337" s="193" t="s">
        <v>55</v>
      </c>
      <c r="D337" s="226">
        <f>+ROUNDUP(SUMIFS('MEMORIA CANTIDADES'!E:E,'MEMORIA CANTIDADES'!B:B,Table28[[#This Row],[DESCRIPCIÓN ]],'MEMORIA CANTIDADES'!C:C,Table28[[#This Row],[UNIDAD]]),0)</f>
        <v>5</v>
      </c>
      <c r="E337" s="225">
        <f>+VLOOKUP(Table28[[#This Row],[DESCRIPCIÓN ]],INSUMOS!A:D,3,FALSE)</f>
        <v>3033.89</v>
      </c>
      <c r="F337" s="225">
        <f>+Table28[[#This Row],[CANTIDAD]]*Table28[[#This Row],[VALOR UNITARIO]]</f>
        <v>15169.449999999999</v>
      </c>
    </row>
    <row r="338" spans="1:6" s="193" customFormat="1" ht="28.8" hidden="1" x14ac:dyDescent="0.3">
      <c r="A338" s="193">
        <v>156</v>
      </c>
      <c r="B338" s="193" t="s">
        <v>409</v>
      </c>
      <c r="C338" s="193" t="s">
        <v>55</v>
      </c>
      <c r="D338" s="226">
        <f>+ROUNDUP(SUMIFS('MEMORIA CANTIDADES'!E:E,'MEMORIA CANTIDADES'!B:B,Table28[[#This Row],[DESCRIPCIÓN ]],'MEMORIA CANTIDADES'!C:C,Table28[[#This Row],[UNIDAD]]),0)</f>
        <v>0</v>
      </c>
      <c r="E338" s="225">
        <f>+VLOOKUP(Table28[[#This Row],[DESCRIPCIÓN ]],INSUMOS!A:D,3,FALSE)</f>
        <v>146508.49</v>
      </c>
      <c r="F338" s="225">
        <f>+Table28[[#This Row],[CANTIDAD]]*Table28[[#This Row],[VALOR UNITARIO]]</f>
        <v>0</v>
      </c>
    </row>
    <row r="339" spans="1:6" s="193" customFormat="1" ht="28.8" hidden="1" x14ac:dyDescent="0.3">
      <c r="A339" s="193">
        <v>157</v>
      </c>
      <c r="B339" s="193" t="s">
        <v>410</v>
      </c>
      <c r="C339" s="193" t="s">
        <v>55</v>
      </c>
      <c r="D339" s="226">
        <f>+ROUNDUP(SUMIFS('MEMORIA CANTIDADES'!E:E,'MEMORIA CANTIDADES'!B:B,Table28[[#This Row],[DESCRIPCIÓN ]],'MEMORIA CANTIDADES'!C:C,Table28[[#This Row],[UNIDAD]]),0)</f>
        <v>0</v>
      </c>
      <c r="E339" s="225">
        <f>+VLOOKUP(Table28[[#This Row],[DESCRIPCIÓN ]],INSUMOS!A:D,3,FALSE)</f>
        <v>87416.39</v>
      </c>
      <c r="F339" s="225">
        <f>+Table28[[#This Row],[CANTIDAD]]*Table28[[#This Row],[VALOR UNITARIO]]</f>
        <v>0</v>
      </c>
    </row>
    <row r="340" spans="1:6" s="193" customFormat="1" ht="28.8" hidden="1" x14ac:dyDescent="0.3">
      <c r="A340" s="193">
        <v>158</v>
      </c>
      <c r="B340" s="193" t="s">
        <v>411</v>
      </c>
      <c r="C340" s="193" t="s">
        <v>55</v>
      </c>
      <c r="D340" s="226">
        <f>+ROUNDUP(SUMIFS('MEMORIA CANTIDADES'!E:E,'MEMORIA CANTIDADES'!B:B,Table28[[#This Row],[DESCRIPCIÓN ]],'MEMORIA CANTIDADES'!C:C,Table28[[#This Row],[UNIDAD]]),0)</f>
        <v>0</v>
      </c>
      <c r="E340" s="225">
        <f>+VLOOKUP(Table28[[#This Row],[DESCRIPCIÓN ]],INSUMOS!A:D,3,FALSE)</f>
        <v>110898.13</v>
      </c>
      <c r="F340" s="225">
        <f>+Table28[[#This Row],[CANTIDAD]]*Table28[[#This Row],[VALOR UNITARIO]]</f>
        <v>0</v>
      </c>
    </row>
    <row r="341" spans="1:6" s="193" customFormat="1" ht="28.8" hidden="1" x14ac:dyDescent="0.3">
      <c r="A341" s="193">
        <v>765</v>
      </c>
      <c r="B341" s="193" t="s">
        <v>412</v>
      </c>
      <c r="C341" s="193" t="s">
        <v>55</v>
      </c>
      <c r="D341" s="226">
        <f>+ROUNDUP(SUMIFS('MEMORIA CANTIDADES'!E:E,'MEMORIA CANTIDADES'!B:B,Table28[[#This Row],[DESCRIPCIÓN ]],'MEMORIA CANTIDADES'!C:C,Table28[[#This Row],[UNIDAD]]),0)</f>
        <v>0</v>
      </c>
      <c r="E341" s="225">
        <f>+VLOOKUP(Table28[[#This Row],[DESCRIPCIÓN ]],INSUMOS!A:D,3,FALSE)</f>
        <v>14320.5</v>
      </c>
      <c r="F341" s="225">
        <f>+Table28[[#This Row],[CANTIDAD]]*Table28[[#This Row],[VALOR UNITARIO]]</f>
        <v>0</v>
      </c>
    </row>
    <row r="342" spans="1:6" s="193" customFormat="1" ht="28.8" hidden="1" x14ac:dyDescent="0.3">
      <c r="A342" s="193">
        <v>766</v>
      </c>
      <c r="B342" s="193" t="s">
        <v>2210</v>
      </c>
      <c r="C342" s="193" t="s">
        <v>55</v>
      </c>
      <c r="D342" s="226">
        <f>+ROUNDUP(SUMIFS('MEMORIA CANTIDADES'!E:E,'MEMORIA CANTIDADES'!B:B,Table28[[#This Row],[DESCRIPCIÓN ]],'MEMORIA CANTIDADES'!C:C,Table28[[#This Row],[UNIDAD]]),0)</f>
        <v>0</v>
      </c>
      <c r="E342" s="225">
        <f>+VLOOKUP(Table28[[#This Row],[DESCRIPCIÓN ]],INSUMOS!A:D,3,FALSE)</f>
        <v>20054.27</v>
      </c>
      <c r="F342" s="225">
        <f>+Table28[[#This Row],[CANTIDAD]]*Table28[[#This Row],[VALOR UNITARIO]]</f>
        <v>0</v>
      </c>
    </row>
    <row r="343" spans="1:6" s="193" customFormat="1" hidden="1" x14ac:dyDescent="0.3">
      <c r="A343" s="193">
        <v>767</v>
      </c>
      <c r="B343" s="193" t="s">
        <v>413</v>
      </c>
      <c r="C343" s="193" t="s">
        <v>2145</v>
      </c>
      <c r="D343" s="226">
        <f>+ROUNDUP(SUMIFS('MEMORIA CANTIDADES'!E:E,'MEMORIA CANTIDADES'!B:B,Table28[[#This Row],[DESCRIPCIÓN ]],'MEMORIA CANTIDADES'!C:C,Table28[[#This Row],[UNIDAD]]),0)</f>
        <v>0</v>
      </c>
      <c r="E343" s="225">
        <f>+VLOOKUP(Table28[[#This Row],[DESCRIPCIÓN ]],INSUMOS!A:D,3,FALSE)</f>
        <v>1630.98</v>
      </c>
      <c r="F343" s="225">
        <f>+Table28[[#This Row],[CANTIDAD]]*Table28[[#This Row],[VALOR UNITARIO]]</f>
        <v>0</v>
      </c>
    </row>
    <row r="344" spans="1:6" s="193" customFormat="1" ht="28.8" hidden="1" x14ac:dyDescent="0.3">
      <c r="A344" s="193">
        <v>468</v>
      </c>
      <c r="B344" s="193" t="s">
        <v>414</v>
      </c>
      <c r="C344" s="193" t="s">
        <v>1272</v>
      </c>
      <c r="D344" s="226">
        <f>+ROUNDUP(SUMIFS('MEMORIA CANTIDADES'!E:E,'MEMORIA CANTIDADES'!B:B,Table28[[#This Row],[DESCRIPCIÓN ]],'MEMORIA CANTIDADES'!C:C,Table28[[#This Row],[UNIDAD]]),0)</f>
        <v>0</v>
      </c>
      <c r="E344" s="225">
        <f>+VLOOKUP(Table28[[#This Row],[DESCRIPCIÓN ]],INSUMOS!A:D,3,FALSE)</f>
        <v>34661.120000000003</v>
      </c>
      <c r="F344" s="225">
        <f>+Table28[[#This Row],[CANTIDAD]]*Table28[[#This Row],[VALOR UNITARIO]]</f>
        <v>0</v>
      </c>
    </row>
    <row r="345" spans="1:6" s="193" customFormat="1" ht="28.8" hidden="1" x14ac:dyDescent="0.3">
      <c r="A345" s="193">
        <v>469</v>
      </c>
      <c r="B345" s="193" t="s">
        <v>415</v>
      </c>
      <c r="C345" s="193" t="s">
        <v>1272</v>
      </c>
      <c r="D345" s="226">
        <f>+ROUNDUP(SUMIFS('MEMORIA CANTIDADES'!E:E,'MEMORIA CANTIDADES'!B:B,Table28[[#This Row],[DESCRIPCIÓN ]],'MEMORIA CANTIDADES'!C:C,Table28[[#This Row],[UNIDAD]]),0)</f>
        <v>0</v>
      </c>
      <c r="E345" s="225">
        <f>+VLOOKUP(Table28[[#This Row],[DESCRIPCIÓN ]],INSUMOS!A:D,3,FALSE)</f>
        <v>33183.4</v>
      </c>
      <c r="F345" s="225">
        <f>+Table28[[#This Row],[CANTIDAD]]*Table28[[#This Row],[VALOR UNITARIO]]</f>
        <v>0</v>
      </c>
    </row>
    <row r="346" spans="1:6" s="193" customFormat="1" ht="28.8" hidden="1" x14ac:dyDescent="0.3">
      <c r="A346" s="193">
        <v>470</v>
      </c>
      <c r="B346" s="193" t="s">
        <v>416</v>
      </c>
      <c r="C346" s="193" t="s">
        <v>1272</v>
      </c>
      <c r="D346" s="226">
        <f>+ROUNDUP(SUMIFS('MEMORIA CANTIDADES'!E:E,'MEMORIA CANTIDADES'!B:B,Table28[[#This Row],[DESCRIPCIÓN ]],'MEMORIA CANTIDADES'!C:C,Table28[[#This Row],[UNIDAD]]),0)</f>
        <v>0</v>
      </c>
      <c r="E346" s="225">
        <f>+VLOOKUP(Table28[[#This Row],[DESCRIPCIÓN ]],INSUMOS!A:D,3,FALSE)</f>
        <v>46119.57</v>
      </c>
      <c r="F346" s="225">
        <f>+Table28[[#This Row],[CANTIDAD]]*Table28[[#This Row],[VALOR UNITARIO]]</f>
        <v>0</v>
      </c>
    </row>
    <row r="347" spans="1:6" s="193" customFormat="1" hidden="1" x14ac:dyDescent="0.3">
      <c r="A347" s="193">
        <v>1212</v>
      </c>
      <c r="B347" s="193" t="s">
        <v>417</v>
      </c>
      <c r="C347" s="193" t="s">
        <v>2145</v>
      </c>
      <c r="D347" s="226">
        <f>+ROUNDUP(SUMIFS('MEMORIA CANTIDADES'!E:E,'MEMORIA CANTIDADES'!B:B,Table28[[#This Row],[DESCRIPCIÓN ]],'MEMORIA CANTIDADES'!C:C,Table28[[#This Row],[UNIDAD]]),0)</f>
        <v>0</v>
      </c>
      <c r="E347" s="225">
        <f>+VLOOKUP(Table28[[#This Row],[DESCRIPCIÓN ]],INSUMOS!A:D,3,FALSE)</f>
        <v>10475.4</v>
      </c>
      <c r="F347" s="225">
        <f>+Table28[[#This Row],[CANTIDAD]]*Table28[[#This Row],[VALOR UNITARIO]]</f>
        <v>0</v>
      </c>
    </row>
    <row r="348" spans="1:6" s="193" customFormat="1" hidden="1" x14ac:dyDescent="0.3">
      <c r="A348" s="193">
        <v>768</v>
      </c>
      <c r="B348" s="193" t="s">
        <v>418</v>
      </c>
      <c r="C348" s="193" t="s">
        <v>2145</v>
      </c>
      <c r="D348" s="226">
        <f>+ROUNDUP(SUMIFS('MEMORIA CANTIDADES'!E:E,'MEMORIA CANTIDADES'!B:B,Table28[[#This Row],[DESCRIPCIÓN ]],'MEMORIA CANTIDADES'!C:C,Table28[[#This Row],[UNIDAD]]),0)</f>
        <v>0</v>
      </c>
      <c r="E348" s="225">
        <f>+VLOOKUP(Table28[[#This Row],[DESCRIPCIÓN ]],INSUMOS!A:D,3,FALSE)</f>
        <v>4881.63</v>
      </c>
      <c r="F348" s="225">
        <f>+Table28[[#This Row],[CANTIDAD]]*Table28[[#This Row],[VALOR UNITARIO]]</f>
        <v>0</v>
      </c>
    </row>
    <row r="349" spans="1:6" s="193" customFormat="1" ht="30.75" customHeight="1" x14ac:dyDescent="0.3">
      <c r="A349" s="193">
        <v>302</v>
      </c>
      <c r="B349" s="193" t="s">
        <v>625</v>
      </c>
      <c r="C349" s="193" t="s">
        <v>55</v>
      </c>
      <c r="D349" s="226">
        <f>+ROUNDUP(SUMIFS('MEMORIA CANTIDADES'!E:E,'MEMORIA CANTIDADES'!B:B,Table28[[#This Row],[DESCRIPCIÓN ]],'MEMORIA CANTIDADES'!C:C,Table28[[#This Row],[UNIDAD]]),0)</f>
        <v>5</v>
      </c>
      <c r="E349" s="225">
        <f>+VLOOKUP(Table28[[#This Row],[DESCRIPCIÓN ]],INSUMOS!A:D,3,FALSE)</f>
        <v>10737.05</v>
      </c>
      <c r="F349" s="225">
        <f>+Table28[[#This Row],[CANTIDAD]]*Table28[[#This Row],[VALOR UNITARIO]]</f>
        <v>53685.25</v>
      </c>
    </row>
    <row r="350" spans="1:6" s="193" customFormat="1" hidden="1" x14ac:dyDescent="0.3">
      <c r="A350" s="193">
        <v>769</v>
      </c>
      <c r="B350" s="193" t="s">
        <v>420</v>
      </c>
      <c r="C350" s="193" t="s">
        <v>55</v>
      </c>
      <c r="D350" s="226">
        <f>+ROUNDUP(SUMIFS('MEMORIA CANTIDADES'!E:E,'MEMORIA CANTIDADES'!B:B,Table28[[#This Row],[DESCRIPCIÓN ]],'MEMORIA CANTIDADES'!C:C,Table28[[#This Row],[UNIDAD]]),0)</f>
        <v>0</v>
      </c>
      <c r="E350" s="225">
        <f>+VLOOKUP(Table28[[#This Row],[DESCRIPCIÓN ]],INSUMOS!A:D,3,FALSE)</f>
        <v>17826.560000000001</v>
      </c>
      <c r="F350" s="225">
        <f>+Table28[[#This Row],[CANTIDAD]]*Table28[[#This Row],[VALOR UNITARIO]]</f>
        <v>0</v>
      </c>
    </row>
    <row r="351" spans="1:6" s="193" customFormat="1" hidden="1" x14ac:dyDescent="0.3">
      <c r="A351" s="193">
        <v>770</v>
      </c>
      <c r="B351" s="193" t="s">
        <v>421</v>
      </c>
      <c r="C351" s="193" t="s">
        <v>55</v>
      </c>
      <c r="D351" s="226">
        <f>+ROUNDUP(SUMIFS('MEMORIA CANTIDADES'!E:E,'MEMORIA CANTIDADES'!B:B,Table28[[#This Row],[DESCRIPCIÓN ]],'MEMORIA CANTIDADES'!C:C,Table28[[#This Row],[UNIDAD]]),0)</f>
        <v>0</v>
      </c>
      <c r="E351" s="225">
        <f>+VLOOKUP(Table28[[#This Row],[DESCRIPCIÓN ]],INSUMOS!A:D,3,FALSE)</f>
        <v>24453.75</v>
      </c>
      <c r="F351" s="225">
        <f>+Table28[[#This Row],[CANTIDAD]]*Table28[[#This Row],[VALOR UNITARIO]]</f>
        <v>0</v>
      </c>
    </row>
    <row r="352" spans="1:6" s="193" customFormat="1" hidden="1" x14ac:dyDescent="0.3">
      <c r="A352" s="193">
        <v>472</v>
      </c>
      <c r="B352" s="193" t="s">
        <v>422</v>
      </c>
      <c r="C352" s="193" t="s">
        <v>55</v>
      </c>
      <c r="D352" s="226">
        <f>+ROUNDUP(SUMIFS('MEMORIA CANTIDADES'!E:E,'MEMORIA CANTIDADES'!B:B,Table28[[#This Row],[DESCRIPCIÓN ]],'MEMORIA CANTIDADES'!C:C,Table28[[#This Row],[UNIDAD]]),0)</f>
        <v>0</v>
      </c>
      <c r="E352" s="225">
        <f>+VLOOKUP(Table28[[#This Row],[DESCRIPCIÓN ]],INSUMOS!A:D,3,FALSE)</f>
        <v>14384.49</v>
      </c>
      <c r="F352" s="225">
        <f>+Table28[[#This Row],[CANTIDAD]]*Table28[[#This Row],[VALOR UNITARIO]]</f>
        <v>0</v>
      </c>
    </row>
    <row r="353" spans="1:6" s="193" customFormat="1" hidden="1" x14ac:dyDescent="0.3">
      <c r="A353" s="193">
        <v>473</v>
      </c>
      <c r="B353" s="193" t="s">
        <v>423</v>
      </c>
      <c r="C353" s="193" t="s">
        <v>55</v>
      </c>
      <c r="D353" s="226">
        <f>+ROUNDUP(SUMIFS('MEMORIA CANTIDADES'!E:E,'MEMORIA CANTIDADES'!B:B,Table28[[#This Row],[DESCRIPCIÓN ]],'MEMORIA CANTIDADES'!C:C,Table28[[#This Row],[UNIDAD]]),0)</f>
        <v>0</v>
      </c>
      <c r="E353" s="225">
        <f>+VLOOKUP(Table28[[#This Row],[DESCRIPCIÓN ]],INSUMOS!A:D,3,FALSE)</f>
        <v>10859.97</v>
      </c>
      <c r="F353" s="225">
        <f>+Table28[[#This Row],[CANTIDAD]]*Table28[[#This Row],[VALOR UNITARIO]]</f>
        <v>0</v>
      </c>
    </row>
    <row r="354" spans="1:6" s="193" customFormat="1" ht="28.8" hidden="1" x14ac:dyDescent="0.3">
      <c r="A354" s="193">
        <v>771</v>
      </c>
      <c r="B354" s="193" t="s">
        <v>424</v>
      </c>
      <c r="C354" s="193" t="s">
        <v>1272</v>
      </c>
      <c r="D354" s="226">
        <f>+ROUNDUP(SUMIFS('MEMORIA CANTIDADES'!E:E,'MEMORIA CANTIDADES'!B:B,Table28[[#This Row],[DESCRIPCIÓN ]],'MEMORIA CANTIDADES'!C:C,Table28[[#This Row],[UNIDAD]]),0)</f>
        <v>0</v>
      </c>
      <c r="E354" s="225">
        <f>+VLOOKUP(Table28[[#This Row],[DESCRIPCIÓN ]],INSUMOS!A:D,3,FALSE)</f>
        <v>56711.89</v>
      </c>
      <c r="F354" s="225">
        <f>+Table28[[#This Row],[CANTIDAD]]*Table28[[#This Row],[VALOR UNITARIO]]</f>
        <v>0</v>
      </c>
    </row>
    <row r="355" spans="1:6" s="193" customFormat="1" ht="28.8" hidden="1" x14ac:dyDescent="0.3">
      <c r="A355" s="193">
        <v>772</v>
      </c>
      <c r="B355" s="193" t="s">
        <v>425</v>
      </c>
      <c r="C355" s="193" t="s">
        <v>1272</v>
      </c>
      <c r="D355" s="226">
        <f>+ROUNDUP(SUMIFS('MEMORIA CANTIDADES'!E:E,'MEMORIA CANTIDADES'!B:B,Table28[[#This Row],[DESCRIPCIÓN ]],'MEMORIA CANTIDADES'!C:C,Table28[[#This Row],[UNIDAD]]),0)</f>
        <v>0</v>
      </c>
      <c r="E355" s="225">
        <f>+VLOOKUP(Table28[[#This Row],[DESCRIPCIÓN ]],INSUMOS!A:D,3,FALSE)</f>
        <v>67759.69</v>
      </c>
      <c r="F355" s="225">
        <f>+Table28[[#This Row],[CANTIDAD]]*Table28[[#This Row],[VALOR UNITARIO]]</f>
        <v>0</v>
      </c>
    </row>
    <row r="356" spans="1:6" s="193" customFormat="1" ht="28.8" hidden="1" x14ac:dyDescent="0.3">
      <c r="A356" s="193">
        <v>773</v>
      </c>
      <c r="B356" s="193" t="s">
        <v>426</v>
      </c>
      <c r="C356" s="193" t="s">
        <v>1272</v>
      </c>
      <c r="D356" s="226">
        <f>+ROUNDUP(SUMIFS('MEMORIA CANTIDADES'!E:E,'MEMORIA CANTIDADES'!B:B,Table28[[#This Row],[DESCRIPCIÓN ]],'MEMORIA CANTIDADES'!C:C,Table28[[#This Row],[UNIDAD]]),0)</f>
        <v>0</v>
      </c>
      <c r="E356" s="225">
        <f>+VLOOKUP(Table28[[#This Row],[DESCRIPCIÓN ]],INSUMOS!A:D,3,FALSE)</f>
        <v>61979.91</v>
      </c>
      <c r="F356" s="225">
        <f>+Table28[[#This Row],[CANTIDAD]]*Table28[[#This Row],[VALOR UNITARIO]]</f>
        <v>0</v>
      </c>
    </row>
    <row r="357" spans="1:6" s="193" customFormat="1" ht="28.8" hidden="1" x14ac:dyDescent="0.3">
      <c r="A357" s="193">
        <v>774</v>
      </c>
      <c r="B357" s="193" t="s">
        <v>427</v>
      </c>
      <c r="C357" s="193" t="s">
        <v>1272</v>
      </c>
      <c r="D357" s="226">
        <f>+ROUNDUP(SUMIFS('MEMORIA CANTIDADES'!E:E,'MEMORIA CANTIDADES'!B:B,Table28[[#This Row],[DESCRIPCIÓN ]],'MEMORIA CANTIDADES'!C:C,Table28[[#This Row],[UNIDAD]]),0)</f>
        <v>0</v>
      </c>
      <c r="E357" s="225">
        <f>+VLOOKUP(Table28[[#This Row],[DESCRIPCIÓN ]],INSUMOS!A:D,3,FALSE)</f>
        <v>65669.490000000005</v>
      </c>
      <c r="F357" s="225">
        <f>+Table28[[#This Row],[CANTIDAD]]*Table28[[#This Row],[VALOR UNITARIO]]</f>
        <v>0</v>
      </c>
    </row>
    <row r="358" spans="1:6" s="193" customFormat="1" ht="28.8" hidden="1" x14ac:dyDescent="0.3">
      <c r="A358" s="193">
        <v>775</v>
      </c>
      <c r="B358" s="193" t="s">
        <v>428</v>
      </c>
      <c r="C358" s="193" t="s">
        <v>1272</v>
      </c>
      <c r="D358" s="226">
        <f>+ROUNDUP(SUMIFS('MEMORIA CANTIDADES'!E:E,'MEMORIA CANTIDADES'!B:B,Table28[[#This Row],[DESCRIPCIÓN ]],'MEMORIA CANTIDADES'!C:C,Table28[[#This Row],[UNIDAD]]),0)</f>
        <v>0</v>
      </c>
      <c r="E358" s="225">
        <f>+VLOOKUP(Table28[[#This Row],[DESCRIPCIÓN ]],INSUMOS!A:D,3,FALSE)</f>
        <v>65337.98</v>
      </c>
      <c r="F358" s="225">
        <f>+Table28[[#This Row],[CANTIDAD]]*Table28[[#This Row],[VALOR UNITARIO]]</f>
        <v>0</v>
      </c>
    </row>
    <row r="359" spans="1:6" s="193" customFormat="1" ht="28.8" hidden="1" x14ac:dyDescent="0.3">
      <c r="A359" s="193">
        <v>776</v>
      </c>
      <c r="B359" s="193" t="s">
        <v>429</v>
      </c>
      <c r="C359" s="193" t="s">
        <v>1272</v>
      </c>
      <c r="D359" s="226">
        <f>+ROUNDUP(SUMIFS('MEMORIA CANTIDADES'!E:E,'MEMORIA CANTIDADES'!B:B,Table28[[#This Row],[DESCRIPCIÓN ]],'MEMORIA CANTIDADES'!C:C,Table28[[#This Row],[UNIDAD]]),0)</f>
        <v>0</v>
      </c>
      <c r="E359" s="225">
        <f>+VLOOKUP(Table28[[#This Row],[DESCRIPCIÓN ]],INSUMOS!A:D,3,FALSE)</f>
        <v>93423.66</v>
      </c>
      <c r="F359" s="225">
        <f>+Table28[[#This Row],[CANTIDAD]]*Table28[[#This Row],[VALOR UNITARIO]]</f>
        <v>0</v>
      </c>
    </row>
    <row r="360" spans="1:6" s="193" customFormat="1" ht="28.8" hidden="1" x14ac:dyDescent="0.3">
      <c r="A360" s="193">
        <v>777</v>
      </c>
      <c r="B360" s="193" t="s">
        <v>430</v>
      </c>
      <c r="C360" s="193" t="s">
        <v>1272</v>
      </c>
      <c r="D360" s="226">
        <f>+ROUNDUP(SUMIFS('MEMORIA CANTIDADES'!E:E,'MEMORIA CANTIDADES'!B:B,Table28[[#This Row],[DESCRIPCIÓN ]],'MEMORIA CANTIDADES'!C:C,Table28[[#This Row],[UNIDAD]]),0)</f>
        <v>0</v>
      </c>
      <c r="E360" s="225">
        <f>+VLOOKUP(Table28[[#This Row],[DESCRIPCIÓN ]],INSUMOS!A:D,3,FALSE)</f>
        <v>70082.429999999993</v>
      </c>
      <c r="F360" s="225">
        <f>+Table28[[#This Row],[CANTIDAD]]*Table28[[#This Row],[VALOR UNITARIO]]</f>
        <v>0</v>
      </c>
    </row>
    <row r="361" spans="1:6" s="193" customFormat="1" ht="28.8" hidden="1" x14ac:dyDescent="0.3">
      <c r="A361" s="193">
        <v>778</v>
      </c>
      <c r="B361" s="193" t="s">
        <v>431</v>
      </c>
      <c r="C361" s="193" t="s">
        <v>1272</v>
      </c>
      <c r="D361" s="226">
        <f>+ROUNDUP(SUMIFS('MEMORIA CANTIDADES'!E:E,'MEMORIA CANTIDADES'!B:B,Table28[[#This Row],[DESCRIPCIÓN ]],'MEMORIA CANTIDADES'!C:C,Table28[[#This Row],[UNIDAD]]),0)</f>
        <v>0</v>
      </c>
      <c r="E361" s="225">
        <f>+VLOOKUP(Table28[[#This Row],[DESCRIPCIÓN ]],INSUMOS!A:D,3,FALSE)</f>
        <v>76700.36</v>
      </c>
      <c r="F361" s="225">
        <f>+Table28[[#This Row],[CANTIDAD]]*Table28[[#This Row],[VALOR UNITARIO]]</f>
        <v>0</v>
      </c>
    </row>
    <row r="362" spans="1:6" s="193" customFormat="1" ht="28.8" hidden="1" x14ac:dyDescent="0.3">
      <c r="A362" s="193">
        <v>779</v>
      </c>
      <c r="B362" s="193" t="s">
        <v>2211</v>
      </c>
      <c r="C362" s="193" t="s">
        <v>1272</v>
      </c>
      <c r="D362" s="226">
        <f>+ROUNDUP(SUMIFS('MEMORIA CANTIDADES'!E:E,'MEMORIA CANTIDADES'!B:B,Table28[[#This Row],[DESCRIPCIÓN ]],'MEMORIA CANTIDADES'!C:C,Table28[[#This Row],[UNIDAD]]),0)</f>
        <v>0</v>
      </c>
      <c r="E362" s="225">
        <f>+VLOOKUP(Table28[[#This Row],[DESCRIPCIÓN ]],INSUMOS!A:D,3,FALSE)</f>
        <v>63938.61</v>
      </c>
      <c r="F362" s="225">
        <f>+Table28[[#This Row],[CANTIDAD]]*Table28[[#This Row],[VALOR UNITARIO]]</f>
        <v>0</v>
      </c>
    </row>
    <row r="363" spans="1:6" s="193" customFormat="1" hidden="1" x14ac:dyDescent="0.3">
      <c r="A363" s="193">
        <v>400</v>
      </c>
      <c r="B363" s="193" t="s">
        <v>432</v>
      </c>
      <c r="C363" s="193" t="s">
        <v>55</v>
      </c>
      <c r="D363" s="226">
        <f>+ROUNDUP(SUMIFS('MEMORIA CANTIDADES'!E:E,'MEMORIA CANTIDADES'!B:B,Table28[[#This Row],[DESCRIPCIÓN ]],'MEMORIA CANTIDADES'!C:C,Table28[[#This Row],[UNIDAD]]),0)</f>
        <v>0</v>
      </c>
      <c r="E363" s="225">
        <f>+VLOOKUP(Table28[[#This Row],[DESCRIPCIÓN ]],INSUMOS!A:D,3,FALSE)</f>
        <v>48643.25</v>
      </c>
      <c r="F363" s="225">
        <f>+Table28[[#This Row],[CANTIDAD]]*Table28[[#This Row],[VALOR UNITARIO]]</f>
        <v>0</v>
      </c>
    </row>
    <row r="364" spans="1:6" s="193" customFormat="1" ht="43.2" hidden="1" x14ac:dyDescent="0.3">
      <c r="A364" s="193">
        <v>148</v>
      </c>
      <c r="B364" s="193" t="s">
        <v>433</v>
      </c>
      <c r="C364" s="193" t="s">
        <v>55</v>
      </c>
      <c r="D364" s="226">
        <f>+ROUNDUP(SUMIFS('MEMORIA CANTIDADES'!E:E,'MEMORIA CANTIDADES'!B:B,Table28[[#This Row],[DESCRIPCIÓN ]],'MEMORIA CANTIDADES'!C:C,Table28[[#This Row],[UNIDAD]]),0)</f>
        <v>0</v>
      </c>
      <c r="E364" s="225">
        <f>+VLOOKUP(Table28[[#This Row],[DESCRIPCIÓN ]],INSUMOS!A:D,3,FALSE)</f>
        <v>170072.94</v>
      </c>
      <c r="F364" s="225">
        <f>+Table28[[#This Row],[CANTIDAD]]*Table28[[#This Row],[VALOR UNITARIO]]</f>
        <v>0</v>
      </c>
    </row>
    <row r="365" spans="1:6" s="193" customFormat="1" ht="43.2" hidden="1" x14ac:dyDescent="0.3">
      <c r="A365" s="193">
        <v>149</v>
      </c>
      <c r="B365" s="193" t="s">
        <v>2179</v>
      </c>
      <c r="C365" s="193" t="s">
        <v>55</v>
      </c>
      <c r="D365" s="226">
        <f>+ROUNDUP(SUMIFS('MEMORIA CANTIDADES'!E:E,'MEMORIA CANTIDADES'!B:B,Table28[[#This Row],[DESCRIPCIÓN ]],'MEMORIA CANTIDADES'!C:C,Table28[[#This Row],[UNIDAD]]),0)</f>
        <v>0</v>
      </c>
      <c r="E365" s="225">
        <f>+VLOOKUP(Table28[[#This Row],[DESCRIPCIÓN ]],INSUMOS!A:D,3,FALSE)</f>
        <v>75216.05</v>
      </c>
      <c r="F365" s="225">
        <f>+Table28[[#This Row],[CANTIDAD]]*Table28[[#This Row],[VALOR UNITARIO]]</f>
        <v>0</v>
      </c>
    </row>
    <row r="366" spans="1:6" s="193" customFormat="1" ht="43.2" hidden="1" x14ac:dyDescent="0.3">
      <c r="A366" s="193">
        <v>150</v>
      </c>
      <c r="B366" s="193" t="s">
        <v>2180</v>
      </c>
      <c r="C366" s="193" t="s">
        <v>55</v>
      </c>
      <c r="D366" s="226">
        <f>+ROUNDUP(SUMIFS('MEMORIA CANTIDADES'!E:E,'MEMORIA CANTIDADES'!B:B,Table28[[#This Row],[DESCRIPCIÓN ]],'MEMORIA CANTIDADES'!C:C,Table28[[#This Row],[UNIDAD]]),0)</f>
        <v>0</v>
      </c>
      <c r="E366" s="225">
        <f>+VLOOKUP(Table28[[#This Row],[DESCRIPCIÓN ]],INSUMOS!A:D,3,FALSE)</f>
        <v>90702.13</v>
      </c>
      <c r="F366" s="225">
        <f>+Table28[[#This Row],[CANTIDAD]]*Table28[[#This Row],[VALOR UNITARIO]]</f>
        <v>0</v>
      </c>
    </row>
    <row r="367" spans="1:6" s="193" customFormat="1" ht="43.2" hidden="1" x14ac:dyDescent="0.3">
      <c r="A367" s="193">
        <v>151</v>
      </c>
      <c r="B367" s="193" t="s">
        <v>2181</v>
      </c>
      <c r="C367" s="193" t="s">
        <v>55</v>
      </c>
      <c r="D367" s="226">
        <f>+ROUNDUP(SUMIFS('MEMORIA CANTIDADES'!E:E,'MEMORIA CANTIDADES'!B:B,Table28[[#This Row],[DESCRIPCIÓN ]],'MEMORIA CANTIDADES'!C:C,Table28[[#This Row],[UNIDAD]]),0)</f>
        <v>0</v>
      </c>
      <c r="E367" s="225">
        <f>+VLOOKUP(Table28[[#This Row],[DESCRIPCIÓN ]],INSUMOS!A:D,3,FALSE)</f>
        <v>169477.97</v>
      </c>
      <c r="F367" s="225">
        <f>+Table28[[#This Row],[CANTIDAD]]*Table28[[#This Row],[VALOR UNITARIO]]</f>
        <v>0</v>
      </c>
    </row>
    <row r="368" spans="1:6" s="193" customFormat="1" hidden="1" x14ac:dyDescent="0.3">
      <c r="A368" s="193">
        <v>474</v>
      </c>
      <c r="B368" s="193" t="s">
        <v>434</v>
      </c>
      <c r="C368" s="193" t="s">
        <v>55</v>
      </c>
      <c r="D368" s="226">
        <f>+ROUNDUP(SUMIFS('MEMORIA CANTIDADES'!E:E,'MEMORIA CANTIDADES'!B:B,Table28[[#This Row],[DESCRIPCIÓN ]],'MEMORIA CANTIDADES'!C:C,Table28[[#This Row],[UNIDAD]]),0)</f>
        <v>0</v>
      </c>
      <c r="E368" s="225">
        <f>+VLOOKUP(Table28[[#This Row],[DESCRIPCIÓN ]],INSUMOS!A:D,3,FALSE)</f>
        <v>284.44</v>
      </c>
      <c r="F368" s="225">
        <f>+Table28[[#This Row],[CANTIDAD]]*Table28[[#This Row],[VALOR UNITARIO]]</f>
        <v>0</v>
      </c>
    </row>
    <row r="369" spans="1:6" s="193" customFormat="1" hidden="1" x14ac:dyDescent="0.3">
      <c r="A369" s="193">
        <v>475</v>
      </c>
      <c r="B369" s="193" t="s">
        <v>435</v>
      </c>
      <c r="C369" s="193" t="s">
        <v>55</v>
      </c>
      <c r="D369" s="226">
        <f>+ROUNDUP(SUMIFS('MEMORIA CANTIDADES'!E:E,'MEMORIA CANTIDADES'!B:B,Table28[[#This Row],[DESCRIPCIÓN ]],'MEMORIA CANTIDADES'!C:C,Table28[[#This Row],[UNIDAD]]),0)</f>
        <v>0</v>
      </c>
      <c r="E369" s="225">
        <f>+VLOOKUP(Table28[[#This Row],[DESCRIPCIÓN ]],INSUMOS!A:D,3,FALSE)</f>
        <v>101.49</v>
      </c>
      <c r="F369" s="225">
        <f>+Table28[[#This Row],[CANTIDAD]]*Table28[[#This Row],[VALOR UNITARIO]]</f>
        <v>0</v>
      </c>
    </row>
    <row r="370" spans="1:6" s="193" customFormat="1" hidden="1" x14ac:dyDescent="0.3">
      <c r="A370" s="193">
        <v>476</v>
      </c>
      <c r="B370" s="193" t="s">
        <v>436</v>
      </c>
      <c r="C370" s="193" t="s">
        <v>55</v>
      </c>
      <c r="D370" s="226">
        <f>+ROUNDUP(SUMIFS('MEMORIA CANTIDADES'!E:E,'MEMORIA CANTIDADES'!B:B,Table28[[#This Row],[DESCRIPCIÓN ]],'MEMORIA CANTIDADES'!C:C,Table28[[#This Row],[UNIDAD]]),0)</f>
        <v>0</v>
      </c>
      <c r="E370" s="225">
        <f>+VLOOKUP(Table28[[#This Row],[DESCRIPCIÓN ]],INSUMOS!A:D,3,FALSE)</f>
        <v>101.42</v>
      </c>
      <c r="F370" s="225">
        <f>+Table28[[#This Row],[CANTIDAD]]*Table28[[#This Row],[VALOR UNITARIO]]</f>
        <v>0</v>
      </c>
    </row>
    <row r="371" spans="1:6" s="193" customFormat="1" hidden="1" x14ac:dyDescent="0.3">
      <c r="A371" s="193">
        <v>477</v>
      </c>
      <c r="B371" s="193" t="s">
        <v>437</v>
      </c>
      <c r="C371" s="193" t="s">
        <v>55</v>
      </c>
      <c r="D371" s="226">
        <f>+ROUNDUP(SUMIFS('MEMORIA CANTIDADES'!E:E,'MEMORIA CANTIDADES'!B:B,Table28[[#This Row],[DESCRIPCIÓN ]],'MEMORIA CANTIDADES'!C:C,Table28[[#This Row],[UNIDAD]]),0)</f>
        <v>0</v>
      </c>
      <c r="E371" s="225">
        <f>+VLOOKUP(Table28[[#This Row],[DESCRIPCIÓN ]],INSUMOS!A:D,3,FALSE)</f>
        <v>193.77</v>
      </c>
      <c r="F371" s="225">
        <f>+Table28[[#This Row],[CANTIDAD]]*Table28[[#This Row],[VALOR UNITARIO]]</f>
        <v>0</v>
      </c>
    </row>
    <row r="372" spans="1:6" s="193" customFormat="1" ht="28.8" hidden="1" x14ac:dyDescent="0.3">
      <c r="A372" s="193">
        <v>478</v>
      </c>
      <c r="B372" s="193" t="s">
        <v>438</v>
      </c>
      <c r="C372" s="193" t="s">
        <v>55</v>
      </c>
      <c r="D372" s="226">
        <f>+ROUNDUP(SUMIFS('MEMORIA CANTIDADES'!E:E,'MEMORIA CANTIDADES'!B:B,Table28[[#This Row],[DESCRIPCIÓN ]],'MEMORIA CANTIDADES'!C:C,Table28[[#This Row],[UNIDAD]]),0)</f>
        <v>0</v>
      </c>
      <c r="E372" s="225">
        <f>+VLOOKUP(Table28[[#This Row],[DESCRIPCIÓN ]],INSUMOS!A:D,3,FALSE)</f>
        <v>279.93</v>
      </c>
      <c r="F372" s="225">
        <f>+Table28[[#This Row],[CANTIDAD]]*Table28[[#This Row],[VALOR UNITARIO]]</f>
        <v>0</v>
      </c>
    </row>
    <row r="373" spans="1:6" s="193" customFormat="1" hidden="1" x14ac:dyDescent="0.3">
      <c r="A373" s="193">
        <v>479</v>
      </c>
      <c r="B373" s="193" t="s">
        <v>439</v>
      </c>
      <c r="C373" s="193" t="s">
        <v>55</v>
      </c>
      <c r="D373" s="226">
        <f>+ROUNDUP(SUMIFS('MEMORIA CANTIDADES'!E:E,'MEMORIA CANTIDADES'!B:B,Table28[[#This Row],[DESCRIPCIÓN ]],'MEMORIA CANTIDADES'!C:C,Table28[[#This Row],[UNIDAD]]),0)</f>
        <v>0</v>
      </c>
      <c r="E373" s="225">
        <f>+VLOOKUP(Table28[[#This Row],[DESCRIPCIÓN ]],INSUMOS!A:D,3,FALSE)</f>
        <v>1537.17</v>
      </c>
      <c r="F373" s="225">
        <f>+Table28[[#This Row],[CANTIDAD]]*Table28[[#This Row],[VALOR UNITARIO]]</f>
        <v>0</v>
      </c>
    </row>
    <row r="374" spans="1:6" s="193" customFormat="1" hidden="1" x14ac:dyDescent="0.3">
      <c r="A374" s="193">
        <v>480</v>
      </c>
      <c r="B374" s="193" t="s">
        <v>440</v>
      </c>
      <c r="C374" s="193" t="s">
        <v>55</v>
      </c>
      <c r="D374" s="226">
        <f>+ROUNDUP(SUMIFS('MEMORIA CANTIDADES'!E:E,'MEMORIA CANTIDADES'!B:B,Table28[[#This Row],[DESCRIPCIÓN ]],'MEMORIA CANTIDADES'!C:C,Table28[[#This Row],[UNIDAD]]),0)</f>
        <v>0</v>
      </c>
      <c r="E374" s="225">
        <f>+VLOOKUP(Table28[[#This Row],[DESCRIPCIÓN ]],INSUMOS!A:D,3,FALSE)</f>
        <v>2150.79</v>
      </c>
      <c r="F374" s="225">
        <f>+Table28[[#This Row],[CANTIDAD]]*Table28[[#This Row],[VALOR UNITARIO]]</f>
        <v>0</v>
      </c>
    </row>
    <row r="375" spans="1:6" s="193" customFormat="1" hidden="1" x14ac:dyDescent="0.3">
      <c r="A375" s="193">
        <v>481</v>
      </c>
      <c r="B375" s="193" t="s">
        <v>441</v>
      </c>
      <c r="C375" s="193" t="s">
        <v>55</v>
      </c>
      <c r="D375" s="226">
        <f>+ROUNDUP(SUMIFS('MEMORIA CANTIDADES'!E:E,'MEMORIA CANTIDADES'!B:B,Table28[[#This Row],[DESCRIPCIÓN ]],'MEMORIA CANTIDADES'!C:C,Table28[[#This Row],[UNIDAD]]),0)</f>
        <v>0</v>
      </c>
      <c r="E375" s="225">
        <f>+VLOOKUP(Table28[[#This Row],[DESCRIPCIÓN ]],INSUMOS!A:D,3,FALSE)</f>
        <v>415.83</v>
      </c>
      <c r="F375" s="225">
        <f>+Table28[[#This Row],[CANTIDAD]]*Table28[[#This Row],[VALOR UNITARIO]]</f>
        <v>0</v>
      </c>
    </row>
    <row r="376" spans="1:6" s="193" customFormat="1" hidden="1" x14ac:dyDescent="0.3">
      <c r="A376" s="193">
        <v>482</v>
      </c>
      <c r="B376" s="193" t="s">
        <v>442</v>
      </c>
      <c r="C376" s="193" t="s">
        <v>55</v>
      </c>
      <c r="D376" s="226">
        <f>+ROUNDUP(SUMIFS('MEMORIA CANTIDADES'!E:E,'MEMORIA CANTIDADES'!B:B,Table28[[#This Row],[DESCRIPCIÓN ]],'MEMORIA CANTIDADES'!C:C,Table28[[#This Row],[UNIDAD]]),0)</f>
        <v>0</v>
      </c>
      <c r="E376" s="225">
        <f>+VLOOKUP(Table28[[#This Row],[DESCRIPCIÓN ]],INSUMOS!A:D,3,FALSE)</f>
        <v>341.76</v>
      </c>
      <c r="F376" s="225">
        <f>+Table28[[#This Row],[CANTIDAD]]*Table28[[#This Row],[VALOR UNITARIO]]</f>
        <v>0</v>
      </c>
    </row>
    <row r="377" spans="1:6" s="193" customFormat="1" hidden="1" x14ac:dyDescent="0.3">
      <c r="A377" s="193">
        <v>1200</v>
      </c>
      <c r="B377" s="193" t="s">
        <v>443</v>
      </c>
      <c r="C377" s="193" t="s">
        <v>55</v>
      </c>
      <c r="D377" s="226">
        <f>+ROUNDUP(SUMIFS('MEMORIA CANTIDADES'!E:E,'MEMORIA CANTIDADES'!B:B,Table28[[#This Row],[DESCRIPCIÓN ]],'MEMORIA CANTIDADES'!C:C,Table28[[#This Row],[UNIDAD]]),0)</f>
        <v>0</v>
      </c>
      <c r="E377" s="225">
        <f>+VLOOKUP(Table28[[#This Row],[DESCRIPCIÓN ]],INSUMOS!A:D,3,FALSE)</f>
        <v>83189.81</v>
      </c>
      <c r="F377" s="225">
        <f>+Table28[[#This Row],[CANTIDAD]]*Table28[[#This Row],[VALOR UNITARIO]]</f>
        <v>0</v>
      </c>
    </row>
    <row r="378" spans="1:6" s="193" customFormat="1" hidden="1" x14ac:dyDescent="0.3">
      <c r="A378" s="193">
        <v>1201</v>
      </c>
      <c r="B378" s="193" t="s">
        <v>444</v>
      </c>
      <c r="C378" s="193" t="s">
        <v>55</v>
      </c>
      <c r="D378" s="226">
        <f>+ROUNDUP(SUMIFS('MEMORIA CANTIDADES'!E:E,'MEMORIA CANTIDADES'!B:B,Table28[[#This Row],[DESCRIPCIÓN ]],'MEMORIA CANTIDADES'!C:C,Table28[[#This Row],[UNIDAD]]),0)</f>
        <v>0</v>
      </c>
      <c r="E378" s="225">
        <f>+VLOOKUP(Table28[[#This Row],[DESCRIPCIÓN ]],INSUMOS!A:D,3,FALSE)</f>
        <v>193187.98</v>
      </c>
      <c r="F378" s="225">
        <f>+Table28[[#This Row],[CANTIDAD]]*Table28[[#This Row],[VALOR UNITARIO]]</f>
        <v>0</v>
      </c>
    </row>
    <row r="379" spans="1:6" s="193" customFormat="1" ht="28.8" hidden="1" x14ac:dyDescent="0.3">
      <c r="A379" s="193">
        <v>1202</v>
      </c>
      <c r="B379" s="193" t="s">
        <v>445</v>
      </c>
      <c r="C379" s="193" t="s">
        <v>55</v>
      </c>
      <c r="D379" s="226">
        <f>+ROUNDUP(SUMIFS('MEMORIA CANTIDADES'!E:E,'MEMORIA CANTIDADES'!B:B,Table28[[#This Row],[DESCRIPCIÓN ]],'MEMORIA CANTIDADES'!C:C,Table28[[#This Row],[UNIDAD]]),0)</f>
        <v>0</v>
      </c>
      <c r="E379" s="225">
        <f>+VLOOKUP(Table28[[#This Row],[DESCRIPCIÓN ]],INSUMOS!A:D,3,FALSE)</f>
        <v>138026.68</v>
      </c>
      <c r="F379" s="225">
        <f>+Table28[[#This Row],[CANTIDAD]]*Table28[[#This Row],[VALOR UNITARIO]]</f>
        <v>0</v>
      </c>
    </row>
    <row r="380" spans="1:6" s="193" customFormat="1" hidden="1" x14ac:dyDescent="0.3">
      <c r="A380" s="193">
        <v>1203</v>
      </c>
      <c r="B380" s="193" t="s">
        <v>446</v>
      </c>
      <c r="C380" s="193" t="s">
        <v>55</v>
      </c>
      <c r="D380" s="226">
        <f>+ROUNDUP(SUMIFS('MEMORIA CANTIDADES'!E:E,'MEMORIA CANTIDADES'!B:B,Table28[[#This Row],[DESCRIPCIÓN ]],'MEMORIA CANTIDADES'!C:C,Table28[[#This Row],[UNIDAD]]),0)</f>
        <v>0</v>
      </c>
      <c r="E380" s="225">
        <f>+VLOOKUP(Table28[[#This Row],[DESCRIPCIÓN ]],INSUMOS!A:D,3,FALSE)</f>
        <v>130485.13</v>
      </c>
      <c r="F380" s="225">
        <f>+Table28[[#This Row],[CANTIDAD]]*Table28[[#This Row],[VALOR UNITARIO]]</f>
        <v>0</v>
      </c>
    </row>
    <row r="381" spans="1:6" s="193" customFormat="1" hidden="1" x14ac:dyDescent="0.3">
      <c r="A381" s="193">
        <v>1204</v>
      </c>
      <c r="B381" s="193" t="s">
        <v>447</v>
      </c>
      <c r="C381" s="193" t="s">
        <v>55</v>
      </c>
      <c r="D381" s="226">
        <f>+ROUNDUP(SUMIFS('MEMORIA CANTIDADES'!E:E,'MEMORIA CANTIDADES'!B:B,Table28[[#This Row],[DESCRIPCIÓN ]],'MEMORIA CANTIDADES'!C:C,Table28[[#This Row],[UNIDAD]]),0)</f>
        <v>0</v>
      </c>
      <c r="E381" s="225">
        <f>+VLOOKUP(Table28[[#This Row],[DESCRIPCIÓN ]],INSUMOS!A:D,3,FALSE)</f>
        <v>68151.929999999993</v>
      </c>
      <c r="F381" s="225">
        <f>+Table28[[#This Row],[CANTIDAD]]*Table28[[#This Row],[VALOR UNITARIO]]</f>
        <v>0</v>
      </c>
    </row>
    <row r="382" spans="1:6" s="193" customFormat="1" hidden="1" x14ac:dyDescent="0.3">
      <c r="A382" s="193">
        <v>1205</v>
      </c>
      <c r="B382" s="193" t="s">
        <v>448</v>
      </c>
      <c r="C382" s="193" t="s">
        <v>55</v>
      </c>
      <c r="D382" s="226">
        <f>+ROUNDUP(SUMIFS('MEMORIA CANTIDADES'!E:E,'MEMORIA CANTIDADES'!B:B,Table28[[#This Row],[DESCRIPCIÓN ]],'MEMORIA CANTIDADES'!C:C,Table28[[#This Row],[UNIDAD]]),0)</f>
        <v>0</v>
      </c>
      <c r="E382" s="225">
        <f>+VLOOKUP(Table28[[#This Row],[DESCRIPCIÓN ]],INSUMOS!A:D,3,FALSE)</f>
        <v>347212.79</v>
      </c>
      <c r="F382" s="225">
        <f>+Table28[[#This Row],[CANTIDAD]]*Table28[[#This Row],[VALOR UNITARIO]]</f>
        <v>0</v>
      </c>
    </row>
    <row r="383" spans="1:6" s="193" customFormat="1" hidden="1" x14ac:dyDescent="0.3">
      <c r="A383" s="193">
        <v>1206</v>
      </c>
      <c r="B383" s="193" t="s">
        <v>449</v>
      </c>
      <c r="C383" s="193" t="s">
        <v>55</v>
      </c>
      <c r="D383" s="226">
        <f>+ROUNDUP(SUMIFS('MEMORIA CANTIDADES'!E:E,'MEMORIA CANTIDADES'!B:B,Table28[[#This Row],[DESCRIPCIÓN ]],'MEMORIA CANTIDADES'!C:C,Table28[[#This Row],[UNIDAD]]),0)</f>
        <v>0</v>
      </c>
      <c r="E383" s="225">
        <f>+VLOOKUP(Table28[[#This Row],[DESCRIPCIÓN ]],INSUMOS!A:D,3,FALSE)</f>
        <v>82650.259999999995</v>
      </c>
      <c r="F383" s="225">
        <f>+Table28[[#This Row],[CANTIDAD]]*Table28[[#This Row],[VALOR UNITARIO]]</f>
        <v>0</v>
      </c>
    </row>
    <row r="384" spans="1:6" s="193" customFormat="1" ht="28.8" hidden="1" x14ac:dyDescent="0.3">
      <c r="A384" s="193">
        <v>45</v>
      </c>
      <c r="B384" s="193" t="s">
        <v>450</v>
      </c>
      <c r="C384" s="193" t="s">
        <v>2145</v>
      </c>
      <c r="D384" s="226">
        <f>+ROUNDUP(SUMIFS('MEMORIA CANTIDADES'!E:E,'MEMORIA CANTIDADES'!B:B,Table28[[#This Row],[DESCRIPCIÓN ]],'MEMORIA CANTIDADES'!C:C,Table28[[#This Row],[UNIDAD]]),0)</f>
        <v>0</v>
      </c>
      <c r="E384" s="225">
        <f>+VLOOKUP(Table28[[#This Row],[DESCRIPCIÓN ]],INSUMOS!A:D,3,FALSE)</f>
        <v>5054.87</v>
      </c>
      <c r="F384" s="225">
        <f>+Table28[[#This Row],[CANTIDAD]]*Table28[[#This Row],[VALOR UNITARIO]]</f>
        <v>0</v>
      </c>
    </row>
    <row r="385" spans="1:6" s="193" customFormat="1" ht="28.8" hidden="1" x14ac:dyDescent="0.3">
      <c r="A385" s="193">
        <v>46</v>
      </c>
      <c r="B385" s="193" t="s">
        <v>451</v>
      </c>
      <c r="C385" s="193" t="s">
        <v>2145</v>
      </c>
      <c r="D385" s="226">
        <f>+ROUNDUP(SUMIFS('MEMORIA CANTIDADES'!E:E,'MEMORIA CANTIDADES'!B:B,Table28[[#This Row],[DESCRIPCIÓN ]],'MEMORIA CANTIDADES'!C:C,Table28[[#This Row],[UNIDAD]]),0)</f>
        <v>0</v>
      </c>
      <c r="E385" s="225">
        <f>+VLOOKUP(Table28[[#This Row],[DESCRIPCIÓN ]],INSUMOS!A:D,3,FALSE)</f>
        <v>5445.96</v>
      </c>
      <c r="F385" s="225">
        <f>+Table28[[#This Row],[CANTIDAD]]*Table28[[#This Row],[VALOR UNITARIO]]</f>
        <v>0</v>
      </c>
    </row>
    <row r="386" spans="1:6" s="193" customFormat="1" ht="28.8" hidden="1" x14ac:dyDescent="0.3">
      <c r="A386" s="193">
        <v>1216</v>
      </c>
      <c r="B386" s="193" t="s">
        <v>2228</v>
      </c>
      <c r="C386" s="193" t="s">
        <v>1272</v>
      </c>
      <c r="D386" s="226">
        <f>+ROUNDUP(SUMIFS('MEMORIA CANTIDADES'!E:E,'MEMORIA CANTIDADES'!B:B,Table28[[#This Row],[DESCRIPCIÓN ]],'MEMORIA CANTIDADES'!C:C,Table28[[#This Row],[UNIDAD]]),0)</f>
        <v>0</v>
      </c>
      <c r="E386" s="225" t="e">
        <f>+VLOOKUP(Table28[[#This Row],[DESCRIPCIÓN ]],INSUMOS!A:D,3,FALSE)</f>
        <v>#N/A</v>
      </c>
      <c r="F386" s="225" t="e">
        <f>+Table28[[#This Row],[CANTIDAD]]*Table28[[#This Row],[VALOR UNITARIO]]</f>
        <v>#N/A</v>
      </c>
    </row>
    <row r="387" spans="1:6" s="193" customFormat="1" hidden="1" x14ac:dyDescent="0.3">
      <c r="A387" s="193">
        <v>483</v>
      </c>
      <c r="B387" s="193" t="s">
        <v>452</v>
      </c>
      <c r="C387" s="193" t="s">
        <v>55</v>
      </c>
      <c r="D387" s="226">
        <f>+ROUNDUP(SUMIFS('MEMORIA CANTIDADES'!E:E,'MEMORIA CANTIDADES'!B:B,Table28[[#This Row],[DESCRIPCIÓN ]],'MEMORIA CANTIDADES'!C:C,Table28[[#This Row],[UNIDAD]]),0)</f>
        <v>0</v>
      </c>
      <c r="E387" s="225">
        <f>+VLOOKUP(Table28[[#This Row],[DESCRIPCIÓN ]],INSUMOS!A:D,3,FALSE)</f>
        <v>4144.87</v>
      </c>
      <c r="F387" s="225">
        <f>+Table28[[#This Row],[CANTIDAD]]*Table28[[#This Row],[VALOR UNITARIO]]</f>
        <v>0</v>
      </c>
    </row>
    <row r="388" spans="1:6" s="193" customFormat="1" hidden="1" x14ac:dyDescent="0.3">
      <c r="A388" s="193">
        <v>484</v>
      </c>
      <c r="B388" s="193" t="s">
        <v>453</v>
      </c>
      <c r="C388" s="193" t="s">
        <v>55</v>
      </c>
      <c r="D388" s="226">
        <f>+ROUNDUP(SUMIFS('MEMORIA CANTIDADES'!E:E,'MEMORIA CANTIDADES'!B:B,Table28[[#This Row],[DESCRIPCIÓN ]],'MEMORIA CANTIDADES'!C:C,Table28[[#This Row],[UNIDAD]]),0)</f>
        <v>0</v>
      </c>
      <c r="E388" s="225">
        <f>+VLOOKUP(Table28[[#This Row],[DESCRIPCIÓN ]],INSUMOS!A:D,3,FALSE)</f>
        <v>8117.02</v>
      </c>
      <c r="F388" s="225">
        <f>+Table28[[#This Row],[CANTIDAD]]*Table28[[#This Row],[VALOR UNITARIO]]</f>
        <v>0</v>
      </c>
    </row>
    <row r="389" spans="1:6" s="193" customFormat="1" hidden="1" x14ac:dyDescent="0.3">
      <c r="A389" s="193">
        <v>485</v>
      </c>
      <c r="B389" s="193" t="s">
        <v>454</v>
      </c>
      <c r="C389" s="193" t="s">
        <v>55</v>
      </c>
      <c r="D389" s="226">
        <f>+ROUNDUP(SUMIFS('MEMORIA CANTIDADES'!E:E,'MEMORIA CANTIDADES'!B:B,Table28[[#This Row],[DESCRIPCIÓN ]],'MEMORIA CANTIDADES'!C:C,Table28[[#This Row],[UNIDAD]]),0)</f>
        <v>0</v>
      </c>
      <c r="E389" s="225">
        <f>+VLOOKUP(Table28[[#This Row],[DESCRIPCIÓN ]],INSUMOS!A:D,3,FALSE)</f>
        <v>3760.99</v>
      </c>
      <c r="F389" s="225">
        <f>+Table28[[#This Row],[CANTIDAD]]*Table28[[#This Row],[VALOR UNITARIO]]</f>
        <v>0</v>
      </c>
    </row>
    <row r="390" spans="1:6" s="193" customFormat="1" hidden="1" x14ac:dyDescent="0.3">
      <c r="A390" s="193">
        <v>486</v>
      </c>
      <c r="B390" s="193" t="s">
        <v>455</v>
      </c>
      <c r="C390" s="193" t="s">
        <v>55</v>
      </c>
      <c r="D390" s="226">
        <f>+ROUNDUP(SUMIFS('MEMORIA CANTIDADES'!E:E,'MEMORIA CANTIDADES'!B:B,Table28[[#This Row],[DESCRIPCIÓN ]],'MEMORIA CANTIDADES'!C:C,Table28[[#This Row],[UNIDAD]]),0)</f>
        <v>0</v>
      </c>
      <c r="E390" s="225">
        <f>+VLOOKUP(Table28[[#This Row],[DESCRIPCIÓN ]],INSUMOS!A:D,3,FALSE)</f>
        <v>27110.98</v>
      </c>
      <c r="F390" s="225">
        <f>+Table28[[#This Row],[CANTIDAD]]*Table28[[#This Row],[VALOR UNITARIO]]</f>
        <v>0</v>
      </c>
    </row>
    <row r="391" spans="1:6" s="193" customFormat="1" hidden="1" x14ac:dyDescent="0.3">
      <c r="A391" s="193">
        <v>487</v>
      </c>
      <c r="B391" s="193" t="s">
        <v>456</v>
      </c>
      <c r="C391" s="193" t="s">
        <v>55</v>
      </c>
      <c r="D391" s="226">
        <f>+ROUNDUP(SUMIFS('MEMORIA CANTIDADES'!E:E,'MEMORIA CANTIDADES'!B:B,Table28[[#This Row],[DESCRIPCIÓN ]],'MEMORIA CANTIDADES'!C:C,Table28[[#This Row],[UNIDAD]]),0)</f>
        <v>0</v>
      </c>
      <c r="E391" s="225">
        <f>+VLOOKUP(Table28[[#This Row],[DESCRIPCIÓN ]],INSUMOS!A:D,3,FALSE)</f>
        <v>30979.360000000001</v>
      </c>
      <c r="F391" s="225">
        <f>+Table28[[#This Row],[CANTIDAD]]*Table28[[#This Row],[VALOR UNITARIO]]</f>
        <v>0</v>
      </c>
    </row>
    <row r="392" spans="1:6" s="193" customFormat="1" ht="28.8" hidden="1" x14ac:dyDescent="0.3">
      <c r="A392" s="193">
        <v>488</v>
      </c>
      <c r="B392" s="193" t="s">
        <v>457</v>
      </c>
      <c r="C392" s="193" t="s">
        <v>55</v>
      </c>
      <c r="D392" s="226">
        <f>+ROUNDUP(SUMIFS('MEMORIA CANTIDADES'!E:E,'MEMORIA CANTIDADES'!B:B,Table28[[#This Row],[DESCRIPCIÓN ]],'MEMORIA CANTIDADES'!C:C,Table28[[#This Row],[UNIDAD]]),0)</f>
        <v>0</v>
      </c>
      <c r="E392" s="225">
        <f>+VLOOKUP(Table28[[#This Row],[DESCRIPCIÓN ]],INSUMOS!A:D,3,FALSE)</f>
        <v>30128.36</v>
      </c>
      <c r="F392" s="225">
        <f>+Table28[[#This Row],[CANTIDAD]]*Table28[[#This Row],[VALOR UNITARIO]]</f>
        <v>0</v>
      </c>
    </row>
    <row r="393" spans="1:6" s="193" customFormat="1" hidden="1" x14ac:dyDescent="0.3">
      <c r="A393" s="193">
        <v>489</v>
      </c>
      <c r="B393" s="193" t="s">
        <v>458</v>
      </c>
      <c r="C393" s="193" t="s">
        <v>55</v>
      </c>
      <c r="D393" s="226">
        <f>+ROUNDUP(SUMIFS('MEMORIA CANTIDADES'!E:E,'MEMORIA CANTIDADES'!B:B,Table28[[#This Row],[DESCRIPCIÓN ]],'MEMORIA CANTIDADES'!C:C,Table28[[#This Row],[UNIDAD]]),0)</f>
        <v>0</v>
      </c>
      <c r="E393" s="225">
        <f>+VLOOKUP(Table28[[#This Row],[DESCRIPCIÓN ]],INSUMOS!A:D,3,FALSE)</f>
        <v>5451.65</v>
      </c>
      <c r="F393" s="225">
        <f>+Table28[[#This Row],[CANTIDAD]]*Table28[[#This Row],[VALOR UNITARIO]]</f>
        <v>0</v>
      </c>
    </row>
    <row r="394" spans="1:6" s="193" customFormat="1" hidden="1" x14ac:dyDescent="0.3">
      <c r="A394" s="193">
        <v>490</v>
      </c>
      <c r="B394" s="193" t="s">
        <v>459</v>
      </c>
      <c r="C394" s="193" t="s">
        <v>55</v>
      </c>
      <c r="D394" s="226">
        <f>+ROUNDUP(SUMIFS('MEMORIA CANTIDADES'!E:E,'MEMORIA CANTIDADES'!B:B,Table28[[#This Row],[DESCRIPCIÓN ]],'MEMORIA CANTIDADES'!C:C,Table28[[#This Row],[UNIDAD]]),0)</f>
        <v>0</v>
      </c>
      <c r="E394" s="225">
        <f>+VLOOKUP(Table28[[#This Row],[DESCRIPCIÓN ]],INSUMOS!A:D,3,FALSE)</f>
        <v>9607.4500000000007</v>
      </c>
      <c r="F394" s="225">
        <f>+Table28[[#This Row],[CANTIDAD]]*Table28[[#This Row],[VALOR UNITARIO]]</f>
        <v>0</v>
      </c>
    </row>
    <row r="395" spans="1:6" s="193" customFormat="1" hidden="1" x14ac:dyDescent="0.3">
      <c r="A395" s="193">
        <v>491</v>
      </c>
      <c r="B395" s="193" t="s">
        <v>460</v>
      </c>
      <c r="C395" s="193" t="s">
        <v>55</v>
      </c>
      <c r="D395" s="226">
        <f>+ROUNDUP(SUMIFS('MEMORIA CANTIDADES'!E:E,'MEMORIA CANTIDADES'!B:B,Table28[[#This Row],[DESCRIPCIÓN ]],'MEMORIA CANTIDADES'!C:C,Table28[[#This Row],[UNIDAD]]),0)</f>
        <v>0</v>
      </c>
      <c r="E395" s="225">
        <f>+VLOOKUP(Table28[[#This Row],[DESCRIPCIÓN ]],INSUMOS!A:D,3,FALSE)</f>
        <v>12353.62</v>
      </c>
      <c r="F395" s="225">
        <f>+Table28[[#This Row],[CANTIDAD]]*Table28[[#This Row],[VALOR UNITARIO]]</f>
        <v>0</v>
      </c>
    </row>
    <row r="396" spans="1:6" s="193" customFormat="1" hidden="1" x14ac:dyDescent="0.3">
      <c r="A396" s="193">
        <v>492</v>
      </c>
      <c r="B396" s="193" t="s">
        <v>461</v>
      </c>
      <c r="C396" s="193" t="s">
        <v>55</v>
      </c>
      <c r="D396" s="226">
        <f>+ROUNDUP(SUMIFS('MEMORIA CANTIDADES'!E:E,'MEMORIA CANTIDADES'!B:B,Table28[[#This Row],[DESCRIPCIÓN ]],'MEMORIA CANTIDADES'!C:C,Table28[[#This Row],[UNIDAD]]),0)</f>
        <v>0</v>
      </c>
      <c r="E396" s="225">
        <f>+VLOOKUP(Table28[[#This Row],[DESCRIPCIÓN ]],INSUMOS!A:D,3,FALSE)</f>
        <v>18425.5</v>
      </c>
      <c r="F396" s="225">
        <f>+Table28[[#This Row],[CANTIDAD]]*Table28[[#This Row],[VALOR UNITARIO]]</f>
        <v>0</v>
      </c>
    </row>
    <row r="397" spans="1:6" s="193" customFormat="1" hidden="1" x14ac:dyDescent="0.3">
      <c r="A397" s="193">
        <v>493</v>
      </c>
      <c r="B397" s="193" t="s">
        <v>462</v>
      </c>
      <c r="C397" s="193" t="s">
        <v>55</v>
      </c>
      <c r="D397" s="226">
        <f>+ROUNDUP(SUMIFS('MEMORIA CANTIDADES'!E:E,'MEMORIA CANTIDADES'!B:B,Table28[[#This Row],[DESCRIPCIÓN ]],'MEMORIA CANTIDADES'!C:C,Table28[[#This Row],[UNIDAD]]),0)</f>
        <v>0</v>
      </c>
      <c r="E397" s="225">
        <f>+VLOOKUP(Table28[[#This Row],[DESCRIPCIÓN ]],INSUMOS!A:D,3,FALSE)</f>
        <v>20768.37</v>
      </c>
      <c r="F397" s="225">
        <f>+Table28[[#This Row],[CANTIDAD]]*Table28[[#This Row],[VALOR UNITARIO]]</f>
        <v>0</v>
      </c>
    </row>
    <row r="398" spans="1:6" s="193" customFormat="1" ht="28.8" hidden="1" x14ac:dyDescent="0.3">
      <c r="A398" s="193">
        <v>780</v>
      </c>
      <c r="B398" s="193" t="s">
        <v>463</v>
      </c>
      <c r="C398" s="193" t="s">
        <v>55</v>
      </c>
      <c r="D398" s="226">
        <f>+ROUNDUP(SUMIFS('MEMORIA CANTIDADES'!E:E,'MEMORIA CANTIDADES'!B:B,Table28[[#This Row],[DESCRIPCIÓN ]],'MEMORIA CANTIDADES'!C:C,Table28[[#This Row],[UNIDAD]]),0)</f>
        <v>0</v>
      </c>
      <c r="E398" s="225">
        <f>+VLOOKUP(Table28[[#This Row],[DESCRIPCIÓN ]],INSUMOS!A:D,3,FALSE)</f>
        <v>9836.8799999999992</v>
      </c>
      <c r="F398" s="225">
        <f>+Table28[[#This Row],[CANTIDAD]]*Table28[[#This Row],[VALOR UNITARIO]]</f>
        <v>0</v>
      </c>
    </row>
    <row r="399" spans="1:6" s="193" customFormat="1" ht="28.8" hidden="1" x14ac:dyDescent="0.3">
      <c r="A399" s="193">
        <v>781</v>
      </c>
      <c r="B399" s="193" t="s">
        <v>464</v>
      </c>
      <c r="C399" s="193" t="s">
        <v>55</v>
      </c>
      <c r="D399" s="226">
        <f>+ROUNDUP(SUMIFS('MEMORIA CANTIDADES'!E:E,'MEMORIA CANTIDADES'!B:B,Table28[[#This Row],[DESCRIPCIÓN ]],'MEMORIA CANTIDADES'!C:C,Table28[[#This Row],[UNIDAD]]),0)</f>
        <v>0</v>
      </c>
      <c r="E399" s="225">
        <f>+VLOOKUP(Table28[[#This Row],[DESCRIPCIÓN ]],INSUMOS!A:D,3,FALSE)</f>
        <v>16908.490000000002</v>
      </c>
      <c r="F399" s="225">
        <f>+Table28[[#This Row],[CANTIDAD]]*Table28[[#This Row],[VALOR UNITARIO]]</f>
        <v>0</v>
      </c>
    </row>
    <row r="400" spans="1:6" s="193" customFormat="1" ht="28.8" hidden="1" x14ac:dyDescent="0.3">
      <c r="A400" s="193">
        <v>783</v>
      </c>
      <c r="B400" s="193" t="s">
        <v>465</v>
      </c>
      <c r="C400" s="193" t="s">
        <v>55</v>
      </c>
      <c r="D400" s="226">
        <f>+ROUNDUP(SUMIFS('MEMORIA CANTIDADES'!E:E,'MEMORIA CANTIDADES'!B:B,Table28[[#This Row],[DESCRIPCIÓN ]],'MEMORIA CANTIDADES'!C:C,Table28[[#This Row],[UNIDAD]]),0)</f>
        <v>0</v>
      </c>
      <c r="E400" s="225">
        <f>+VLOOKUP(Table28[[#This Row],[DESCRIPCIÓN ]],INSUMOS!A:D,3,FALSE)</f>
        <v>33581.519999999997</v>
      </c>
      <c r="F400" s="225">
        <f>+Table28[[#This Row],[CANTIDAD]]*Table28[[#This Row],[VALOR UNITARIO]]</f>
        <v>0</v>
      </c>
    </row>
    <row r="401" spans="1:6" s="193" customFormat="1" ht="28.8" hidden="1" x14ac:dyDescent="0.3">
      <c r="A401" s="193">
        <v>785</v>
      </c>
      <c r="B401" s="193" t="s">
        <v>466</v>
      </c>
      <c r="C401" s="193" t="s">
        <v>55</v>
      </c>
      <c r="D401" s="226">
        <f>+ROUNDUP(SUMIFS('MEMORIA CANTIDADES'!E:E,'MEMORIA CANTIDADES'!B:B,Table28[[#This Row],[DESCRIPCIÓN ]],'MEMORIA CANTIDADES'!C:C,Table28[[#This Row],[UNIDAD]]),0)</f>
        <v>0</v>
      </c>
      <c r="E401" s="225">
        <f>+VLOOKUP(Table28[[#This Row],[DESCRIPCIÓN ]],INSUMOS!A:D,3,FALSE)</f>
        <v>15026.62</v>
      </c>
      <c r="F401" s="225">
        <f>+Table28[[#This Row],[CANTIDAD]]*Table28[[#This Row],[VALOR UNITARIO]]</f>
        <v>0</v>
      </c>
    </row>
    <row r="402" spans="1:6" s="193" customFormat="1" ht="28.8" hidden="1" x14ac:dyDescent="0.3">
      <c r="A402" s="193">
        <v>787</v>
      </c>
      <c r="B402" s="193" t="s">
        <v>467</v>
      </c>
      <c r="C402" s="193" t="s">
        <v>55</v>
      </c>
      <c r="D402" s="226">
        <f>+ROUNDUP(SUMIFS('MEMORIA CANTIDADES'!E:E,'MEMORIA CANTIDADES'!B:B,Table28[[#This Row],[DESCRIPCIÓN ]],'MEMORIA CANTIDADES'!C:C,Table28[[#This Row],[UNIDAD]]),0)</f>
        <v>0</v>
      </c>
      <c r="E402" s="225">
        <f>+VLOOKUP(Table28[[#This Row],[DESCRIPCIÓN ]],INSUMOS!A:D,3,FALSE)</f>
        <v>12966.37</v>
      </c>
      <c r="F402" s="225">
        <f>+Table28[[#This Row],[CANTIDAD]]*Table28[[#This Row],[VALOR UNITARIO]]</f>
        <v>0</v>
      </c>
    </row>
    <row r="403" spans="1:6" s="193" customFormat="1" ht="28.8" hidden="1" x14ac:dyDescent="0.3">
      <c r="A403" s="193">
        <v>790</v>
      </c>
      <c r="B403" s="193" t="s">
        <v>468</v>
      </c>
      <c r="C403" s="193" t="s">
        <v>55</v>
      </c>
      <c r="D403" s="226">
        <f>+ROUNDUP(SUMIFS('MEMORIA CANTIDADES'!E:E,'MEMORIA CANTIDADES'!B:B,Table28[[#This Row],[DESCRIPCIÓN ]],'MEMORIA CANTIDADES'!C:C,Table28[[#This Row],[UNIDAD]]),0)</f>
        <v>0</v>
      </c>
      <c r="E403" s="225">
        <f>+VLOOKUP(Table28[[#This Row],[DESCRIPCIÓN ]],INSUMOS!A:D,3,FALSE)</f>
        <v>28988.13</v>
      </c>
      <c r="F403" s="225">
        <f>+Table28[[#This Row],[CANTIDAD]]*Table28[[#This Row],[VALOR UNITARIO]]</f>
        <v>0</v>
      </c>
    </row>
    <row r="404" spans="1:6" s="193" customFormat="1" ht="28.8" hidden="1" x14ac:dyDescent="0.3">
      <c r="A404" s="193">
        <v>494</v>
      </c>
      <c r="B404" s="193" t="s">
        <v>469</v>
      </c>
      <c r="C404" s="193" t="s">
        <v>55</v>
      </c>
      <c r="D404" s="226">
        <f>+ROUNDUP(SUMIFS('MEMORIA CANTIDADES'!E:E,'MEMORIA CANTIDADES'!B:B,Table28[[#This Row],[DESCRIPCIÓN ]],'MEMORIA CANTIDADES'!C:C,Table28[[#This Row],[UNIDAD]]),0)</f>
        <v>0</v>
      </c>
      <c r="E404" s="225">
        <f>+VLOOKUP(Table28[[#This Row],[DESCRIPCIÓN ]],INSUMOS!A:D,3,FALSE)</f>
        <v>96263.92</v>
      </c>
      <c r="F404" s="225">
        <f>+Table28[[#This Row],[CANTIDAD]]*Table28[[#This Row],[VALOR UNITARIO]]</f>
        <v>0</v>
      </c>
    </row>
    <row r="405" spans="1:6" s="193" customFormat="1" ht="28.8" hidden="1" x14ac:dyDescent="0.3">
      <c r="A405" s="193">
        <v>495</v>
      </c>
      <c r="B405" s="193" t="s">
        <v>470</v>
      </c>
      <c r="C405" s="193" t="s">
        <v>55</v>
      </c>
      <c r="D405" s="226">
        <f>+ROUNDUP(SUMIFS('MEMORIA CANTIDADES'!E:E,'MEMORIA CANTIDADES'!B:B,Table28[[#This Row],[DESCRIPCIÓN ]],'MEMORIA CANTIDADES'!C:C,Table28[[#This Row],[UNIDAD]]),0)</f>
        <v>0</v>
      </c>
      <c r="E405" s="225">
        <f>+VLOOKUP(Table28[[#This Row],[DESCRIPCIÓN ]],INSUMOS!A:D,3,FALSE)</f>
        <v>52190.79</v>
      </c>
      <c r="F405" s="225">
        <f>+Table28[[#This Row],[CANTIDAD]]*Table28[[#This Row],[VALOR UNITARIO]]</f>
        <v>0</v>
      </c>
    </row>
    <row r="406" spans="1:6" s="193" customFormat="1" hidden="1" x14ac:dyDescent="0.3">
      <c r="A406" s="193">
        <v>496</v>
      </c>
      <c r="B406" s="193" t="s">
        <v>471</v>
      </c>
      <c r="C406" s="193" t="s">
        <v>55</v>
      </c>
      <c r="D406" s="226">
        <f>+ROUNDUP(SUMIFS('MEMORIA CANTIDADES'!E:E,'MEMORIA CANTIDADES'!B:B,Table28[[#This Row],[DESCRIPCIÓN ]],'MEMORIA CANTIDADES'!C:C,Table28[[#This Row],[UNIDAD]]),0)</f>
        <v>0</v>
      </c>
      <c r="E406" s="225">
        <f>+VLOOKUP(Table28[[#This Row],[DESCRIPCIÓN ]],INSUMOS!A:D,3,FALSE)</f>
        <v>31597.49</v>
      </c>
      <c r="F406" s="225">
        <f>+Table28[[#This Row],[CANTIDAD]]*Table28[[#This Row],[VALOR UNITARIO]]</f>
        <v>0</v>
      </c>
    </row>
    <row r="407" spans="1:6" s="193" customFormat="1" hidden="1" x14ac:dyDescent="0.3">
      <c r="A407" s="193">
        <v>497</v>
      </c>
      <c r="B407" s="193" t="s">
        <v>472</v>
      </c>
      <c r="C407" s="193" t="s">
        <v>55</v>
      </c>
      <c r="D407" s="226">
        <f>+ROUNDUP(SUMIFS('MEMORIA CANTIDADES'!E:E,'MEMORIA CANTIDADES'!B:B,Table28[[#This Row],[DESCRIPCIÓN ]],'MEMORIA CANTIDADES'!C:C,Table28[[#This Row],[UNIDAD]]),0)</f>
        <v>0</v>
      </c>
      <c r="E407" s="225">
        <f>+VLOOKUP(Table28[[#This Row],[DESCRIPCIÓN ]],INSUMOS!A:D,3,FALSE)</f>
        <v>2556.2800000000002</v>
      </c>
      <c r="F407" s="225">
        <f>+Table28[[#This Row],[CANTIDAD]]*Table28[[#This Row],[VALOR UNITARIO]]</f>
        <v>0</v>
      </c>
    </row>
    <row r="408" spans="1:6" s="193" customFormat="1" hidden="1" x14ac:dyDescent="0.3">
      <c r="A408" s="193">
        <v>498</v>
      </c>
      <c r="B408" s="193" t="s">
        <v>473</v>
      </c>
      <c r="C408" s="193" t="s">
        <v>55</v>
      </c>
      <c r="D408" s="226">
        <f>+ROUNDUP(SUMIFS('MEMORIA CANTIDADES'!E:E,'MEMORIA CANTIDADES'!B:B,Table28[[#This Row],[DESCRIPCIÓN ]],'MEMORIA CANTIDADES'!C:C,Table28[[#This Row],[UNIDAD]]),0)</f>
        <v>0</v>
      </c>
      <c r="E408" s="225">
        <f>+VLOOKUP(Table28[[#This Row],[DESCRIPCIÓN ]],INSUMOS!A:D,3,FALSE)</f>
        <v>2478.41</v>
      </c>
      <c r="F408" s="225">
        <f>+Table28[[#This Row],[CANTIDAD]]*Table28[[#This Row],[VALOR UNITARIO]]</f>
        <v>0</v>
      </c>
    </row>
    <row r="409" spans="1:6" s="193" customFormat="1" hidden="1" x14ac:dyDescent="0.3">
      <c r="A409" s="193">
        <v>499</v>
      </c>
      <c r="B409" s="193" t="s">
        <v>474</v>
      </c>
      <c r="C409" s="193" t="s">
        <v>55</v>
      </c>
      <c r="D409" s="226">
        <f>+ROUNDUP(SUMIFS('MEMORIA CANTIDADES'!E:E,'MEMORIA CANTIDADES'!B:B,Table28[[#This Row],[DESCRIPCIÓN ]],'MEMORIA CANTIDADES'!C:C,Table28[[#This Row],[UNIDAD]]),0)</f>
        <v>0</v>
      </c>
      <c r="E409" s="225">
        <f>+VLOOKUP(Table28[[#This Row],[DESCRIPCIÓN ]],INSUMOS!A:D,3,FALSE)</f>
        <v>4663.3900000000003</v>
      </c>
      <c r="F409" s="225">
        <f>+Table28[[#This Row],[CANTIDAD]]*Table28[[#This Row],[VALOR UNITARIO]]</f>
        <v>0</v>
      </c>
    </row>
    <row r="410" spans="1:6" s="193" customFormat="1" hidden="1" x14ac:dyDescent="0.3">
      <c r="A410" s="193">
        <v>500</v>
      </c>
      <c r="B410" s="193" t="s">
        <v>475</v>
      </c>
      <c r="C410" s="193" t="s">
        <v>55</v>
      </c>
      <c r="D410" s="226">
        <f>+ROUNDUP(SUMIFS('MEMORIA CANTIDADES'!E:E,'MEMORIA CANTIDADES'!B:B,Table28[[#This Row],[DESCRIPCIÓN ]],'MEMORIA CANTIDADES'!C:C,Table28[[#This Row],[UNIDAD]]),0)</f>
        <v>0</v>
      </c>
      <c r="E410" s="225">
        <f>+VLOOKUP(Table28[[#This Row],[DESCRIPCIÓN ]],INSUMOS!A:D,3,FALSE)</f>
        <v>2994.39</v>
      </c>
      <c r="F410" s="225">
        <f>+Table28[[#This Row],[CANTIDAD]]*Table28[[#This Row],[VALOR UNITARIO]]</f>
        <v>0</v>
      </c>
    </row>
    <row r="411" spans="1:6" s="193" customFormat="1" hidden="1" x14ac:dyDescent="0.3">
      <c r="A411" s="193">
        <v>501</v>
      </c>
      <c r="B411" s="193" t="s">
        <v>476</v>
      </c>
      <c r="C411" s="193" t="s">
        <v>55</v>
      </c>
      <c r="D411" s="226">
        <f>+ROUNDUP(SUMIFS('MEMORIA CANTIDADES'!E:E,'MEMORIA CANTIDADES'!B:B,Table28[[#This Row],[DESCRIPCIÓN ]],'MEMORIA CANTIDADES'!C:C,Table28[[#This Row],[UNIDAD]]),0)</f>
        <v>0</v>
      </c>
      <c r="E411" s="225">
        <f>+VLOOKUP(Table28[[#This Row],[DESCRIPCIÓN ]],INSUMOS!A:D,3,FALSE)</f>
        <v>4233.3999999999996</v>
      </c>
      <c r="F411" s="225">
        <f>+Table28[[#This Row],[CANTIDAD]]*Table28[[#This Row],[VALOR UNITARIO]]</f>
        <v>0</v>
      </c>
    </row>
    <row r="412" spans="1:6" s="193" customFormat="1" ht="28.8" hidden="1" x14ac:dyDescent="0.3">
      <c r="A412" s="193">
        <v>502</v>
      </c>
      <c r="B412" s="193" t="s">
        <v>477</v>
      </c>
      <c r="C412" s="193" t="s">
        <v>55</v>
      </c>
      <c r="D412" s="226">
        <f>+ROUNDUP(SUMIFS('MEMORIA CANTIDADES'!E:E,'MEMORIA CANTIDADES'!B:B,Table28[[#This Row],[DESCRIPCIÓN ]],'MEMORIA CANTIDADES'!C:C,Table28[[#This Row],[UNIDAD]]),0)</f>
        <v>0</v>
      </c>
      <c r="E412" s="225">
        <f>+VLOOKUP(Table28[[#This Row],[DESCRIPCIÓN ]],INSUMOS!A:D,3,FALSE)</f>
        <v>10722.79</v>
      </c>
      <c r="F412" s="225">
        <f>+Table28[[#This Row],[CANTIDAD]]*Table28[[#This Row],[VALOR UNITARIO]]</f>
        <v>0</v>
      </c>
    </row>
    <row r="413" spans="1:6" s="193" customFormat="1" ht="28.8" hidden="1" x14ac:dyDescent="0.3">
      <c r="A413" s="193">
        <v>503</v>
      </c>
      <c r="B413" s="193" t="s">
        <v>478</v>
      </c>
      <c r="C413" s="193" t="s">
        <v>55</v>
      </c>
      <c r="D413" s="226">
        <f>+ROUNDUP(SUMIFS('MEMORIA CANTIDADES'!E:E,'MEMORIA CANTIDADES'!B:B,Table28[[#This Row],[DESCRIPCIÓN ]],'MEMORIA CANTIDADES'!C:C,Table28[[#This Row],[UNIDAD]]),0)</f>
        <v>0</v>
      </c>
      <c r="E413" s="225">
        <f>+VLOOKUP(Table28[[#This Row],[DESCRIPCIÓN ]],INSUMOS!A:D,3,FALSE)</f>
        <v>11811.48</v>
      </c>
      <c r="F413" s="225">
        <f>+Table28[[#This Row],[CANTIDAD]]*Table28[[#This Row],[VALOR UNITARIO]]</f>
        <v>0</v>
      </c>
    </row>
    <row r="414" spans="1:6" s="193" customFormat="1" ht="28.8" hidden="1" x14ac:dyDescent="0.3">
      <c r="A414" s="193">
        <v>504</v>
      </c>
      <c r="B414" s="193" t="s">
        <v>479</v>
      </c>
      <c r="C414" s="193" t="s">
        <v>55</v>
      </c>
      <c r="D414" s="226">
        <f>+ROUNDUP(SUMIFS('MEMORIA CANTIDADES'!E:E,'MEMORIA CANTIDADES'!B:B,Table28[[#This Row],[DESCRIPCIÓN ]],'MEMORIA CANTIDADES'!C:C,Table28[[#This Row],[UNIDAD]]),0)</f>
        <v>0</v>
      </c>
      <c r="E414" s="225">
        <f>+VLOOKUP(Table28[[#This Row],[DESCRIPCIÓN ]],INSUMOS!A:D,3,FALSE)</f>
        <v>10697.01</v>
      </c>
      <c r="F414" s="225">
        <f>+Table28[[#This Row],[CANTIDAD]]*Table28[[#This Row],[VALOR UNITARIO]]</f>
        <v>0</v>
      </c>
    </row>
    <row r="415" spans="1:6" s="193" customFormat="1" ht="28.8" hidden="1" x14ac:dyDescent="0.3">
      <c r="A415" s="193">
        <v>505</v>
      </c>
      <c r="B415" s="193" t="s">
        <v>480</v>
      </c>
      <c r="C415" s="193" t="s">
        <v>55</v>
      </c>
      <c r="D415" s="226">
        <f>+ROUNDUP(SUMIFS('MEMORIA CANTIDADES'!E:E,'MEMORIA CANTIDADES'!B:B,Table28[[#This Row],[DESCRIPCIÓN ]],'MEMORIA CANTIDADES'!C:C,Table28[[#This Row],[UNIDAD]]),0)</f>
        <v>0</v>
      </c>
      <c r="E415" s="225">
        <f>+VLOOKUP(Table28[[#This Row],[DESCRIPCIÓN ]],INSUMOS!A:D,3,FALSE)</f>
        <v>10958.37</v>
      </c>
      <c r="F415" s="225">
        <f>+Table28[[#This Row],[CANTIDAD]]*Table28[[#This Row],[VALOR UNITARIO]]</f>
        <v>0</v>
      </c>
    </row>
    <row r="416" spans="1:6" s="193" customFormat="1" hidden="1" x14ac:dyDescent="0.3">
      <c r="A416" s="193">
        <v>506</v>
      </c>
      <c r="B416" s="193" t="s">
        <v>481</v>
      </c>
      <c r="C416" s="193" t="s">
        <v>55</v>
      </c>
      <c r="D416" s="226">
        <f>+ROUNDUP(SUMIFS('MEMORIA CANTIDADES'!E:E,'MEMORIA CANTIDADES'!B:B,Table28[[#This Row],[DESCRIPCIÓN ]],'MEMORIA CANTIDADES'!C:C,Table28[[#This Row],[UNIDAD]]),0)</f>
        <v>0</v>
      </c>
      <c r="E416" s="225">
        <f>+VLOOKUP(Table28[[#This Row],[DESCRIPCIÓN ]],INSUMOS!A:D,3,FALSE)</f>
        <v>10259.69</v>
      </c>
      <c r="F416" s="225">
        <f>+Table28[[#This Row],[CANTIDAD]]*Table28[[#This Row],[VALOR UNITARIO]]</f>
        <v>0</v>
      </c>
    </row>
    <row r="417" spans="1:6" s="193" customFormat="1" hidden="1" x14ac:dyDescent="0.3">
      <c r="A417" s="193">
        <v>507</v>
      </c>
      <c r="B417" s="193" t="s">
        <v>482</v>
      </c>
      <c r="C417" s="193" t="s">
        <v>55</v>
      </c>
      <c r="D417" s="226">
        <f>+ROUNDUP(SUMIFS('MEMORIA CANTIDADES'!E:E,'MEMORIA CANTIDADES'!B:B,Table28[[#This Row],[DESCRIPCIÓN ]],'MEMORIA CANTIDADES'!C:C,Table28[[#This Row],[UNIDAD]]),0)</f>
        <v>0</v>
      </c>
      <c r="E417" s="225">
        <f>+VLOOKUP(Table28[[#This Row],[DESCRIPCIÓN ]],INSUMOS!A:D,3,FALSE)</f>
        <v>10399.93</v>
      </c>
      <c r="F417" s="225">
        <f>+Table28[[#This Row],[CANTIDAD]]*Table28[[#This Row],[VALOR UNITARIO]]</f>
        <v>0</v>
      </c>
    </row>
    <row r="418" spans="1:6" s="193" customFormat="1" hidden="1" x14ac:dyDescent="0.3">
      <c r="A418" s="193">
        <v>508</v>
      </c>
      <c r="B418" s="193" t="s">
        <v>483</v>
      </c>
      <c r="C418" s="193" t="s">
        <v>55</v>
      </c>
      <c r="D418" s="226">
        <f>+ROUNDUP(SUMIFS('MEMORIA CANTIDADES'!E:E,'MEMORIA CANTIDADES'!B:B,Table28[[#This Row],[DESCRIPCIÓN ]],'MEMORIA CANTIDADES'!C:C,Table28[[#This Row],[UNIDAD]]),0)</f>
        <v>0</v>
      </c>
      <c r="E418" s="225">
        <f>+VLOOKUP(Table28[[#This Row],[DESCRIPCIÓN ]],INSUMOS!A:D,3,FALSE)</f>
        <v>10145.959999999999</v>
      </c>
      <c r="F418" s="225">
        <f>+Table28[[#This Row],[CANTIDAD]]*Table28[[#This Row],[VALOR UNITARIO]]</f>
        <v>0</v>
      </c>
    </row>
    <row r="419" spans="1:6" s="193" customFormat="1" hidden="1" x14ac:dyDescent="0.3">
      <c r="A419" s="193">
        <v>509</v>
      </c>
      <c r="B419" s="193" t="s">
        <v>484</v>
      </c>
      <c r="C419" s="193" t="s">
        <v>55</v>
      </c>
      <c r="D419" s="226">
        <f>+ROUNDUP(SUMIFS('MEMORIA CANTIDADES'!E:E,'MEMORIA CANTIDADES'!B:B,Table28[[#This Row],[DESCRIPCIÓN ]],'MEMORIA CANTIDADES'!C:C,Table28[[#This Row],[UNIDAD]]),0)</f>
        <v>0</v>
      </c>
      <c r="E419" s="225">
        <f>+VLOOKUP(Table28[[#This Row],[DESCRIPCIÓN ]],INSUMOS!A:D,3,FALSE)</f>
        <v>9568.8799999999992</v>
      </c>
      <c r="F419" s="225">
        <f>+Table28[[#This Row],[CANTIDAD]]*Table28[[#This Row],[VALOR UNITARIO]]</f>
        <v>0</v>
      </c>
    </row>
    <row r="420" spans="1:6" s="193" customFormat="1" hidden="1" x14ac:dyDescent="0.3">
      <c r="A420" s="193">
        <v>510</v>
      </c>
      <c r="B420" s="193" t="s">
        <v>485</v>
      </c>
      <c r="C420" s="193" t="s">
        <v>55</v>
      </c>
      <c r="D420" s="226">
        <f>+ROUNDUP(SUMIFS('MEMORIA CANTIDADES'!E:E,'MEMORIA CANTIDADES'!B:B,Table28[[#This Row],[DESCRIPCIÓN ]],'MEMORIA CANTIDADES'!C:C,Table28[[#This Row],[UNIDAD]]),0)</f>
        <v>0</v>
      </c>
      <c r="E420" s="225">
        <f>+VLOOKUP(Table28[[#This Row],[DESCRIPCIÓN ]],INSUMOS!A:D,3,FALSE)</f>
        <v>10608.26</v>
      </c>
      <c r="F420" s="225">
        <f>+Table28[[#This Row],[CANTIDAD]]*Table28[[#This Row],[VALOR UNITARIO]]</f>
        <v>0</v>
      </c>
    </row>
    <row r="421" spans="1:6" s="193" customFormat="1" ht="28.8" hidden="1" x14ac:dyDescent="0.3">
      <c r="A421" s="193">
        <v>511</v>
      </c>
      <c r="B421" s="193" t="s">
        <v>486</v>
      </c>
      <c r="C421" s="193" t="s">
        <v>55</v>
      </c>
      <c r="D421" s="226">
        <f>+ROUNDUP(SUMIFS('MEMORIA CANTIDADES'!E:E,'MEMORIA CANTIDADES'!B:B,Table28[[#This Row],[DESCRIPCIÓN ]],'MEMORIA CANTIDADES'!C:C,Table28[[#This Row],[UNIDAD]]),0)</f>
        <v>0</v>
      </c>
      <c r="E421" s="225">
        <f>+VLOOKUP(Table28[[#This Row],[DESCRIPCIÓN ]],INSUMOS!A:D,3,FALSE)</f>
        <v>10475.4</v>
      </c>
      <c r="F421" s="225">
        <f>+Table28[[#This Row],[CANTIDAD]]*Table28[[#This Row],[VALOR UNITARIO]]</f>
        <v>0</v>
      </c>
    </row>
    <row r="422" spans="1:6" s="193" customFormat="1" ht="28.8" hidden="1" x14ac:dyDescent="0.3">
      <c r="A422" s="193">
        <v>994</v>
      </c>
      <c r="B422" s="193" t="s">
        <v>487</v>
      </c>
      <c r="C422" s="193" t="s">
        <v>55</v>
      </c>
      <c r="D422" s="226">
        <f>+ROUNDUP(SUMIFS('MEMORIA CANTIDADES'!E:E,'MEMORIA CANTIDADES'!B:B,Table28[[#This Row],[DESCRIPCIÓN ]],'MEMORIA CANTIDADES'!C:C,Table28[[#This Row],[UNIDAD]]),0)</f>
        <v>0</v>
      </c>
      <c r="E422" s="225">
        <f>+VLOOKUP(Table28[[#This Row],[DESCRIPCIÓN ]],INSUMOS!A:D,3,FALSE)</f>
        <v>14393.87</v>
      </c>
      <c r="F422" s="225">
        <f>+Table28[[#This Row],[CANTIDAD]]*Table28[[#This Row],[VALOR UNITARIO]]</f>
        <v>0</v>
      </c>
    </row>
    <row r="423" spans="1:6" s="193" customFormat="1" ht="28.8" hidden="1" x14ac:dyDescent="0.3">
      <c r="A423" s="193">
        <v>995</v>
      </c>
      <c r="B423" s="193" t="s">
        <v>488</v>
      </c>
      <c r="C423" s="193" t="s">
        <v>55</v>
      </c>
      <c r="D423" s="226">
        <f>+ROUNDUP(SUMIFS('MEMORIA CANTIDADES'!E:E,'MEMORIA CANTIDADES'!B:B,Table28[[#This Row],[DESCRIPCIÓN ]],'MEMORIA CANTIDADES'!C:C,Table28[[#This Row],[UNIDAD]]),0)</f>
        <v>0</v>
      </c>
      <c r="E423" s="225">
        <f>+VLOOKUP(Table28[[#This Row],[DESCRIPCIÓN ]],INSUMOS!A:D,3,FALSE)</f>
        <v>3474.94</v>
      </c>
      <c r="F423" s="225">
        <f>+Table28[[#This Row],[CANTIDAD]]*Table28[[#This Row],[VALOR UNITARIO]]</f>
        <v>0</v>
      </c>
    </row>
    <row r="424" spans="1:6" s="193" customFormat="1" ht="28.8" hidden="1" x14ac:dyDescent="0.3">
      <c r="A424" s="193">
        <v>996</v>
      </c>
      <c r="B424" s="193" t="s">
        <v>489</v>
      </c>
      <c r="C424" s="193" t="s">
        <v>55</v>
      </c>
      <c r="D424" s="226">
        <f>+ROUNDUP(SUMIFS('MEMORIA CANTIDADES'!E:E,'MEMORIA CANTIDADES'!B:B,Table28[[#This Row],[DESCRIPCIÓN ]],'MEMORIA CANTIDADES'!C:C,Table28[[#This Row],[UNIDAD]]),0)</f>
        <v>0</v>
      </c>
      <c r="E424" s="225">
        <f>+VLOOKUP(Table28[[#This Row],[DESCRIPCIÓN ]],INSUMOS!A:D,3,FALSE)</f>
        <v>5712.27</v>
      </c>
      <c r="F424" s="225">
        <f>+Table28[[#This Row],[CANTIDAD]]*Table28[[#This Row],[VALOR UNITARIO]]</f>
        <v>0</v>
      </c>
    </row>
    <row r="425" spans="1:6" s="193" customFormat="1" ht="28.8" hidden="1" x14ac:dyDescent="0.3">
      <c r="A425" s="193">
        <v>997</v>
      </c>
      <c r="B425" s="193" t="s">
        <v>490</v>
      </c>
      <c r="C425" s="193" t="s">
        <v>55</v>
      </c>
      <c r="D425" s="226">
        <f>+ROUNDUP(SUMIFS('MEMORIA CANTIDADES'!E:E,'MEMORIA CANTIDADES'!B:B,Table28[[#This Row],[DESCRIPCIÓN ]],'MEMORIA CANTIDADES'!C:C,Table28[[#This Row],[UNIDAD]]),0)</f>
        <v>0</v>
      </c>
      <c r="E425" s="225">
        <f>+VLOOKUP(Table28[[#This Row],[DESCRIPCIÓN ]],INSUMOS!A:D,3,FALSE)</f>
        <v>12077.05</v>
      </c>
      <c r="F425" s="225">
        <f>+Table28[[#This Row],[CANTIDAD]]*Table28[[#This Row],[VALOR UNITARIO]]</f>
        <v>0</v>
      </c>
    </row>
    <row r="426" spans="1:6" s="193" customFormat="1" ht="28.8" hidden="1" x14ac:dyDescent="0.3">
      <c r="A426" s="193">
        <v>998</v>
      </c>
      <c r="B426" s="193" t="s">
        <v>491</v>
      </c>
      <c r="C426" s="193" t="s">
        <v>55</v>
      </c>
      <c r="D426" s="226">
        <f>+ROUNDUP(SUMIFS('MEMORIA CANTIDADES'!E:E,'MEMORIA CANTIDADES'!B:B,Table28[[#This Row],[DESCRIPCIÓN ]],'MEMORIA CANTIDADES'!C:C,Table28[[#This Row],[UNIDAD]]),0)</f>
        <v>0</v>
      </c>
      <c r="E426" s="225">
        <f>+VLOOKUP(Table28[[#This Row],[DESCRIPCIÓN ]],INSUMOS!A:D,3,FALSE)</f>
        <v>8509.3700000000008</v>
      </c>
      <c r="F426" s="225">
        <f>+Table28[[#This Row],[CANTIDAD]]*Table28[[#This Row],[VALOR UNITARIO]]</f>
        <v>0</v>
      </c>
    </row>
    <row r="427" spans="1:6" s="193" customFormat="1" hidden="1" x14ac:dyDescent="0.3">
      <c r="A427" s="193">
        <v>999</v>
      </c>
      <c r="B427" s="193" t="s">
        <v>492</v>
      </c>
      <c r="C427" s="193" t="s">
        <v>55</v>
      </c>
      <c r="D427" s="226">
        <f>+ROUNDUP(SUMIFS('MEMORIA CANTIDADES'!E:E,'MEMORIA CANTIDADES'!B:B,Table28[[#This Row],[DESCRIPCIÓN ]],'MEMORIA CANTIDADES'!C:C,Table28[[#This Row],[UNIDAD]]),0)</f>
        <v>0</v>
      </c>
      <c r="E427" s="225">
        <f>+VLOOKUP(Table28[[#This Row],[DESCRIPCIÓN ]],INSUMOS!A:D,3,FALSE)</f>
        <v>5392.54</v>
      </c>
      <c r="F427" s="225">
        <f>+Table28[[#This Row],[CANTIDAD]]*Table28[[#This Row],[VALOR UNITARIO]]</f>
        <v>0</v>
      </c>
    </row>
    <row r="428" spans="1:6" s="193" customFormat="1" hidden="1" x14ac:dyDescent="0.3">
      <c r="A428" s="193">
        <v>1000</v>
      </c>
      <c r="B428" s="193" t="s">
        <v>493</v>
      </c>
      <c r="C428" s="193" t="s">
        <v>55</v>
      </c>
      <c r="D428" s="226">
        <f>+ROUNDUP(SUMIFS('MEMORIA CANTIDADES'!E:E,'MEMORIA CANTIDADES'!B:B,Table28[[#This Row],[DESCRIPCIÓN ]],'MEMORIA CANTIDADES'!C:C,Table28[[#This Row],[UNIDAD]]),0)</f>
        <v>0</v>
      </c>
      <c r="E428" s="225">
        <f>+VLOOKUP(Table28[[#This Row],[DESCRIPCIÓN ]],INSUMOS!A:D,3,FALSE)</f>
        <v>1878.37</v>
      </c>
      <c r="F428" s="225">
        <f>+Table28[[#This Row],[CANTIDAD]]*Table28[[#This Row],[VALOR UNITARIO]]</f>
        <v>0</v>
      </c>
    </row>
    <row r="429" spans="1:6" s="193" customFormat="1" ht="28.8" hidden="1" x14ac:dyDescent="0.3">
      <c r="A429" s="193">
        <v>1001</v>
      </c>
      <c r="B429" s="193" t="s">
        <v>494</v>
      </c>
      <c r="C429" s="193" t="s">
        <v>55</v>
      </c>
      <c r="D429" s="226">
        <f>+ROUNDUP(SUMIFS('MEMORIA CANTIDADES'!E:E,'MEMORIA CANTIDADES'!B:B,Table28[[#This Row],[DESCRIPCIÓN ]],'MEMORIA CANTIDADES'!C:C,Table28[[#This Row],[UNIDAD]]),0)</f>
        <v>0</v>
      </c>
      <c r="E429" s="225">
        <f>+VLOOKUP(Table28[[#This Row],[DESCRIPCIÓN ]],INSUMOS!A:D,3,FALSE)</f>
        <v>49744.17</v>
      </c>
      <c r="F429" s="225">
        <f>+Table28[[#This Row],[CANTIDAD]]*Table28[[#This Row],[VALOR UNITARIO]]</f>
        <v>0</v>
      </c>
    </row>
    <row r="430" spans="1:6" s="193" customFormat="1" hidden="1" x14ac:dyDescent="0.3">
      <c r="A430" s="193">
        <v>1002</v>
      </c>
      <c r="B430" s="193" t="s">
        <v>495</v>
      </c>
      <c r="C430" s="193" t="s">
        <v>55</v>
      </c>
      <c r="D430" s="226">
        <f>+ROUNDUP(SUMIFS('MEMORIA CANTIDADES'!E:E,'MEMORIA CANTIDADES'!B:B,Table28[[#This Row],[DESCRIPCIÓN ]],'MEMORIA CANTIDADES'!C:C,Table28[[#This Row],[UNIDAD]]),0)</f>
        <v>0</v>
      </c>
      <c r="E430" s="225">
        <f>+VLOOKUP(Table28[[#This Row],[DESCRIPCIÓN ]],INSUMOS!A:D,3,FALSE)</f>
        <v>19876.099999999999</v>
      </c>
      <c r="F430" s="225">
        <f>+Table28[[#This Row],[CANTIDAD]]*Table28[[#This Row],[VALOR UNITARIO]]</f>
        <v>0</v>
      </c>
    </row>
    <row r="431" spans="1:6" s="193" customFormat="1" hidden="1" x14ac:dyDescent="0.3">
      <c r="A431" s="193">
        <v>1003</v>
      </c>
      <c r="B431" s="193" t="s">
        <v>496</v>
      </c>
      <c r="C431" s="193" t="s">
        <v>55</v>
      </c>
      <c r="D431" s="226">
        <f>+ROUNDUP(SUMIFS('MEMORIA CANTIDADES'!E:E,'MEMORIA CANTIDADES'!B:B,Table28[[#This Row],[DESCRIPCIÓN ]],'MEMORIA CANTIDADES'!C:C,Table28[[#This Row],[UNIDAD]]),0)</f>
        <v>0</v>
      </c>
      <c r="E431" s="225">
        <f>+VLOOKUP(Table28[[#This Row],[DESCRIPCIÓN ]],INSUMOS!A:D,3,FALSE)</f>
        <v>62618.93</v>
      </c>
      <c r="F431" s="225">
        <f>+Table28[[#This Row],[CANTIDAD]]*Table28[[#This Row],[VALOR UNITARIO]]</f>
        <v>0</v>
      </c>
    </row>
    <row r="432" spans="1:6" s="193" customFormat="1" hidden="1" x14ac:dyDescent="0.3">
      <c r="A432" s="193">
        <v>1004</v>
      </c>
      <c r="B432" s="193" t="s">
        <v>497</v>
      </c>
      <c r="C432" s="193" t="s">
        <v>55</v>
      </c>
      <c r="D432" s="226">
        <f>+ROUNDUP(SUMIFS('MEMORIA CANTIDADES'!E:E,'MEMORIA CANTIDADES'!B:B,Table28[[#This Row],[DESCRIPCIÓN ]],'MEMORIA CANTIDADES'!C:C,Table28[[#This Row],[UNIDAD]]),0)</f>
        <v>0</v>
      </c>
      <c r="E432" s="225">
        <f>+VLOOKUP(Table28[[#This Row],[DESCRIPCIÓN ]],INSUMOS!A:D,3,FALSE)</f>
        <v>3001.23</v>
      </c>
      <c r="F432" s="225">
        <f>+Table28[[#This Row],[CANTIDAD]]*Table28[[#This Row],[VALOR UNITARIO]]</f>
        <v>0</v>
      </c>
    </row>
    <row r="433" spans="1:6" s="193" customFormat="1" hidden="1" x14ac:dyDescent="0.3">
      <c r="A433" s="193">
        <v>1005</v>
      </c>
      <c r="B433" s="193" t="s">
        <v>498</v>
      </c>
      <c r="C433" s="193" t="s">
        <v>55</v>
      </c>
      <c r="D433" s="226">
        <f>+ROUNDUP(SUMIFS('MEMORIA CANTIDADES'!E:E,'MEMORIA CANTIDADES'!B:B,Table28[[#This Row],[DESCRIPCIÓN ]],'MEMORIA CANTIDADES'!C:C,Table28[[#This Row],[UNIDAD]]),0)</f>
        <v>0</v>
      </c>
      <c r="E433" s="225">
        <f>+VLOOKUP(Table28[[#This Row],[DESCRIPCIÓN ]],INSUMOS!A:D,3,FALSE)</f>
        <v>144164.28</v>
      </c>
      <c r="F433" s="225">
        <f>+Table28[[#This Row],[CANTIDAD]]*Table28[[#This Row],[VALOR UNITARIO]]</f>
        <v>0</v>
      </c>
    </row>
    <row r="434" spans="1:6" s="193" customFormat="1" ht="28.8" hidden="1" x14ac:dyDescent="0.3">
      <c r="A434" s="193">
        <v>1006</v>
      </c>
      <c r="B434" s="193" t="s">
        <v>499</v>
      </c>
      <c r="C434" s="193" t="s">
        <v>55</v>
      </c>
      <c r="D434" s="226">
        <f>+ROUNDUP(SUMIFS('MEMORIA CANTIDADES'!E:E,'MEMORIA CANTIDADES'!B:B,Table28[[#This Row],[DESCRIPCIÓN ]],'MEMORIA CANTIDADES'!C:C,Table28[[#This Row],[UNIDAD]]),0)</f>
        <v>0</v>
      </c>
      <c r="E434" s="225">
        <f>+VLOOKUP(Table28[[#This Row],[DESCRIPCIÓN ]],INSUMOS!A:D,3,FALSE)</f>
        <v>4450.88</v>
      </c>
      <c r="F434" s="225">
        <f>+Table28[[#This Row],[CANTIDAD]]*Table28[[#This Row],[VALOR UNITARIO]]</f>
        <v>0</v>
      </c>
    </row>
    <row r="435" spans="1:6" s="193" customFormat="1" ht="28.8" hidden="1" x14ac:dyDescent="0.3">
      <c r="A435" s="193">
        <v>1007</v>
      </c>
      <c r="B435" s="193" t="s">
        <v>500</v>
      </c>
      <c r="C435" s="193" t="s">
        <v>55</v>
      </c>
      <c r="D435" s="226">
        <f>+ROUNDUP(SUMIFS('MEMORIA CANTIDADES'!E:E,'MEMORIA CANTIDADES'!B:B,Table28[[#This Row],[DESCRIPCIÓN ]],'MEMORIA CANTIDADES'!C:C,Table28[[#This Row],[UNIDAD]]),0)</f>
        <v>0</v>
      </c>
      <c r="E435" s="225">
        <f>+VLOOKUP(Table28[[#This Row],[DESCRIPCIÓN ]],INSUMOS!A:D,3,FALSE)</f>
        <v>4886.08</v>
      </c>
      <c r="F435" s="225">
        <f>+Table28[[#This Row],[CANTIDAD]]*Table28[[#This Row],[VALOR UNITARIO]]</f>
        <v>0</v>
      </c>
    </row>
    <row r="436" spans="1:6" s="193" customFormat="1" ht="28.8" hidden="1" x14ac:dyDescent="0.3">
      <c r="A436" s="193">
        <v>1008</v>
      </c>
      <c r="B436" s="193" t="s">
        <v>501</v>
      </c>
      <c r="C436" s="193" t="s">
        <v>55</v>
      </c>
      <c r="D436" s="226">
        <f>+ROUNDUP(SUMIFS('MEMORIA CANTIDADES'!E:E,'MEMORIA CANTIDADES'!B:B,Table28[[#This Row],[DESCRIPCIÓN ]],'MEMORIA CANTIDADES'!C:C,Table28[[#This Row],[UNIDAD]]),0)</f>
        <v>0</v>
      </c>
      <c r="E436" s="225">
        <f>+VLOOKUP(Table28[[#This Row],[DESCRIPCIÓN ]],INSUMOS!A:D,3,FALSE)</f>
        <v>11690.43</v>
      </c>
      <c r="F436" s="225">
        <f>+Table28[[#This Row],[CANTIDAD]]*Table28[[#This Row],[VALOR UNITARIO]]</f>
        <v>0</v>
      </c>
    </row>
    <row r="437" spans="1:6" s="193" customFormat="1" ht="28.8" hidden="1" x14ac:dyDescent="0.3">
      <c r="A437" s="193">
        <v>1009</v>
      </c>
      <c r="B437" s="193" t="s">
        <v>502</v>
      </c>
      <c r="C437" s="193" t="s">
        <v>55</v>
      </c>
      <c r="D437" s="226">
        <f>+ROUNDUP(SUMIFS('MEMORIA CANTIDADES'!E:E,'MEMORIA CANTIDADES'!B:B,Table28[[#This Row],[DESCRIPCIÓN ]],'MEMORIA CANTIDADES'!C:C,Table28[[#This Row],[UNIDAD]]),0)</f>
        <v>0</v>
      </c>
      <c r="E437" s="225">
        <f>+VLOOKUP(Table28[[#This Row],[DESCRIPCIÓN ]],INSUMOS!A:D,3,FALSE)</f>
        <v>19703.55</v>
      </c>
      <c r="F437" s="225">
        <f>+Table28[[#This Row],[CANTIDAD]]*Table28[[#This Row],[VALOR UNITARIO]]</f>
        <v>0</v>
      </c>
    </row>
    <row r="438" spans="1:6" s="193" customFormat="1" ht="28.8" hidden="1" x14ac:dyDescent="0.3">
      <c r="A438" s="193">
        <v>1010</v>
      </c>
      <c r="B438" s="193" t="s">
        <v>503</v>
      </c>
      <c r="C438" s="193" t="s">
        <v>55</v>
      </c>
      <c r="D438" s="226">
        <f>+ROUNDUP(SUMIFS('MEMORIA CANTIDADES'!E:E,'MEMORIA CANTIDADES'!B:B,Table28[[#This Row],[DESCRIPCIÓN ]],'MEMORIA CANTIDADES'!C:C,Table28[[#This Row],[UNIDAD]]),0)</f>
        <v>0</v>
      </c>
      <c r="E438" s="225">
        <f>+VLOOKUP(Table28[[#This Row],[DESCRIPCIÓN ]],INSUMOS!A:D,3,FALSE)</f>
        <v>62941.8</v>
      </c>
      <c r="F438" s="225">
        <f>+Table28[[#This Row],[CANTIDAD]]*Table28[[#This Row],[VALOR UNITARIO]]</f>
        <v>0</v>
      </c>
    </row>
    <row r="439" spans="1:6" s="193" customFormat="1" ht="28.8" hidden="1" x14ac:dyDescent="0.3">
      <c r="A439" s="193">
        <v>1011</v>
      </c>
      <c r="B439" s="193" t="s">
        <v>504</v>
      </c>
      <c r="C439" s="193" t="s">
        <v>55</v>
      </c>
      <c r="D439" s="226">
        <f>+ROUNDUP(SUMIFS('MEMORIA CANTIDADES'!E:E,'MEMORIA CANTIDADES'!B:B,Table28[[#This Row],[DESCRIPCIÓN ]],'MEMORIA CANTIDADES'!C:C,Table28[[#This Row],[UNIDAD]]),0)</f>
        <v>0</v>
      </c>
      <c r="E439" s="225">
        <f>+VLOOKUP(Table28[[#This Row],[DESCRIPCIÓN ]],INSUMOS!A:D,3,FALSE)</f>
        <v>4808.99</v>
      </c>
      <c r="F439" s="225">
        <f>+Table28[[#This Row],[CANTIDAD]]*Table28[[#This Row],[VALOR UNITARIO]]</f>
        <v>0</v>
      </c>
    </row>
    <row r="440" spans="1:6" s="193" customFormat="1" ht="28.8" hidden="1" x14ac:dyDescent="0.3">
      <c r="A440" s="193">
        <v>1012</v>
      </c>
      <c r="B440" s="193" t="s">
        <v>505</v>
      </c>
      <c r="C440" s="193" t="s">
        <v>55</v>
      </c>
      <c r="D440" s="226">
        <f>+ROUNDUP(SUMIFS('MEMORIA CANTIDADES'!E:E,'MEMORIA CANTIDADES'!B:B,Table28[[#This Row],[DESCRIPCIÓN ]],'MEMORIA CANTIDADES'!C:C,Table28[[#This Row],[UNIDAD]]),0)</f>
        <v>0</v>
      </c>
      <c r="E440" s="225">
        <f>+VLOOKUP(Table28[[#This Row],[DESCRIPCIÓN ]],INSUMOS!A:D,3,FALSE)</f>
        <v>5113.99</v>
      </c>
      <c r="F440" s="225">
        <f>+Table28[[#This Row],[CANTIDAD]]*Table28[[#This Row],[VALOR UNITARIO]]</f>
        <v>0</v>
      </c>
    </row>
    <row r="441" spans="1:6" s="193" customFormat="1" ht="28.8" hidden="1" x14ac:dyDescent="0.3">
      <c r="A441" s="193">
        <v>1013</v>
      </c>
      <c r="B441" s="193" t="s">
        <v>506</v>
      </c>
      <c r="C441" s="193" t="s">
        <v>55</v>
      </c>
      <c r="D441" s="226">
        <f>+ROUNDUP(SUMIFS('MEMORIA CANTIDADES'!E:E,'MEMORIA CANTIDADES'!B:B,Table28[[#This Row],[DESCRIPCIÓN ]],'MEMORIA CANTIDADES'!C:C,Table28[[#This Row],[UNIDAD]]),0)</f>
        <v>0</v>
      </c>
      <c r="E441" s="225">
        <f>+VLOOKUP(Table28[[#This Row],[DESCRIPCIÓN ]],INSUMOS!A:D,3,FALSE)</f>
        <v>11197.4</v>
      </c>
      <c r="F441" s="225">
        <f>+Table28[[#This Row],[CANTIDAD]]*Table28[[#This Row],[VALOR UNITARIO]]</f>
        <v>0</v>
      </c>
    </row>
    <row r="442" spans="1:6" s="193" customFormat="1" ht="28.8" hidden="1" x14ac:dyDescent="0.3">
      <c r="A442" s="193">
        <v>1014</v>
      </c>
      <c r="B442" s="193" t="s">
        <v>507</v>
      </c>
      <c r="C442" s="193" t="s">
        <v>55</v>
      </c>
      <c r="D442" s="226">
        <f>+ROUNDUP(SUMIFS('MEMORIA CANTIDADES'!E:E,'MEMORIA CANTIDADES'!B:B,Table28[[#This Row],[DESCRIPCIÓN ]],'MEMORIA CANTIDADES'!C:C,Table28[[#This Row],[UNIDAD]]),0)</f>
        <v>0</v>
      </c>
      <c r="E442" s="225">
        <f>+VLOOKUP(Table28[[#This Row],[DESCRIPCIÓN ]],INSUMOS!A:D,3,FALSE)</f>
        <v>17259.669999999998</v>
      </c>
      <c r="F442" s="225">
        <f>+Table28[[#This Row],[CANTIDAD]]*Table28[[#This Row],[VALOR UNITARIO]]</f>
        <v>0</v>
      </c>
    </row>
    <row r="443" spans="1:6" s="193" customFormat="1" ht="28.8" hidden="1" x14ac:dyDescent="0.3">
      <c r="A443" s="193">
        <v>1015</v>
      </c>
      <c r="B443" s="193" t="s">
        <v>508</v>
      </c>
      <c r="C443" s="193" t="s">
        <v>55</v>
      </c>
      <c r="D443" s="226">
        <f>+ROUNDUP(SUMIFS('MEMORIA CANTIDADES'!E:E,'MEMORIA CANTIDADES'!B:B,Table28[[#This Row],[DESCRIPCIÓN ]],'MEMORIA CANTIDADES'!C:C,Table28[[#This Row],[UNIDAD]]),0)</f>
        <v>0</v>
      </c>
      <c r="E443" s="225">
        <f>+VLOOKUP(Table28[[#This Row],[DESCRIPCIÓN ]],INSUMOS!A:D,3,FALSE)</f>
        <v>64843.8</v>
      </c>
      <c r="F443" s="225">
        <f>+Table28[[#This Row],[CANTIDAD]]*Table28[[#This Row],[VALOR UNITARIO]]</f>
        <v>0</v>
      </c>
    </row>
    <row r="444" spans="1:6" s="193" customFormat="1" ht="28.8" hidden="1" x14ac:dyDescent="0.3">
      <c r="A444" s="193">
        <v>1016</v>
      </c>
      <c r="B444" s="193" t="s">
        <v>509</v>
      </c>
      <c r="C444" s="193" t="s">
        <v>55</v>
      </c>
      <c r="D444" s="226">
        <f>+ROUNDUP(SUMIFS('MEMORIA CANTIDADES'!E:E,'MEMORIA CANTIDADES'!B:B,Table28[[#This Row],[DESCRIPCIÓN ]],'MEMORIA CANTIDADES'!C:C,Table28[[#This Row],[UNIDAD]]),0)</f>
        <v>0</v>
      </c>
      <c r="E444" s="225">
        <f>+VLOOKUP(Table28[[#This Row],[DESCRIPCIÓN ]],INSUMOS!A:D,3,FALSE)</f>
        <v>12846.19</v>
      </c>
      <c r="F444" s="225">
        <f>+Table28[[#This Row],[CANTIDAD]]*Table28[[#This Row],[VALOR UNITARIO]]</f>
        <v>0</v>
      </c>
    </row>
    <row r="445" spans="1:6" s="193" customFormat="1" ht="28.8" hidden="1" x14ac:dyDescent="0.3">
      <c r="A445" s="193">
        <v>1017</v>
      </c>
      <c r="B445" s="193" t="s">
        <v>510</v>
      </c>
      <c r="C445" s="193" t="s">
        <v>55</v>
      </c>
      <c r="D445" s="226">
        <f>+ROUNDUP(SUMIFS('MEMORIA CANTIDADES'!E:E,'MEMORIA CANTIDADES'!B:B,Table28[[#This Row],[DESCRIPCIÓN ]],'MEMORIA CANTIDADES'!C:C,Table28[[#This Row],[UNIDAD]]),0)</f>
        <v>0</v>
      </c>
      <c r="E445" s="225">
        <f>+VLOOKUP(Table28[[#This Row],[DESCRIPCIÓN ]],INSUMOS!A:D,3,FALSE)</f>
        <v>2516.61</v>
      </c>
      <c r="F445" s="225">
        <f>+Table28[[#This Row],[CANTIDAD]]*Table28[[#This Row],[VALOR UNITARIO]]</f>
        <v>0</v>
      </c>
    </row>
    <row r="446" spans="1:6" s="193" customFormat="1" ht="28.8" hidden="1" x14ac:dyDescent="0.3">
      <c r="A446" s="193">
        <v>1018</v>
      </c>
      <c r="B446" s="193" t="s">
        <v>511</v>
      </c>
      <c r="C446" s="193" t="s">
        <v>55</v>
      </c>
      <c r="D446" s="226">
        <f>+ROUNDUP(SUMIFS('MEMORIA CANTIDADES'!E:E,'MEMORIA CANTIDADES'!B:B,Table28[[#This Row],[DESCRIPCIÓN ]],'MEMORIA CANTIDADES'!C:C,Table28[[#This Row],[UNIDAD]]),0)</f>
        <v>0</v>
      </c>
      <c r="E446" s="225">
        <f>+VLOOKUP(Table28[[#This Row],[DESCRIPCIÓN ]],INSUMOS!A:D,3,FALSE)</f>
        <v>4529.03</v>
      </c>
      <c r="F446" s="225">
        <f>+Table28[[#This Row],[CANTIDAD]]*Table28[[#This Row],[VALOR UNITARIO]]</f>
        <v>0</v>
      </c>
    </row>
    <row r="447" spans="1:6" s="193" customFormat="1" ht="28.8" hidden="1" x14ac:dyDescent="0.3">
      <c r="A447" s="193">
        <v>1019</v>
      </c>
      <c r="B447" s="193" t="s">
        <v>512</v>
      </c>
      <c r="C447" s="193" t="s">
        <v>55</v>
      </c>
      <c r="D447" s="226">
        <f>+ROUNDUP(SUMIFS('MEMORIA CANTIDADES'!E:E,'MEMORIA CANTIDADES'!B:B,Table28[[#This Row],[DESCRIPCIÓN ]],'MEMORIA CANTIDADES'!C:C,Table28[[#This Row],[UNIDAD]]),0)</f>
        <v>0</v>
      </c>
      <c r="E447" s="225">
        <f>+VLOOKUP(Table28[[#This Row],[DESCRIPCIÓN ]],INSUMOS!A:D,3,FALSE)</f>
        <v>11489.35</v>
      </c>
      <c r="F447" s="225">
        <f>+Table28[[#This Row],[CANTIDAD]]*Table28[[#This Row],[VALOR UNITARIO]]</f>
        <v>0</v>
      </c>
    </row>
    <row r="448" spans="1:6" s="193" customFormat="1" ht="28.8" hidden="1" x14ac:dyDescent="0.3">
      <c r="A448" s="193">
        <v>1020</v>
      </c>
      <c r="B448" s="193" t="s">
        <v>513</v>
      </c>
      <c r="C448" s="193" t="s">
        <v>55</v>
      </c>
      <c r="D448" s="226">
        <f>+ROUNDUP(SUMIFS('MEMORIA CANTIDADES'!E:E,'MEMORIA CANTIDADES'!B:B,Table28[[#This Row],[DESCRIPCIÓN ]],'MEMORIA CANTIDADES'!C:C,Table28[[#This Row],[UNIDAD]]),0)</f>
        <v>0</v>
      </c>
      <c r="E448" s="225">
        <f>+VLOOKUP(Table28[[#This Row],[DESCRIPCIÓN ]],INSUMOS!A:D,3,FALSE)</f>
        <v>6168.55</v>
      </c>
      <c r="F448" s="225">
        <f>+Table28[[#This Row],[CANTIDAD]]*Table28[[#This Row],[VALOR UNITARIO]]</f>
        <v>0</v>
      </c>
    </row>
    <row r="449" spans="1:6" s="193" customFormat="1" hidden="1" x14ac:dyDescent="0.3">
      <c r="A449" s="193">
        <v>1021</v>
      </c>
      <c r="B449" s="193" t="s">
        <v>514</v>
      </c>
      <c r="C449" s="193" t="s">
        <v>55</v>
      </c>
      <c r="D449" s="226">
        <f>+ROUNDUP(SUMIFS('MEMORIA CANTIDADES'!E:E,'MEMORIA CANTIDADES'!B:B,Table28[[#This Row],[DESCRIPCIÓN ]],'MEMORIA CANTIDADES'!C:C,Table28[[#This Row],[UNIDAD]]),0)</f>
        <v>0</v>
      </c>
      <c r="E449" s="225">
        <f>+VLOOKUP(Table28[[#This Row],[DESCRIPCIÓN ]],INSUMOS!A:D,3,FALSE)</f>
        <v>3216.78</v>
      </c>
      <c r="F449" s="225">
        <f>+Table28[[#This Row],[CANTIDAD]]*Table28[[#This Row],[VALOR UNITARIO]]</f>
        <v>0</v>
      </c>
    </row>
    <row r="450" spans="1:6" s="193" customFormat="1" hidden="1" x14ac:dyDescent="0.3">
      <c r="A450" s="193">
        <v>1022</v>
      </c>
      <c r="B450" s="193" t="s">
        <v>515</v>
      </c>
      <c r="C450" s="193" t="s">
        <v>55</v>
      </c>
      <c r="D450" s="226">
        <f>+ROUNDUP(SUMIFS('MEMORIA CANTIDADES'!E:E,'MEMORIA CANTIDADES'!B:B,Table28[[#This Row],[DESCRIPCIÓN ]],'MEMORIA CANTIDADES'!C:C,Table28[[#This Row],[UNIDAD]]),0)</f>
        <v>0</v>
      </c>
      <c r="E450" s="225">
        <f>+VLOOKUP(Table28[[#This Row],[DESCRIPCIÓN ]],INSUMOS!A:D,3,FALSE)</f>
        <v>1042.74</v>
      </c>
      <c r="F450" s="225">
        <f>+Table28[[#This Row],[CANTIDAD]]*Table28[[#This Row],[VALOR UNITARIO]]</f>
        <v>0</v>
      </c>
    </row>
    <row r="451" spans="1:6" s="193" customFormat="1" ht="28.8" hidden="1" x14ac:dyDescent="0.3">
      <c r="A451" s="193">
        <v>1023</v>
      </c>
      <c r="B451" s="193" t="s">
        <v>516</v>
      </c>
      <c r="C451" s="193" t="s">
        <v>55</v>
      </c>
      <c r="D451" s="226">
        <f>+ROUNDUP(SUMIFS('MEMORIA CANTIDADES'!E:E,'MEMORIA CANTIDADES'!B:B,Table28[[#This Row],[DESCRIPCIÓN ]],'MEMORIA CANTIDADES'!C:C,Table28[[#This Row],[UNIDAD]]),0)</f>
        <v>0</v>
      </c>
      <c r="E451" s="225">
        <f>+VLOOKUP(Table28[[#This Row],[DESCRIPCIÓN ]],INSUMOS!A:D,3,FALSE)</f>
        <v>50093.4</v>
      </c>
      <c r="F451" s="225">
        <f>+Table28[[#This Row],[CANTIDAD]]*Table28[[#This Row],[VALOR UNITARIO]]</f>
        <v>0</v>
      </c>
    </row>
    <row r="452" spans="1:6" s="193" customFormat="1" hidden="1" x14ac:dyDescent="0.3">
      <c r="A452" s="193">
        <v>1024</v>
      </c>
      <c r="B452" s="193" t="s">
        <v>517</v>
      </c>
      <c r="C452" s="193" t="s">
        <v>55</v>
      </c>
      <c r="D452" s="226">
        <f>+ROUNDUP(SUMIFS('MEMORIA CANTIDADES'!E:E,'MEMORIA CANTIDADES'!B:B,Table28[[#This Row],[DESCRIPCIÓN ]],'MEMORIA CANTIDADES'!C:C,Table28[[#This Row],[UNIDAD]]),0)</f>
        <v>0</v>
      </c>
      <c r="E452" s="225">
        <f>+VLOOKUP(Table28[[#This Row],[DESCRIPCIÓN ]],INSUMOS!A:D,3,FALSE)</f>
        <v>18866.650000000001</v>
      </c>
      <c r="F452" s="225">
        <f>+Table28[[#This Row],[CANTIDAD]]*Table28[[#This Row],[VALOR UNITARIO]]</f>
        <v>0</v>
      </c>
    </row>
    <row r="453" spans="1:6" s="193" customFormat="1" hidden="1" x14ac:dyDescent="0.3">
      <c r="A453" s="193">
        <v>1025</v>
      </c>
      <c r="B453" s="193" t="s">
        <v>518</v>
      </c>
      <c r="C453" s="193" t="s">
        <v>55</v>
      </c>
      <c r="D453" s="226">
        <f>+ROUNDUP(SUMIFS('MEMORIA CANTIDADES'!E:E,'MEMORIA CANTIDADES'!B:B,Table28[[#This Row],[DESCRIPCIÓN ]],'MEMORIA CANTIDADES'!C:C,Table28[[#This Row],[UNIDAD]]),0)</f>
        <v>0</v>
      </c>
      <c r="E453" s="225">
        <f>+VLOOKUP(Table28[[#This Row],[DESCRIPCIÓN ]],INSUMOS!A:D,3,FALSE)</f>
        <v>70596.53</v>
      </c>
      <c r="F453" s="225">
        <f>+Table28[[#This Row],[CANTIDAD]]*Table28[[#This Row],[VALOR UNITARIO]]</f>
        <v>0</v>
      </c>
    </row>
    <row r="454" spans="1:6" s="193" customFormat="1" hidden="1" x14ac:dyDescent="0.3">
      <c r="A454" s="193">
        <v>1026</v>
      </c>
      <c r="B454" s="193" t="s">
        <v>519</v>
      </c>
      <c r="C454" s="193" t="s">
        <v>55</v>
      </c>
      <c r="D454" s="226">
        <f>+ROUNDUP(SUMIFS('MEMORIA CANTIDADES'!E:E,'MEMORIA CANTIDADES'!B:B,Table28[[#This Row],[DESCRIPCIÓN ]],'MEMORIA CANTIDADES'!C:C,Table28[[#This Row],[UNIDAD]]),0)</f>
        <v>0</v>
      </c>
      <c r="E454" s="225">
        <f>+VLOOKUP(Table28[[#This Row],[DESCRIPCIÓN ]],INSUMOS!A:D,3,FALSE)</f>
        <v>1673.46</v>
      </c>
      <c r="F454" s="225">
        <f>+Table28[[#This Row],[CANTIDAD]]*Table28[[#This Row],[VALOR UNITARIO]]</f>
        <v>0</v>
      </c>
    </row>
    <row r="455" spans="1:6" s="193" customFormat="1" hidden="1" x14ac:dyDescent="0.3">
      <c r="A455" s="193">
        <v>1027</v>
      </c>
      <c r="B455" s="193" t="s">
        <v>520</v>
      </c>
      <c r="C455" s="193" t="s">
        <v>55</v>
      </c>
      <c r="D455" s="226">
        <f>+ROUNDUP(SUMIFS('MEMORIA CANTIDADES'!E:E,'MEMORIA CANTIDADES'!B:B,Table28[[#This Row],[DESCRIPCIÓN ]],'MEMORIA CANTIDADES'!C:C,Table28[[#This Row],[UNIDAD]]),0)</f>
        <v>0</v>
      </c>
      <c r="E455" s="225">
        <f>+VLOOKUP(Table28[[#This Row],[DESCRIPCIÓN ]],INSUMOS!A:D,3,FALSE)</f>
        <v>149273.92000000001</v>
      </c>
      <c r="F455" s="225">
        <f>+Table28[[#This Row],[CANTIDAD]]*Table28[[#This Row],[VALOR UNITARIO]]</f>
        <v>0</v>
      </c>
    </row>
    <row r="456" spans="1:6" s="193" customFormat="1" ht="28.8" hidden="1" x14ac:dyDescent="0.3">
      <c r="A456" s="193">
        <v>1028</v>
      </c>
      <c r="B456" s="193" t="s">
        <v>521</v>
      </c>
      <c r="C456" s="193" t="s">
        <v>55</v>
      </c>
      <c r="D456" s="226">
        <f>+ROUNDUP(SUMIFS('MEMORIA CANTIDADES'!E:E,'MEMORIA CANTIDADES'!B:B,Table28[[#This Row],[DESCRIPCIÓN ]],'MEMORIA CANTIDADES'!C:C,Table28[[#This Row],[UNIDAD]]),0)</f>
        <v>0</v>
      </c>
      <c r="E456" s="225">
        <f>+VLOOKUP(Table28[[#This Row],[DESCRIPCIÓN ]],INSUMOS!A:D,3,FALSE)</f>
        <v>3691.92</v>
      </c>
      <c r="F456" s="225">
        <f>+Table28[[#This Row],[CANTIDAD]]*Table28[[#This Row],[VALOR UNITARIO]]</f>
        <v>0</v>
      </c>
    </row>
    <row r="457" spans="1:6" s="193" customFormat="1" ht="28.8" hidden="1" x14ac:dyDescent="0.3">
      <c r="A457" s="193">
        <v>1029</v>
      </c>
      <c r="B457" s="193" t="s">
        <v>522</v>
      </c>
      <c r="C457" s="193" t="s">
        <v>55</v>
      </c>
      <c r="D457" s="226">
        <f>+ROUNDUP(SUMIFS('MEMORIA CANTIDADES'!E:E,'MEMORIA CANTIDADES'!B:B,Table28[[#This Row],[DESCRIPCIÓN ]],'MEMORIA CANTIDADES'!C:C,Table28[[#This Row],[UNIDAD]]),0)</f>
        <v>0</v>
      </c>
      <c r="E457" s="225">
        <f>+VLOOKUP(Table28[[#This Row],[DESCRIPCIÓN ]],INSUMOS!A:D,3,FALSE)</f>
        <v>4034.05</v>
      </c>
      <c r="F457" s="225">
        <f>+Table28[[#This Row],[CANTIDAD]]*Table28[[#This Row],[VALOR UNITARIO]]</f>
        <v>0</v>
      </c>
    </row>
    <row r="458" spans="1:6" s="193" customFormat="1" ht="28.8" hidden="1" x14ac:dyDescent="0.3">
      <c r="A458" s="193">
        <v>1030</v>
      </c>
      <c r="B458" s="193" t="s">
        <v>523</v>
      </c>
      <c r="C458" s="193" t="s">
        <v>55</v>
      </c>
      <c r="D458" s="226">
        <f>+ROUNDUP(SUMIFS('MEMORIA CANTIDADES'!E:E,'MEMORIA CANTIDADES'!B:B,Table28[[#This Row],[DESCRIPCIÓN ]],'MEMORIA CANTIDADES'!C:C,Table28[[#This Row],[UNIDAD]]),0)</f>
        <v>0</v>
      </c>
      <c r="E458" s="225">
        <f>+VLOOKUP(Table28[[#This Row],[DESCRIPCIÓN ]],INSUMOS!A:D,3,FALSE)</f>
        <v>8689.5400000000009</v>
      </c>
      <c r="F458" s="225">
        <f>+Table28[[#This Row],[CANTIDAD]]*Table28[[#This Row],[VALOR UNITARIO]]</f>
        <v>0</v>
      </c>
    </row>
    <row r="459" spans="1:6" s="193" customFormat="1" ht="28.8" hidden="1" x14ac:dyDescent="0.3">
      <c r="A459" s="193">
        <v>1031</v>
      </c>
      <c r="B459" s="193" t="s">
        <v>524</v>
      </c>
      <c r="C459" s="193" t="s">
        <v>55</v>
      </c>
      <c r="D459" s="226">
        <f>+ROUNDUP(SUMIFS('MEMORIA CANTIDADES'!E:E,'MEMORIA CANTIDADES'!B:B,Table28[[#This Row],[DESCRIPCIÓN ]],'MEMORIA CANTIDADES'!C:C,Table28[[#This Row],[UNIDAD]]),0)</f>
        <v>0</v>
      </c>
      <c r="E459" s="225">
        <f>+VLOOKUP(Table28[[#This Row],[DESCRIPCIÓN ]],INSUMOS!A:D,3,FALSE)</f>
        <v>12676.05</v>
      </c>
      <c r="F459" s="225">
        <f>+Table28[[#This Row],[CANTIDAD]]*Table28[[#This Row],[VALOR UNITARIO]]</f>
        <v>0</v>
      </c>
    </row>
    <row r="460" spans="1:6" s="193" customFormat="1" ht="28.8" hidden="1" x14ac:dyDescent="0.3">
      <c r="A460" s="193">
        <v>1032</v>
      </c>
      <c r="B460" s="193" t="s">
        <v>525</v>
      </c>
      <c r="C460" s="193" t="s">
        <v>55</v>
      </c>
      <c r="D460" s="226">
        <f>+ROUNDUP(SUMIFS('MEMORIA CANTIDADES'!E:E,'MEMORIA CANTIDADES'!B:B,Table28[[#This Row],[DESCRIPCIÓN ]],'MEMORIA CANTIDADES'!C:C,Table28[[#This Row],[UNIDAD]]),0)</f>
        <v>0</v>
      </c>
      <c r="E460" s="225">
        <f>+VLOOKUP(Table28[[#This Row],[DESCRIPCIÓN ]],INSUMOS!A:D,3,FALSE)</f>
        <v>146232.95999999999</v>
      </c>
      <c r="F460" s="225">
        <f>+Table28[[#This Row],[CANTIDAD]]*Table28[[#This Row],[VALOR UNITARIO]]</f>
        <v>0</v>
      </c>
    </row>
    <row r="461" spans="1:6" s="193" customFormat="1" ht="28.8" hidden="1" x14ac:dyDescent="0.3">
      <c r="A461" s="193">
        <v>1033</v>
      </c>
      <c r="B461" s="193" t="s">
        <v>526</v>
      </c>
      <c r="C461" s="193" t="s">
        <v>55</v>
      </c>
      <c r="D461" s="226">
        <f>+ROUNDUP(SUMIFS('MEMORIA CANTIDADES'!E:E,'MEMORIA CANTIDADES'!B:B,Table28[[#This Row],[DESCRIPCIÓN ]],'MEMORIA CANTIDADES'!C:C,Table28[[#This Row],[UNIDAD]]),0)</f>
        <v>0</v>
      </c>
      <c r="E461" s="225">
        <f>+VLOOKUP(Table28[[#This Row],[DESCRIPCIÓN ]],INSUMOS!A:D,3,FALSE)</f>
        <v>4364.68</v>
      </c>
      <c r="F461" s="225">
        <f>+Table28[[#This Row],[CANTIDAD]]*Table28[[#This Row],[VALOR UNITARIO]]</f>
        <v>0</v>
      </c>
    </row>
    <row r="462" spans="1:6" s="193" customFormat="1" ht="28.8" hidden="1" x14ac:dyDescent="0.3">
      <c r="A462" s="193">
        <v>1034</v>
      </c>
      <c r="B462" s="193" t="s">
        <v>527</v>
      </c>
      <c r="C462" s="193" t="s">
        <v>55</v>
      </c>
      <c r="D462" s="226">
        <f>+ROUNDUP(SUMIFS('MEMORIA CANTIDADES'!E:E,'MEMORIA CANTIDADES'!B:B,Table28[[#This Row],[DESCRIPCIÓN ]],'MEMORIA CANTIDADES'!C:C,Table28[[#This Row],[UNIDAD]]),0)</f>
        <v>0</v>
      </c>
      <c r="E462" s="225">
        <f>+VLOOKUP(Table28[[#This Row],[DESCRIPCIÓN ]],INSUMOS!A:D,3,FALSE)</f>
        <v>4794.82</v>
      </c>
      <c r="F462" s="225">
        <f>+Table28[[#This Row],[CANTIDAD]]*Table28[[#This Row],[VALOR UNITARIO]]</f>
        <v>0</v>
      </c>
    </row>
    <row r="463" spans="1:6" s="193" customFormat="1" ht="28.8" hidden="1" x14ac:dyDescent="0.3">
      <c r="A463" s="193">
        <v>1035</v>
      </c>
      <c r="B463" s="193" t="s">
        <v>528</v>
      </c>
      <c r="C463" s="193" t="s">
        <v>55</v>
      </c>
      <c r="D463" s="226">
        <f>+ROUNDUP(SUMIFS('MEMORIA CANTIDADES'!E:E,'MEMORIA CANTIDADES'!B:B,Table28[[#This Row],[DESCRIPCIÓN ]],'MEMORIA CANTIDADES'!C:C,Table28[[#This Row],[UNIDAD]]),0)</f>
        <v>0</v>
      </c>
      <c r="E463" s="225">
        <f>+VLOOKUP(Table28[[#This Row],[DESCRIPCIÓN ]],INSUMOS!A:D,3,FALSE)</f>
        <v>10322.459999999999</v>
      </c>
      <c r="F463" s="225">
        <f>+Table28[[#This Row],[CANTIDAD]]*Table28[[#This Row],[VALOR UNITARIO]]</f>
        <v>0</v>
      </c>
    </row>
    <row r="464" spans="1:6" s="193" customFormat="1" ht="28.8" hidden="1" x14ac:dyDescent="0.3">
      <c r="A464" s="193">
        <v>1036</v>
      </c>
      <c r="B464" s="193" t="s">
        <v>529</v>
      </c>
      <c r="C464" s="193" t="s">
        <v>55</v>
      </c>
      <c r="D464" s="226">
        <f>+ROUNDUP(SUMIFS('MEMORIA CANTIDADES'!E:E,'MEMORIA CANTIDADES'!B:B,Table28[[#This Row],[DESCRIPCIÓN ]],'MEMORIA CANTIDADES'!C:C,Table28[[#This Row],[UNIDAD]]),0)</f>
        <v>0</v>
      </c>
      <c r="E464" s="225">
        <f>+VLOOKUP(Table28[[#This Row],[DESCRIPCIÓN ]],INSUMOS!A:D,3,FALSE)</f>
        <v>18693.41</v>
      </c>
      <c r="F464" s="225">
        <f>+Table28[[#This Row],[CANTIDAD]]*Table28[[#This Row],[VALOR UNITARIO]]</f>
        <v>0</v>
      </c>
    </row>
    <row r="465" spans="1:6" s="193" customFormat="1" ht="28.8" hidden="1" x14ac:dyDescent="0.3">
      <c r="A465" s="193">
        <v>1037</v>
      </c>
      <c r="B465" s="193" t="s">
        <v>530</v>
      </c>
      <c r="C465" s="193" t="s">
        <v>55</v>
      </c>
      <c r="D465" s="226">
        <f>+ROUNDUP(SUMIFS('MEMORIA CANTIDADES'!E:E,'MEMORIA CANTIDADES'!B:B,Table28[[#This Row],[DESCRIPCIÓN ]],'MEMORIA CANTIDADES'!C:C,Table28[[#This Row],[UNIDAD]]),0)</f>
        <v>0</v>
      </c>
      <c r="E465" s="225">
        <f>+VLOOKUP(Table28[[#This Row],[DESCRIPCIÓN ]],INSUMOS!A:D,3,FALSE)</f>
        <v>143725.53</v>
      </c>
      <c r="F465" s="225">
        <f>+Table28[[#This Row],[CANTIDAD]]*Table28[[#This Row],[VALOR UNITARIO]]</f>
        <v>0</v>
      </c>
    </row>
    <row r="466" spans="1:6" s="193" customFormat="1" hidden="1" x14ac:dyDescent="0.3">
      <c r="A466" s="193">
        <v>159</v>
      </c>
      <c r="B466" s="193" t="s">
        <v>531</v>
      </c>
      <c r="C466" s="193" t="s">
        <v>55</v>
      </c>
      <c r="D466" s="226">
        <f>+ROUNDUP(SUMIFS('MEMORIA CANTIDADES'!E:E,'MEMORIA CANTIDADES'!B:B,Table28[[#This Row],[DESCRIPCIÓN ]],'MEMORIA CANTIDADES'!C:C,Table28[[#This Row],[UNIDAD]]),0)</f>
        <v>0</v>
      </c>
      <c r="E466" s="225">
        <f>+VLOOKUP(Table28[[#This Row],[DESCRIPCIÓN ]],INSUMOS!A:D,3,FALSE)</f>
        <v>15908.01</v>
      </c>
      <c r="F466" s="225">
        <f>+Table28[[#This Row],[CANTIDAD]]*Table28[[#This Row],[VALOR UNITARIO]]</f>
        <v>0</v>
      </c>
    </row>
    <row r="467" spans="1:6" s="193" customFormat="1" hidden="1" x14ac:dyDescent="0.3">
      <c r="A467" s="193">
        <v>160</v>
      </c>
      <c r="B467" s="193" t="s">
        <v>532</v>
      </c>
      <c r="C467" s="193" t="s">
        <v>55</v>
      </c>
      <c r="D467" s="226">
        <f>+ROUNDUP(SUMIFS('MEMORIA CANTIDADES'!E:E,'MEMORIA CANTIDADES'!B:B,Table28[[#This Row],[DESCRIPCIÓN ]],'MEMORIA CANTIDADES'!C:C,Table28[[#This Row],[UNIDAD]]),0)</f>
        <v>0</v>
      </c>
      <c r="E467" s="225">
        <f>+VLOOKUP(Table28[[#This Row],[DESCRIPCIÓN ]],INSUMOS!A:D,3,FALSE)</f>
        <v>17961.13</v>
      </c>
      <c r="F467" s="225">
        <f>+Table28[[#This Row],[CANTIDAD]]*Table28[[#This Row],[VALOR UNITARIO]]</f>
        <v>0</v>
      </c>
    </row>
    <row r="468" spans="1:6" s="193" customFormat="1" ht="28.8" hidden="1" x14ac:dyDescent="0.3">
      <c r="A468" s="193">
        <v>1038</v>
      </c>
      <c r="B468" s="193" t="s">
        <v>533</v>
      </c>
      <c r="C468" s="193" t="s">
        <v>55</v>
      </c>
      <c r="D468" s="226">
        <f>+ROUNDUP(SUMIFS('MEMORIA CANTIDADES'!E:E,'MEMORIA CANTIDADES'!B:B,Table28[[#This Row],[DESCRIPCIÓN ]],'MEMORIA CANTIDADES'!C:C,Table28[[#This Row],[UNIDAD]]),0)</f>
        <v>0</v>
      </c>
      <c r="E468" s="225">
        <f>+VLOOKUP(Table28[[#This Row],[DESCRIPCIÓN ]],INSUMOS!A:D,3,FALSE)</f>
        <v>30606.17</v>
      </c>
      <c r="F468" s="225">
        <f>+Table28[[#This Row],[CANTIDAD]]*Table28[[#This Row],[VALOR UNITARIO]]</f>
        <v>0</v>
      </c>
    </row>
    <row r="469" spans="1:6" s="193" customFormat="1" ht="28.8" hidden="1" x14ac:dyDescent="0.3">
      <c r="A469" s="193">
        <v>1039</v>
      </c>
      <c r="B469" s="193" t="s">
        <v>534</v>
      </c>
      <c r="C469" s="193" t="s">
        <v>55</v>
      </c>
      <c r="D469" s="226">
        <f>+ROUNDUP(SUMIFS('MEMORIA CANTIDADES'!E:E,'MEMORIA CANTIDADES'!B:B,Table28[[#This Row],[DESCRIPCIÓN ]],'MEMORIA CANTIDADES'!C:C,Table28[[#This Row],[UNIDAD]]),0)</f>
        <v>0</v>
      </c>
      <c r="E469" s="225">
        <f>+VLOOKUP(Table28[[#This Row],[DESCRIPCIÓN ]],INSUMOS!A:D,3,FALSE)</f>
        <v>43934.6</v>
      </c>
      <c r="F469" s="225">
        <f>+Table28[[#This Row],[CANTIDAD]]*Table28[[#This Row],[VALOR UNITARIO]]</f>
        <v>0</v>
      </c>
    </row>
    <row r="470" spans="1:6" s="193" customFormat="1" ht="57.6" hidden="1" x14ac:dyDescent="0.3">
      <c r="A470" s="193">
        <v>791</v>
      </c>
      <c r="B470" s="193" t="s">
        <v>535</v>
      </c>
      <c r="C470" s="193" t="s">
        <v>55</v>
      </c>
      <c r="D470" s="226">
        <f>+ROUNDUP(SUMIFS('MEMORIA CANTIDADES'!E:E,'MEMORIA CANTIDADES'!B:B,Table28[[#This Row],[DESCRIPCIÓN ]],'MEMORIA CANTIDADES'!C:C,Table28[[#This Row],[UNIDAD]]),0)</f>
        <v>0</v>
      </c>
      <c r="E470" s="225">
        <f>+VLOOKUP(Table28[[#This Row],[DESCRIPCIÓN ]],INSUMOS!A:D,3,FALSE)</f>
        <v>495328.78</v>
      </c>
      <c r="F470" s="225">
        <f>+Table28[[#This Row],[CANTIDAD]]*Table28[[#This Row],[VALOR UNITARIO]]</f>
        <v>0</v>
      </c>
    </row>
    <row r="471" spans="1:6" s="193" customFormat="1" hidden="1" x14ac:dyDescent="0.3">
      <c r="A471" s="193">
        <v>287</v>
      </c>
      <c r="B471" s="193" t="s">
        <v>536</v>
      </c>
      <c r="C471" s="193" t="s">
        <v>55</v>
      </c>
      <c r="D471" s="226">
        <f>+ROUNDUP(SUMIFS('MEMORIA CANTIDADES'!E:E,'MEMORIA CANTIDADES'!B:B,Table28[[#This Row],[DESCRIPCIÓN ]],'MEMORIA CANTIDADES'!C:C,Table28[[#This Row],[UNIDAD]]),0)</f>
        <v>0</v>
      </c>
      <c r="E471" s="225">
        <f>+VLOOKUP(Table28[[#This Row],[DESCRIPCIÓN ]],INSUMOS!A:D,3,FALSE)</f>
        <v>2352.14</v>
      </c>
      <c r="F471" s="225">
        <f>+Table28[[#This Row],[CANTIDAD]]*Table28[[#This Row],[VALOR UNITARIO]]</f>
        <v>0</v>
      </c>
    </row>
    <row r="472" spans="1:6" s="193" customFormat="1" ht="28.8" hidden="1" x14ac:dyDescent="0.3">
      <c r="A472" s="193">
        <v>288</v>
      </c>
      <c r="B472" s="193" t="s">
        <v>537</v>
      </c>
      <c r="C472" s="193" t="s">
        <v>55</v>
      </c>
      <c r="D472" s="226">
        <f>+ROUNDUP(SUMIFS('MEMORIA CANTIDADES'!E:E,'MEMORIA CANTIDADES'!B:B,Table28[[#This Row],[DESCRIPCIÓN ]],'MEMORIA CANTIDADES'!C:C,Table28[[#This Row],[UNIDAD]]),0)</f>
        <v>0</v>
      </c>
      <c r="E472" s="225">
        <f>+VLOOKUP(Table28[[#This Row],[DESCRIPCIÓN ]],INSUMOS!A:D,3,FALSE)</f>
        <v>2689.3</v>
      </c>
      <c r="F472" s="225">
        <f>+Table28[[#This Row],[CANTIDAD]]*Table28[[#This Row],[VALOR UNITARIO]]</f>
        <v>0</v>
      </c>
    </row>
    <row r="473" spans="1:6" s="193" customFormat="1" ht="28.8" hidden="1" x14ac:dyDescent="0.3">
      <c r="A473" s="193">
        <v>1217</v>
      </c>
      <c r="B473" s="193" t="s">
        <v>538</v>
      </c>
      <c r="C473" s="193" t="s">
        <v>55</v>
      </c>
      <c r="D473" s="226">
        <f>+ROUNDUP(SUMIFS('MEMORIA CANTIDADES'!E:E,'MEMORIA CANTIDADES'!B:B,Table28[[#This Row],[DESCRIPCIÓN ]],'MEMORIA CANTIDADES'!C:C,Table28[[#This Row],[UNIDAD]]),0)</f>
        <v>0</v>
      </c>
      <c r="E473" s="225">
        <f>+VLOOKUP(Table28[[#This Row],[DESCRIPCIÓN ]],INSUMOS!A:D,3,FALSE)</f>
        <v>14941.97</v>
      </c>
      <c r="F473" s="225">
        <f>+Table28[[#This Row],[CANTIDAD]]*Table28[[#This Row],[VALOR UNITARIO]]</f>
        <v>0</v>
      </c>
    </row>
    <row r="474" spans="1:6" s="193" customFormat="1" ht="28.8" hidden="1" x14ac:dyDescent="0.3">
      <c r="A474" s="193">
        <v>136</v>
      </c>
      <c r="B474" s="193" t="s">
        <v>539</v>
      </c>
      <c r="C474" s="193" t="s">
        <v>1272</v>
      </c>
      <c r="D474" s="226">
        <f>+ROUNDUP(SUMIFS('MEMORIA CANTIDADES'!E:E,'MEMORIA CANTIDADES'!B:B,Table28[[#This Row],[DESCRIPCIÓN ]],'MEMORIA CANTIDADES'!C:C,Table28[[#This Row],[UNIDAD]]),0)</f>
        <v>0</v>
      </c>
      <c r="E474" s="225">
        <f>+VLOOKUP(Table28[[#This Row],[DESCRIPCIÓN ]],INSUMOS!A:D,3,FALSE)</f>
        <v>455219.82</v>
      </c>
      <c r="F474" s="225">
        <f>+Table28[[#This Row],[CANTIDAD]]*Table28[[#This Row],[VALOR UNITARIO]]</f>
        <v>0</v>
      </c>
    </row>
    <row r="475" spans="1:6" s="193" customFormat="1" hidden="1" x14ac:dyDescent="0.3">
      <c r="A475" s="193">
        <v>1236</v>
      </c>
      <c r="B475" s="193" t="s">
        <v>2235</v>
      </c>
      <c r="C475" s="193" t="s">
        <v>2236</v>
      </c>
      <c r="D475" s="226">
        <f>+ROUNDUP(SUMIFS('MEMORIA CANTIDADES'!E:E,'MEMORIA CANTIDADES'!B:B,Table28[[#This Row],[DESCRIPCIÓN ]],'MEMORIA CANTIDADES'!C:C,Table28[[#This Row],[UNIDAD]]),0)</f>
        <v>0</v>
      </c>
      <c r="E475" s="225" t="e">
        <f>+VLOOKUP(Table28[[#This Row],[DESCRIPCIÓN ]],INSUMOS!A:D,3,FALSE)</f>
        <v>#N/A</v>
      </c>
      <c r="F475" s="225" t="e">
        <f>+Table28[[#This Row],[CANTIDAD]]*Table28[[#This Row],[VALOR UNITARIO]]</f>
        <v>#N/A</v>
      </c>
    </row>
    <row r="476" spans="1:6" s="193" customFormat="1" ht="28.8" hidden="1" x14ac:dyDescent="0.3">
      <c r="A476" s="193">
        <v>1238</v>
      </c>
      <c r="B476" s="193" t="s">
        <v>540</v>
      </c>
      <c r="C476" s="193" t="s">
        <v>2236</v>
      </c>
      <c r="D476" s="226">
        <f>+ROUNDUP(SUMIFS('MEMORIA CANTIDADES'!E:E,'MEMORIA CANTIDADES'!B:B,Table28[[#This Row],[DESCRIPCIÓN ]],'MEMORIA CANTIDADES'!C:C,Table28[[#This Row],[UNIDAD]]),0)</f>
        <v>0</v>
      </c>
      <c r="E476" s="225">
        <f>+VLOOKUP(Table28[[#This Row],[DESCRIPCIÓN ]],INSUMOS!A:D,3,FALSE)</f>
        <v>15715.23</v>
      </c>
      <c r="F476" s="225">
        <f>+Table28[[#This Row],[CANTIDAD]]*Table28[[#This Row],[VALOR UNITARIO]]</f>
        <v>0</v>
      </c>
    </row>
    <row r="477" spans="1:6" s="193" customFormat="1" ht="28.8" hidden="1" x14ac:dyDescent="0.3">
      <c r="A477" s="193">
        <v>1237</v>
      </c>
      <c r="B477" s="193" t="s">
        <v>541</v>
      </c>
      <c r="C477" s="193" t="s">
        <v>2236</v>
      </c>
      <c r="D477" s="226">
        <f>+ROUNDUP(SUMIFS('MEMORIA CANTIDADES'!E:E,'MEMORIA CANTIDADES'!B:B,Table28[[#This Row],[DESCRIPCIÓN ]],'MEMORIA CANTIDADES'!C:C,Table28[[#This Row],[UNIDAD]]),0)</f>
        <v>0</v>
      </c>
      <c r="E477" s="225">
        <f>+VLOOKUP(Table28[[#This Row],[DESCRIPCIÓN ]],INSUMOS!A:D,3,FALSE)</f>
        <v>15438.98</v>
      </c>
      <c r="F477" s="225">
        <f>+Table28[[#This Row],[CANTIDAD]]*Table28[[#This Row],[VALOR UNITARIO]]</f>
        <v>0</v>
      </c>
    </row>
    <row r="478" spans="1:6" s="193" customFormat="1" hidden="1" x14ac:dyDescent="0.3">
      <c r="A478" s="193">
        <v>379</v>
      </c>
      <c r="B478" s="193" t="s">
        <v>542</v>
      </c>
      <c r="C478" s="193" t="s">
        <v>1270</v>
      </c>
      <c r="D478" s="226">
        <f>+ROUNDUP(SUMIFS('MEMORIA CANTIDADES'!E:E,'MEMORIA CANTIDADES'!B:B,Table28[[#This Row],[DESCRIPCIÓN ]],'MEMORIA CANTIDADES'!C:C,Table28[[#This Row],[UNIDAD]]),0)</f>
        <v>0</v>
      </c>
      <c r="E478" s="225">
        <f>+VLOOKUP(Table28[[#This Row],[DESCRIPCIÓN ]],INSUMOS!A:D,3,FALSE)</f>
        <v>19049.22</v>
      </c>
      <c r="F478" s="225">
        <f>+Table28[[#This Row],[CANTIDAD]]*Table28[[#This Row],[VALOR UNITARIO]]</f>
        <v>0</v>
      </c>
    </row>
    <row r="479" spans="1:6" s="193" customFormat="1" ht="28.8" hidden="1" x14ac:dyDescent="0.3">
      <c r="A479" s="193">
        <v>380</v>
      </c>
      <c r="B479" s="193" t="s">
        <v>543</v>
      </c>
      <c r="C479" s="193" t="s">
        <v>1270</v>
      </c>
      <c r="D479" s="226">
        <f>+ROUNDUP(SUMIFS('MEMORIA CANTIDADES'!E:E,'MEMORIA CANTIDADES'!B:B,Table28[[#This Row],[DESCRIPCIÓN ]],'MEMORIA CANTIDADES'!C:C,Table28[[#This Row],[UNIDAD]]),0)</f>
        <v>0</v>
      </c>
      <c r="E479" s="225">
        <f>+VLOOKUP(Table28[[#This Row],[DESCRIPCIÓN ]],INSUMOS!A:D,3,FALSE)</f>
        <v>14162.35</v>
      </c>
      <c r="F479" s="225">
        <f>+Table28[[#This Row],[CANTIDAD]]*Table28[[#This Row],[VALOR UNITARIO]]</f>
        <v>0</v>
      </c>
    </row>
    <row r="480" spans="1:6" s="193" customFormat="1" hidden="1" x14ac:dyDescent="0.3">
      <c r="A480" s="193">
        <v>381</v>
      </c>
      <c r="B480" s="193" t="s">
        <v>544</v>
      </c>
      <c r="C480" s="193" t="s">
        <v>1270</v>
      </c>
      <c r="D480" s="226">
        <f>+ROUNDUP(SUMIFS('MEMORIA CANTIDADES'!E:E,'MEMORIA CANTIDADES'!B:B,Table28[[#This Row],[DESCRIPCIÓN ]],'MEMORIA CANTIDADES'!C:C,Table28[[#This Row],[UNIDAD]]),0)</f>
        <v>0</v>
      </c>
      <c r="E480" s="225">
        <f>+VLOOKUP(Table28[[#This Row],[DESCRIPCIÓN ]],INSUMOS!A:D,3,FALSE)</f>
        <v>35706.5</v>
      </c>
      <c r="F480" s="225">
        <f>+Table28[[#This Row],[CANTIDAD]]*Table28[[#This Row],[VALOR UNITARIO]]</f>
        <v>0</v>
      </c>
    </row>
    <row r="481" spans="1:6" s="193" customFormat="1" hidden="1" x14ac:dyDescent="0.3">
      <c r="A481" s="193">
        <v>382</v>
      </c>
      <c r="B481" s="193" t="s">
        <v>545</v>
      </c>
      <c r="C481" s="193" t="s">
        <v>1270</v>
      </c>
      <c r="D481" s="226">
        <f>+ROUNDUP(SUMIFS('MEMORIA CANTIDADES'!E:E,'MEMORIA CANTIDADES'!B:B,Table28[[#This Row],[DESCRIPCIÓN ]],'MEMORIA CANTIDADES'!C:C,Table28[[#This Row],[UNIDAD]]),0)</f>
        <v>0</v>
      </c>
      <c r="E481" s="225">
        <f>+VLOOKUP(Table28[[#This Row],[DESCRIPCIÓN ]],INSUMOS!A:D,3,FALSE)</f>
        <v>73339.14</v>
      </c>
      <c r="F481" s="225">
        <f>+Table28[[#This Row],[CANTIDAD]]*Table28[[#This Row],[VALOR UNITARIO]]</f>
        <v>0</v>
      </c>
    </row>
    <row r="482" spans="1:6" s="193" customFormat="1" hidden="1" x14ac:dyDescent="0.3">
      <c r="A482" s="193">
        <v>383</v>
      </c>
      <c r="B482" s="193" t="s">
        <v>546</v>
      </c>
      <c r="C482" s="193" t="s">
        <v>1270</v>
      </c>
      <c r="D482" s="226">
        <f>+ROUNDUP(SUMIFS('MEMORIA CANTIDADES'!E:E,'MEMORIA CANTIDADES'!B:B,Table28[[#This Row],[DESCRIPCIÓN ]],'MEMORIA CANTIDADES'!C:C,Table28[[#This Row],[UNIDAD]]),0)</f>
        <v>0</v>
      </c>
      <c r="E482" s="225">
        <f>+VLOOKUP(Table28[[#This Row],[DESCRIPCIÓN ]],INSUMOS!A:D,3,FALSE)</f>
        <v>8207.66</v>
      </c>
      <c r="F482" s="225">
        <f>+Table28[[#This Row],[CANTIDAD]]*Table28[[#This Row],[VALOR UNITARIO]]</f>
        <v>0</v>
      </c>
    </row>
    <row r="483" spans="1:6" s="193" customFormat="1" x14ac:dyDescent="0.3">
      <c r="A483" s="193">
        <v>308</v>
      </c>
      <c r="B483" s="193" t="s">
        <v>849</v>
      </c>
      <c r="C483" s="193" t="s">
        <v>55</v>
      </c>
      <c r="D483" s="226">
        <f>+ROUNDUP(SUMIFS('MEMORIA CANTIDADES'!E:E,'MEMORIA CANTIDADES'!B:B,Table28[[#This Row],[DESCRIPCIÓN ]],'MEMORIA CANTIDADES'!C:C,Table28[[#This Row],[UNIDAD]]),0)</f>
        <v>8</v>
      </c>
      <c r="E483" s="225">
        <f>+VLOOKUP(Table28[[#This Row],[DESCRIPCIÓN ]],INSUMOS!A:D,3,FALSE)</f>
        <v>534936.47</v>
      </c>
      <c r="F483" s="225">
        <f>+Table28[[#This Row],[CANTIDAD]]*Table28[[#This Row],[VALOR UNITARIO]]</f>
        <v>4279491.76</v>
      </c>
    </row>
    <row r="484" spans="1:6" s="193" customFormat="1" ht="28.8" hidden="1" x14ac:dyDescent="0.3">
      <c r="A484" s="193">
        <v>1234</v>
      </c>
      <c r="B484" s="193" t="s">
        <v>2234</v>
      </c>
      <c r="C484" s="193" t="s">
        <v>55</v>
      </c>
      <c r="D484" s="226">
        <f>+ROUNDUP(SUMIFS('MEMORIA CANTIDADES'!E:E,'MEMORIA CANTIDADES'!B:B,Table28[[#This Row],[DESCRIPCIÓN ]],'MEMORIA CANTIDADES'!C:C,Table28[[#This Row],[UNIDAD]]),0)</f>
        <v>0</v>
      </c>
      <c r="E484" s="225">
        <f>+VLOOKUP(Table28[[#This Row],[DESCRIPCIÓN ]],INSUMOS!A:D,3,FALSE)</f>
        <v>69656.77</v>
      </c>
      <c r="F484" s="225">
        <f>+Table28[[#This Row],[CANTIDAD]]*Table28[[#This Row],[VALOR UNITARIO]]</f>
        <v>0</v>
      </c>
    </row>
    <row r="485" spans="1:6" s="193" customFormat="1" x14ac:dyDescent="0.3">
      <c r="A485" s="193">
        <v>384</v>
      </c>
      <c r="B485" s="193" t="s">
        <v>547</v>
      </c>
      <c r="C485" s="193" t="s">
        <v>1270</v>
      </c>
      <c r="D485" s="226">
        <f>+ROUNDUP(SUMIFS('MEMORIA CANTIDADES'!E:E,'MEMORIA CANTIDADES'!B:B,Table28[[#This Row],[DESCRIPCIÓN ]],'MEMORIA CANTIDADES'!C:C,Table28[[#This Row],[UNIDAD]]),0)</f>
        <v>19</v>
      </c>
      <c r="E485" s="225">
        <f>+VLOOKUP(Table28[[#This Row],[DESCRIPCIÓN ]],INSUMOS!A:D,3,FALSE)</f>
        <v>15821.64</v>
      </c>
      <c r="F485" s="225">
        <f>+Table28[[#This Row],[CANTIDAD]]*Table28[[#This Row],[VALOR UNITARIO]]</f>
        <v>300611.15999999997</v>
      </c>
    </row>
    <row r="486" spans="1:6" s="193" customFormat="1" ht="43.2" hidden="1" x14ac:dyDescent="0.3">
      <c r="A486" s="193">
        <v>1</v>
      </c>
      <c r="B486" s="193" t="s">
        <v>548</v>
      </c>
      <c r="C486" s="193" t="s">
        <v>55</v>
      </c>
      <c r="D486" s="226">
        <f>+ROUNDUP(SUMIFS('MEMORIA CANTIDADES'!E:E,'MEMORIA CANTIDADES'!B:B,Table28[[#This Row],[DESCRIPCIÓN ]],'MEMORIA CANTIDADES'!C:C,Table28[[#This Row],[UNIDAD]]),0)</f>
        <v>0</v>
      </c>
      <c r="E486" s="225">
        <f>+VLOOKUP(Table28[[#This Row],[DESCRIPCIÓN ]],INSUMOS!A:D,3,FALSE)</f>
        <v>294147.71000000002</v>
      </c>
      <c r="F486" s="225">
        <f>+Table28[[#This Row],[CANTIDAD]]*Table28[[#This Row],[VALOR UNITARIO]]</f>
        <v>0</v>
      </c>
    </row>
    <row r="487" spans="1:6" s="193" customFormat="1" ht="28.8" hidden="1" x14ac:dyDescent="0.3">
      <c r="A487" s="193">
        <v>2</v>
      </c>
      <c r="B487" s="193" t="s">
        <v>549</v>
      </c>
      <c r="C487" s="193" t="s">
        <v>55</v>
      </c>
      <c r="D487" s="226">
        <f>+ROUNDUP(SUMIFS('MEMORIA CANTIDADES'!E:E,'MEMORIA CANTIDADES'!B:B,Table28[[#This Row],[DESCRIPCIÓN ]],'MEMORIA CANTIDADES'!C:C,Table28[[#This Row],[UNIDAD]]),0)</f>
        <v>0</v>
      </c>
      <c r="E487" s="225">
        <f>+VLOOKUP(Table28[[#This Row],[DESCRIPCIÓN ]],INSUMOS!A:D,3,FALSE)</f>
        <v>753329.81</v>
      </c>
      <c r="F487" s="225">
        <f>+Table28[[#This Row],[CANTIDAD]]*Table28[[#This Row],[VALOR UNITARIO]]</f>
        <v>0</v>
      </c>
    </row>
    <row r="488" spans="1:6" s="193" customFormat="1" ht="28.8" hidden="1" x14ac:dyDescent="0.3">
      <c r="A488" s="193">
        <v>289</v>
      </c>
      <c r="B488" s="193" t="s">
        <v>550</v>
      </c>
      <c r="C488" s="193" t="s">
        <v>55</v>
      </c>
      <c r="D488" s="226">
        <f>+ROUNDUP(SUMIFS('MEMORIA CANTIDADES'!E:E,'MEMORIA CANTIDADES'!B:B,Table28[[#This Row],[DESCRIPCIÓN ]],'MEMORIA CANTIDADES'!C:C,Table28[[#This Row],[UNIDAD]]),0)</f>
        <v>0</v>
      </c>
      <c r="E488" s="225">
        <f>+VLOOKUP(Table28[[#This Row],[DESCRIPCIÓN ]],INSUMOS!A:D,3,FALSE)</f>
        <v>16258.09</v>
      </c>
      <c r="F488" s="225">
        <f>+Table28[[#This Row],[CANTIDAD]]*Table28[[#This Row],[VALOR UNITARIO]]</f>
        <v>0</v>
      </c>
    </row>
    <row r="489" spans="1:6" s="193" customFormat="1" ht="28.8" hidden="1" x14ac:dyDescent="0.3">
      <c r="A489" s="193">
        <v>290</v>
      </c>
      <c r="B489" s="193" t="s">
        <v>551</v>
      </c>
      <c r="C489" s="193" t="s">
        <v>55</v>
      </c>
      <c r="D489" s="226">
        <f>+ROUNDUP(SUMIFS('MEMORIA CANTIDADES'!E:E,'MEMORIA CANTIDADES'!B:B,Table28[[#This Row],[DESCRIPCIÓN ]],'MEMORIA CANTIDADES'!C:C,Table28[[#This Row],[UNIDAD]]),0)</f>
        <v>0</v>
      </c>
      <c r="E489" s="225">
        <f>+VLOOKUP(Table28[[#This Row],[DESCRIPCIÓN ]],INSUMOS!A:D,3,FALSE)</f>
        <v>11275.17</v>
      </c>
      <c r="F489" s="225">
        <f>+Table28[[#This Row],[CANTIDAD]]*Table28[[#This Row],[VALOR UNITARIO]]</f>
        <v>0</v>
      </c>
    </row>
    <row r="490" spans="1:6" s="193" customFormat="1" ht="28.8" hidden="1" x14ac:dyDescent="0.3">
      <c r="A490" s="193">
        <v>291</v>
      </c>
      <c r="B490" s="193" t="s">
        <v>552</v>
      </c>
      <c r="C490" s="193" t="s">
        <v>55</v>
      </c>
      <c r="D490" s="226">
        <f>+ROUNDUP(SUMIFS('MEMORIA CANTIDADES'!E:E,'MEMORIA CANTIDADES'!B:B,Table28[[#This Row],[DESCRIPCIÓN ]],'MEMORIA CANTIDADES'!C:C,Table28[[#This Row],[UNIDAD]]),0)</f>
        <v>0</v>
      </c>
      <c r="E490" s="225">
        <f>+VLOOKUP(Table28[[#This Row],[DESCRIPCIÓN ]],INSUMOS!A:D,3,FALSE)</f>
        <v>6274.88</v>
      </c>
      <c r="F490" s="225">
        <f>+Table28[[#This Row],[CANTIDAD]]*Table28[[#This Row],[VALOR UNITARIO]]</f>
        <v>0</v>
      </c>
    </row>
    <row r="491" spans="1:6" s="193" customFormat="1" ht="28.8" hidden="1" x14ac:dyDescent="0.3">
      <c r="A491" s="193">
        <v>292</v>
      </c>
      <c r="B491" s="193" t="s">
        <v>553</v>
      </c>
      <c r="C491" s="193" t="s">
        <v>55</v>
      </c>
      <c r="D491" s="226">
        <f>+ROUNDUP(SUMIFS('MEMORIA CANTIDADES'!E:E,'MEMORIA CANTIDADES'!B:B,Table28[[#This Row],[DESCRIPCIÓN ]],'MEMORIA CANTIDADES'!C:C,Table28[[#This Row],[UNIDAD]]),0)</f>
        <v>0</v>
      </c>
      <c r="E491" s="225">
        <f>+VLOOKUP(Table28[[#This Row],[DESCRIPCIÓN ]],INSUMOS!A:D,3,FALSE)</f>
        <v>1952.19</v>
      </c>
      <c r="F491" s="225">
        <f>+Table28[[#This Row],[CANTIDAD]]*Table28[[#This Row],[VALOR UNITARIO]]</f>
        <v>0</v>
      </c>
    </row>
    <row r="492" spans="1:6" s="193" customFormat="1" ht="28.8" hidden="1" x14ac:dyDescent="0.3">
      <c r="A492" s="193">
        <v>293</v>
      </c>
      <c r="B492" s="193" t="s">
        <v>554</v>
      </c>
      <c r="C492" s="193" t="s">
        <v>55</v>
      </c>
      <c r="D492" s="226">
        <f>+ROUNDUP(SUMIFS('MEMORIA CANTIDADES'!E:E,'MEMORIA CANTIDADES'!B:B,Table28[[#This Row],[DESCRIPCIÓN ]],'MEMORIA CANTIDADES'!C:C,Table28[[#This Row],[UNIDAD]]),0)</f>
        <v>0</v>
      </c>
      <c r="E492" s="225">
        <f>+VLOOKUP(Table28[[#This Row],[DESCRIPCIÓN ]],INSUMOS!A:D,3,FALSE)</f>
        <v>28115.08</v>
      </c>
      <c r="F492" s="225">
        <f>+Table28[[#This Row],[CANTIDAD]]*Table28[[#This Row],[VALOR UNITARIO]]</f>
        <v>0</v>
      </c>
    </row>
    <row r="493" spans="1:6" s="193" customFormat="1" ht="28.8" hidden="1" x14ac:dyDescent="0.3">
      <c r="A493" s="193">
        <v>294</v>
      </c>
      <c r="B493" s="193" t="s">
        <v>555</v>
      </c>
      <c r="C493" s="193" t="s">
        <v>55</v>
      </c>
      <c r="D493" s="226">
        <f>+ROUNDUP(SUMIFS('MEMORIA CANTIDADES'!E:E,'MEMORIA CANTIDADES'!B:B,Table28[[#This Row],[DESCRIPCIÓN ]],'MEMORIA CANTIDADES'!C:C,Table28[[#This Row],[UNIDAD]]),0)</f>
        <v>0</v>
      </c>
      <c r="E493" s="225">
        <f>+VLOOKUP(Table28[[#This Row],[DESCRIPCIÓN ]],INSUMOS!A:D,3,FALSE)</f>
        <v>3665.49</v>
      </c>
      <c r="F493" s="225">
        <f>+Table28[[#This Row],[CANTIDAD]]*Table28[[#This Row],[VALOR UNITARIO]]</f>
        <v>0</v>
      </c>
    </row>
    <row r="494" spans="1:6" s="193" customFormat="1" hidden="1" x14ac:dyDescent="0.3">
      <c r="A494" s="193">
        <v>295</v>
      </c>
      <c r="B494" s="193" t="s">
        <v>556</v>
      </c>
      <c r="C494" s="193" t="s">
        <v>55</v>
      </c>
      <c r="D494" s="226">
        <f>+ROUNDUP(SUMIFS('MEMORIA CANTIDADES'!E:E,'MEMORIA CANTIDADES'!B:B,Table28[[#This Row],[DESCRIPCIÓN ]],'MEMORIA CANTIDADES'!C:C,Table28[[#This Row],[UNIDAD]]),0)</f>
        <v>0</v>
      </c>
      <c r="E494" s="225">
        <f>+VLOOKUP(Table28[[#This Row],[DESCRIPCIÓN ]],INSUMOS!A:D,3,FALSE)</f>
        <v>10253.11</v>
      </c>
      <c r="F494" s="225">
        <f>+Table28[[#This Row],[CANTIDAD]]*Table28[[#This Row],[VALOR UNITARIO]]</f>
        <v>0</v>
      </c>
    </row>
    <row r="495" spans="1:6" s="193" customFormat="1" ht="28.8" hidden="1" x14ac:dyDescent="0.3">
      <c r="A495" s="193">
        <v>296</v>
      </c>
      <c r="B495" s="193" t="s">
        <v>557</v>
      </c>
      <c r="C495" s="193" t="s">
        <v>55</v>
      </c>
      <c r="D495" s="226">
        <f>+ROUNDUP(SUMIFS('MEMORIA CANTIDADES'!E:E,'MEMORIA CANTIDADES'!B:B,Table28[[#This Row],[DESCRIPCIÓN ]],'MEMORIA CANTIDADES'!C:C,Table28[[#This Row],[UNIDAD]]),0)</f>
        <v>0</v>
      </c>
      <c r="E495" s="225">
        <f>+VLOOKUP(Table28[[#This Row],[DESCRIPCIÓN ]],INSUMOS!A:D,3,FALSE)</f>
        <v>7452.39</v>
      </c>
      <c r="F495" s="225">
        <f>+Table28[[#This Row],[CANTIDAD]]*Table28[[#This Row],[VALOR UNITARIO]]</f>
        <v>0</v>
      </c>
    </row>
    <row r="496" spans="1:6" s="193" customFormat="1" ht="28.8" hidden="1" x14ac:dyDescent="0.3">
      <c r="A496" s="193">
        <v>297</v>
      </c>
      <c r="B496" s="193" t="s">
        <v>558</v>
      </c>
      <c r="C496" s="193" t="s">
        <v>55</v>
      </c>
      <c r="D496" s="226">
        <f>+ROUNDUP(SUMIFS('MEMORIA CANTIDADES'!E:E,'MEMORIA CANTIDADES'!B:B,Table28[[#This Row],[DESCRIPCIÓN ]],'MEMORIA CANTIDADES'!C:C,Table28[[#This Row],[UNIDAD]]),0)</f>
        <v>0</v>
      </c>
      <c r="E496" s="225">
        <f>+VLOOKUP(Table28[[#This Row],[DESCRIPCIÓN ]],INSUMOS!A:D,3,FALSE)</f>
        <v>12237.2</v>
      </c>
      <c r="F496" s="225">
        <f>+Table28[[#This Row],[CANTIDAD]]*Table28[[#This Row],[VALOR UNITARIO]]</f>
        <v>0</v>
      </c>
    </row>
    <row r="497" spans="1:6" s="193" customFormat="1" ht="28.8" hidden="1" x14ac:dyDescent="0.3">
      <c r="A497" s="193">
        <v>36</v>
      </c>
      <c r="B497" s="193" t="s">
        <v>559</v>
      </c>
      <c r="C497" s="193" t="s">
        <v>1271</v>
      </c>
      <c r="D497" s="226">
        <f>+ROUNDUP(SUMIFS('MEMORIA CANTIDADES'!E:E,'MEMORIA CANTIDADES'!B:B,Table28[[#This Row],[DESCRIPCIÓN ]],'MEMORIA CANTIDADES'!C:C,Table28[[#This Row],[UNIDAD]]),0)</f>
        <v>0</v>
      </c>
      <c r="E497" s="225">
        <f>+VLOOKUP(Table28[[#This Row],[DESCRIPCIÓN ]],INSUMOS!A:D,3,FALSE)</f>
        <v>404001.83</v>
      </c>
      <c r="F497" s="225">
        <f>+Table28[[#This Row],[CANTIDAD]]*Table28[[#This Row],[VALOR UNITARIO]]</f>
        <v>0</v>
      </c>
    </row>
    <row r="498" spans="1:6" s="193" customFormat="1" hidden="1" x14ac:dyDescent="0.3">
      <c r="A498" s="193">
        <v>512</v>
      </c>
      <c r="B498" s="193" t="s">
        <v>560</v>
      </c>
      <c r="C498" s="193" t="s">
        <v>55</v>
      </c>
      <c r="D498" s="226">
        <f>+ROUNDUP(SUMIFS('MEMORIA CANTIDADES'!E:E,'MEMORIA CANTIDADES'!B:B,Table28[[#This Row],[DESCRIPCIÓN ]],'MEMORIA CANTIDADES'!C:C,Table28[[#This Row],[UNIDAD]]),0)</f>
        <v>0</v>
      </c>
      <c r="E498" s="225">
        <f>+VLOOKUP(Table28[[#This Row],[DESCRIPCIÓN ]],INSUMOS!A:D,3,FALSE)</f>
        <v>15508.05</v>
      </c>
      <c r="F498" s="225">
        <f>+Table28[[#This Row],[CANTIDAD]]*Table28[[#This Row],[VALOR UNITARIO]]</f>
        <v>0</v>
      </c>
    </row>
    <row r="499" spans="1:6" s="193" customFormat="1" ht="28.8" hidden="1" x14ac:dyDescent="0.3">
      <c r="A499" s="193">
        <v>513</v>
      </c>
      <c r="B499" s="193" t="s">
        <v>561</v>
      </c>
      <c r="C499" s="193" t="s">
        <v>55</v>
      </c>
      <c r="D499" s="226">
        <f>+ROUNDUP(SUMIFS('MEMORIA CANTIDADES'!E:E,'MEMORIA CANTIDADES'!B:B,Table28[[#This Row],[DESCRIPCIÓN ]],'MEMORIA CANTIDADES'!C:C,Table28[[#This Row],[UNIDAD]]),0)</f>
        <v>0</v>
      </c>
      <c r="E499" s="225">
        <f>+VLOOKUP(Table28[[#This Row],[DESCRIPCIÓN ]],INSUMOS!A:D,3,FALSE)</f>
        <v>30827.02</v>
      </c>
      <c r="F499" s="225">
        <f>+Table28[[#This Row],[CANTIDAD]]*Table28[[#This Row],[VALOR UNITARIO]]</f>
        <v>0</v>
      </c>
    </row>
    <row r="500" spans="1:6" s="193" customFormat="1" ht="28.8" hidden="1" x14ac:dyDescent="0.3">
      <c r="A500" s="193">
        <v>514</v>
      </c>
      <c r="B500" s="193" t="s">
        <v>562</v>
      </c>
      <c r="C500" s="193" t="s">
        <v>55</v>
      </c>
      <c r="D500" s="226">
        <f>+ROUNDUP(SUMIFS('MEMORIA CANTIDADES'!E:E,'MEMORIA CANTIDADES'!B:B,Table28[[#This Row],[DESCRIPCIÓN ]],'MEMORIA CANTIDADES'!C:C,Table28[[#This Row],[UNIDAD]]),0)</f>
        <v>0</v>
      </c>
      <c r="E500" s="225">
        <f>+VLOOKUP(Table28[[#This Row],[DESCRIPCIÓN ]],INSUMOS!A:D,3,FALSE)</f>
        <v>96279.59</v>
      </c>
      <c r="F500" s="225">
        <f>+Table28[[#This Row],[CANTIDAD]]*Table28[[#This Row],[VALOR UNITARIO]]</f>
        <v>0</v>
      </c>
    </row>
    <row r="501" spans="1:6" s="193" customFormat="1" ht="28.8" hidden="1" x14ac:dyDescent="0.3">
      <c r="A501" s="193">
        <v>515</v>
      </c>
      <c r="B501" s="193" t="s">
        <v>563</v>
      </c>
      <c r="C501" s="193" t="s">
        <v>55</v>
      </c>
      <c r="D501" s="226">
        <f>+ROUNDUP(SUMIFS('MEMORIA CANTIDADES'!E:E,'MEMORIA CANTIDADES'!B:B,Table28[[#This Row],[DESCRIPCIÓN ]],'MEMORIA CANTIDADES'!C:C,Table28[[#This Row],[UNIDAD]]),0)</f>
        <v>0</v>
      </c>
      <c r="E501" s="225">
        <f>+VLOOKUP(Table28[[#This Row],[DESCRIPCIÓN ]],INSUMOS!A:D,3,FALSE)</f>
        <v>130294.43</v>
      </c>
      <c r="F501" s="225">
        <f>+Table28[[#This Row],[CANTIDAD]]*Table28[[#This Row],[VALOR UNITARIO]]</f>
        <v>0</v>
      </c>
    </row>
    <row r="502" spans="1:6" s="193" customFormat="1" ht="28.8" hidden="1" x14ac:dyDescent="0.3">
      <c r="A502" s="193">
        <v>516</v>
      </c>
      <c r="B502" s="193" t="s">
        <v>564</v>
      </c>
      <c r="C502" s="193" t="s">
        <v>55</v>
      </c>
      <c r="D502" s="226">
        <f>+ROUNDUP(SUMIFS('MEMORIA CANTIDADES'!E:E,'MEMORIA CANTIDADES'!B:B,Table28[[#This Row],[DESCRIPCIÓN ]],'MEMORIA CANTIDADES'!C:C,Table28[[#This Row],[UNIDAD]]),0)</f>
        <v>0</v>
      </c>
      <c r="E502" s="225">
        <f>+VLOOKUP(Table28[[#This Row],[DESCRIPCIÓN ]],INSUMOS!A:D,3,FALSE)</f>
        <v>33984.339999999997</v>
      </c>
      <c r="F502" s="225">
        <f>+Table28[[#This Row],[CANTIDAD]]*Table28[[#This Row],[VALOR UNITARIO]]</f>
        <v>0</v>
      </c>
    </row>
    <row r="503" spans="1:6" s="193" customFormat="1" ht="28.8" hidden="1" x14ac:dyDescent="0.3">
      <c r="A503" s="193">
        <v>517</v>
      </c>
      <c r="B503" s="193" t="s">
        <v>565</v>
      </c>
      <c r="C503" s="193" t="s">
        <v>55</v>
      </c>
      <c r="D503" s="226">
        <f>+ROUNDUP(SUMIFS('MEMORIA CANTIDADES'!E:E,'MEMORIA CANTIDADES'!B:B,Table28[[#This Row],[DESCRIPCIÓN ]],'MEMORIA CANTIDADES'!C:C,Table28[[#This Row],[UNIDAD]]),0)</f>
        <v>0</v>
      </c>
      <c r="E503" s="225">
        <f>+VLOOKUP(Table28[[#This Row],[DESCRIPCIÓN ]],INSUMOS!A:D,3,FALSE)</f>
        <v>105235.42</v>
      </c>
      <c r="F503" s="225">
        <f>+Table28[[#This Row],[CANTIDAD]]*Table28[[#This Row],[VALOR UNITARIO]]</f>
        <v>0</v>
      </c>
    </row>
    <row r="504" spans="1:6" s="193" customFormat="1" ht="28.8" hidden="1" x14ac:dyDescent="0.3">
      <c r="A504" s="193">
        <v>518</v>
      </c>
      <c r="B504" s="193" t="s">
        <v>566</v>
      </c>
      <c r="C504" s="193" t="s">
        <v>55</v>
      </c>
      <c r="D504" s="226">
        <f>+ROUNDUP(SUMIFS('MEMORIA CANTIDADES'!E:E,'MEMORIA CANTIDADES'!B:B,Table28[[#This Row],[DESCRIPCIÓN ]],'MEMORIA CANTIDADES'!C:C,Table28[[#This Row],[UNIDAD]]),0)</f>
        <v>0</v>
      </c>
      <c r="E504" s="225">
        <f>+VLOOKUP(Table28[[#This Row],[DESCRIPCIÓN ]],INSUMOS!A:D,3,FALSE)</f>
        <v>162384.95999999999</v>
      </c>
      <c r="F504" s="225">
        <f>+Table28[[#This Row],[CANTIDAD]]*Table28[[#This Row],[VALOR UNITARIO]]</f>
        <v>0</v>
      </c>
    </row>
    <row r="505" spans="1:6" s="193" customFormat="1" ht="28.8" hidden="1" x14ac:dyDescent="0.3">
      <c r="A505" s="193">
        <v>137</v>
      </c>
      <c r="B505" s="193" t="s">
        <v>2177</v>
      </c>
      <c r="C505" s="193" t="s">
        <v>1272</v>
      </c>
      <c r="D505" s="226">
        <f>+ROUNDUP(SUMIFS('MEMORIA CANTIDADES'!E:E,'MEMORIA CANTIDADES'!B:B,Table28[[#This Row],[DESCRIPCIÓN ]],'MEMORIA CANTIDADES'!C:C,Table28[[#This Row],[UNIDAD]]),0)</f>
        <v>0</v>
      </c>
      <c r="E505" s="225">
        <f>+VLOOKUP(Table28[[#This Row],[DESCRIPCIÓN ]],INSUMOS!A:D,3,FALSE)</f>
        <v>879066.37</v>
      </c>
      <c r="F505" s="225">
        <f>+Table28[[#This Row],[CANTIDAD]]*Table28[[#This Row],[VALOR UNITARIO]]</f>
        <v>0</v>
      </c>
    </row>
    <row r="506" spans="1:6" s="193" customFormat="1" ht="28.8" hidden="1" x14ac:dyDescent="0.3">
      <c r="A506" s="193">
        <v>798</v>
      </c>
      <c r="B506" s="193" t="s">
        <v>567</v>
      </c>
      <c r="C506" s="193" t="s">
        <v>55</v>
      </c>
      <c r="D506" s="226">
        <f>+ROUNDUP(SUMIFS('MEMORIA CANTIDADES'!E:E,'MEMORIA CANTIDADES'!B:B,Table28[[#This Row],[DESCRIPCIÓN ]],'MEMORIA CANTIDADES'!C:C,Table28[[#This Row],[UNIDAD]]),0)</f>
        <v>0</v>
      </c>
      <c r="E506" s="225">
        <f>+VLOOKUP(Table28[[#This Row],[DESCRIPCIÓN ]],INSUMOS!A:D,3,FALSE)</f>
        <v>81609.81</v>
      </c>
      <c r="F506" s="225">
        <f>+Table28[[#This Row],[CANTIDAD]]*Table28[[#This Row],[VALOR UNITARIO]]</f>
        <v>0</v>
      </c>
    </row>
    <row r="507" spans="1:6" s="193" customFormat="1" hidden="1" x14ac:dyDescent="0.3">
      <c r="A507" s="193">
        <v>4</v>
      </c>
      <c r="B507" s="193" t="s">
        <v>568</v>
      </c>
      <c r="C507" s="193" t="s">
        <v>1276</v>
      </c>
      <c r="D507" s="226">
        <f>+ROUNDUP(SUMIFS('MEMORIA CANTIDADES'!E:E,'MEMORIA CANTIDADES'!B:B,Table28[[#This Row],[DESCRIPCIÓN ]],'MEMORIA CANTIDADES'!C:C,Table28[[#This Row],[UNIDAD]]),0)</f>
        <v>0</v>
      </c>
      <c r="E507" s="225">
        <f>+VLOOKUP(Table28[[#This Row],[DESCRIPCIÓN ]],INSUMOS!A:D,3,FALSE)</f>
        <v>32857.910000000003</v>
      </c>
      <c r="F507" s="225">
        <f>+Table28[[#This Row],[CANTIDAD]]*Table28[[#This Row],[VALOR UNITARIO]]</f>
        <v>0</v>
      </c>
    </row>
    <row r="508" spans="1:6" s="193" customFormat="1" ht="28.8" hidden="1" x14ac:dyDescent="0.3">
      <c r="A508" s="193">
        <v>519</v>
      </c>
      <c r="B508" s="193" t="s">
        <v>569</v>
      </c>
      <c r="C508" s="193" t="s">
        <v>55</v>
      </c>
      <c r="D508" s="226">
        <f>+ROUNDUP(SUMIFS('MEMORIA CANTIDADES'!E:E,'MEMORIA CANTIDADES'!B:B,Table28[[#This Row],[DESCRIPCIÓN ]],'MEMORIA CANTIDADES'!C:C,Table28[[#This Row],[UNIDAD]]),0)</f>
        <v>0</v>
      </c>
      <c r="E508" s="225">
        <f>+VLOOKUP(Table28[[#This Row],[DESCRIPCIÓN ]],INSUMOS!A:D,3,FALSE)</f>
        <v>1197295.99</v>
      </c>
      <c r="F508" s="225">
        <f>+Table28[[#This Row],[CANTIDAD]]*Table28[[#This Row],[VALOR UNITARIO]]</f>
        <v>0</v>
      </c>
    </row>
    <row r="509" spans="1:6" s="193" customFormat="1" x14ac:dyDescent="0.3">
      <c r="A509" s="193">
        <v>385</v>
      </c>
      <c r="B509" s="193" t="s">
        <v>599</v>
      </c>
      <c r="C509" s="193" t="s">
        <v>55</v>
      </c>
      <c r="D509" s="226">
        <f>+ROUNDUP(SUMIFS('MEMORIA CANTIDADES'!E:E,'MEMORIA CANTIDADES'!B:B,Table28[[#This Row],[DESCRIPCIÓN ]],'MEMORIA CANTIDADES'!C:C,Table28[[#This Row],[UNIDAD]]),0)</f>
        <v>136</v>
      </c>
      <c r="E509" s="225">
        <f>+VLOOKUP(Table28[[#This Row],[DESCRIPCIÓN ]],INSUMOS!A:D,3,FALSE)</f>
        <v>13755.21</v>
      </c>
      <c r="F509" s="225">
        <f>+Table28[[#This Row],[CANTIDAD]]*Table28[[#This Row],[VALOR UNITARIO]]</f>
        <v>1870708.5599999998</v>
      </c>
    </row>
    <row r="510" spans="1:6" s="193" customFormat="1" hidden="1" x14ac:dyDescent="0.3">
      <c r="A510" s="193">
        <v>784</v>
      </c>
      <c r="B510" s="193" t="s">
        <v>571</v>
      </c>
      <c r="C510" s="193" t="s">
        <v>1276</v>
      </c>
      <c r="D510" s="226">
        <f>+ROUNDUP(SUMIFS('MEMORIA CANTIDADES'!E:E,'MEMORIA CANTIDADES'!B:B,Table28[[#This Row],[DESCRIPCIÓN ]],'MEMORIA CANTIDADES'!C:C,Table28[[#This Row],[UNIDAD]]),0)</f>
        <v>0</v>
      </c>
      <c r="E510" s="225">
        <f>+VLOOKUP(Table28[[#This Row],[DESCRIPCIÓN ]],INSUMOS!A:D,3,FALSE)</f>
        <v>123056.93</v>
      </c>
      <c r="F510" s="225">
        <f>+Table28[[#This Row],[CANTIDAD]]*Table28[[#This Row],[VALOR UNITARIO]]</f>
        <v>0</v>
      </c>
    </row>
    <row r="511" spans="1:6" s="193" customFormat="1" hidden="1" x14ac:dyDescent="0.3">
      <c r="A511" s="193">
        <v>786</v>
      </c>
      <c r="B511" s="193" t="s">
        <v>572</v>
      </c>
      <c r="C511" s="193" t="s">
        <v>1276</v>
      </c>
      <c r="D511" s="226">
        <f>+ROUNDUP(SUMIFS('MEMORIA CANTIDADES'!E:E,'MEMORIA CANTIDADES'!B:B,Table28[[#This Row],[DESCRIPCIÓN ]],'MEMORIA CANTIDADES'!C:C,Table28[[#This Row],[UNIDAD]]),0)</f>
        <v>0</v>
      </c>
      <c r="E511" s="225">
        <f>+VLOOKUP(Table28[[#This Row],[DESCRIPCIÓN ]],INSUMOS!A:D,3,FALSE)</f>
        <v>101737.28</v>
      </c>
      <c r="F511" s="225">
        <f>+Table28[[#This Row],[CANTIDAD]]*Table28[[#This Row],[VALOR UNITARIO]]</f>
        <v>0</v>
      </c>
    </row>
    <row r="512" spans="1:6" s="193" customFormat="1" ht="28.8" hidden="1" x14ac:dyDescent="0.3">
      <c r="A512" s="193">
        <v>788</v>
      </c>
      <c r="B512" s="193" t="s">
        <v>573</v>
      </c>
      <c r="C512" s="193" t="s">
        <v>1272</v>
      </c>
      <c r="D512" s="226">
        <f>+ROUNDUP(SUMIFS('MEMORIA CANTIDADES'!E:E,'MEMORIA CANTIDADES'!B:B,Table28[[#This Row],[DESCRIPCIÓN ]],'MEMORIA CANTIDADES'!C:C,Table28[[#This Row],[UNIDAD]]),0)</f>
        <v>0</v>
      </c>
      <c r="E512" s="225">
        <f>+VLOOKUP(Table28[[#This Row],[DESCRIPCIÓN ]],INSUMOS!A:D,3,FALSE)</f>
        <v>118763.02</v>
      </c>
      <c r="F512" s="225">
        <f>+Table28[[#This Row],[CANTIDAD]]*Table28[[#This Row],[VALOR UNITARIO]]</f>
        <v>0</v>
      </c>
    </row>
    <row r="513" spans="1:6" s="193" customFormat="1" x14ac:dyDescent="0.3">
      <c r="A513" s="193">
        <v>386</v>
      </c>
      <c r="B513" s="193" t="s">
        <v>600</v>
      </c>
      <c r="C513" s="193" t="s">
        <v>55</v>
      </c>
      <c r="D513" s="226">
        <f>+ROUNDUP(SUMIFS('MEMORIA CANTIDADES'!E:E,'MEMORIA CANTIDADES'!B:B,Table28[[#This Row],[DESCRIPCIÓN ]],'MEMORIA CANTIDADES'!C:C,Table28[[#This Row],[UNIDAD]]),0)</f>
        <v>7</v>
      </c>
      <c r="E513" s="225">
        <f>+VLOOKUP(Table28[[#This Row],[DESCRIPCIÓN ]],INSUMOS!A:D,3,FALSE)</f>
        <v>54637.62</v>
      </c>
      <c r="F513" s="225">
        <f>+Table28[[#This Row],[CANTIDAD]]*Table28[[#This Row],[VALOR UNITARIO]]</f>
        <v>382463.34</v>
      </c>
    </row>
    <row r="514" spans="1:6" s="193" customFormat="1" ht="28.8" hidden="1" x14ac:dyDescent="0.3">
      <c r="A514" s="193">
        <v>789</v>
      </c>
      <c r="B514" s="193" t="s">
        <v>574</v>
      </c>
      <c r="C514" s="193" t="s">
        <v>2145</v>
      </c>
      <c r="D514" s="226">
        <f>+ROUNDUP(SUMIFS('MEMORIA CANTIDADES'!E:E,'MEMORIA CANTIDADES'!B:B,Table28[[#This Row],[DESCRIPCIÓN ]],'MEMORIA CANTIDADES'!C:C,Table28[[#This Row],[UNIDAD]]),0)</f>
        <v>0</v>
      </c>
      <c r="E514" s="225">
        <f>+VLOOKUP(Table28[[#This Row],[DESCRIPCIÓN ]],INSUMOS!A:D,3,FALSE)</f>
        <v>13665.47</v>
      </c>
      <c r="F514" s="225">
        <f>+Table28[[#This Row],[CANTIDAD]]*Table28[[#This Row],[VALOR UNITARIO]]</f>
        <v>0</v>
      </c>
    </row>
    <row r="515" spans="1:6" s="193" customFormat="1" ht="28.8" hidden="1" x14ac:dyDescent="0.3">
      <c r="A515" s="193">
        <v>792</v>
      </c>
      <c r="B515" s="193" t="s">
        <v>575</v>
      </c>
      <c r="C515" s="193" t="s">
        <v>2145</v>
      </c>
      <c r="D515" s="226">
        <f>+ROUNDUP(SUMIFS('MEMORIA CANTIDADES'!E:E,'MEMORIA CANTIDADES'!B:B,Table28[[#This Row],[DESCRIPCIÓN ]],'MEMORIA CANTIDADES'!C:C,Table28[[#This Row],[UNIDAD]]),0)</f>
        <v>0</v>
      </c>
      <c r="E515" s="225">
        <f>+VLOOKUP(Table28[[#This Row],[DESCRIPCIÓN ]],INSUMOS!A:D,3,FALSE)</f>
        <v>2713.97</v>
      </c>
      <c r="F515" s="225">
        <f>+Table28[[#This Row],[CANTIDAD]]*Table28[[#This Row],[VALOR UNITARIO]]</f>
        <v>0</v>
      </c>
    </row>
    <row r="516" spans="1:6" s="193" customFormat="1" ht="28.8" hidden="1" x14ac:dyDescent="0.3">
      <c r="A516" s="193">
        <v>793</v>
      </c>
      <c r="B516" s="193" t="s">
        <v>576</v>
      </c>
      <c r="C516" s="193" t="s">
        <v>55</v>
      </c>
      <c r="D516" s="226">
        <f>+ROUNDUP(SUMIFS('MEMORIA CANTIDADES'!E:E,'MEMORIA CANTIDADES'!B:B,Table28[[#This Row],[DESCRIPCIÓN ]],'MEMORIA CANTIDADES'!C:C,Table28[[#This Row],[UNIDAD]]),0)</f>
        <v>0</v>
      </c>
      <c r="E516" s="225">
        <f>+VLOOKUP(Table28[[#This Row],[DESCRIPCIÓN ]],INSUMOS!A:D,3,FALSE)</f>
        <v>1163.97</v>
      </c>
      <c r="F516" s="225">
        <f>+Table28[[#This Row],[CANTIDAD]]*Table28[[#This Row],[VALOR UNITARIO]]</f>
        <v>0</v>
      </c>
    </row>
    <row r="517" spans="1:6" s="193" customFormat="1" hidden="1" x14ac:dyDescent="0.3">
      <c r="A517" s="193">
        <v>161</v>
      </c>
      <c r="B517" s="193" t="s">
        <v>577</v>
      </c>
      <c r="C517" s="193" t="s">
        <v>55</v>
      </c>
      <c r="D517" s="226">
        <f>+ROUNDUP(SUMIFS('MEMORIA CANTIDADES'!E:E,'MEMORIA CANTIDADES'!B:B,Table28[[#This Row],[DESCRIPCIÓN ]],'MEMORIA CANTIDADES'!C:C,Table28[[#This Row],[UNIDAD]]),0)</f>
        <v>0</v>
      </c>
      <c r="E517" s="225">
        <f>+VLOOKUP(Table28[[#This Row],[DESCRIPCIÓN ]],INSUMOS!A:D,3,FALSE)</f>
        <v>9358.52</v>
      </c>
      <c r="F517" s="225">
        <f>+Table28[[#This Row],[CANTIDAD]]*Table28[[#This Row],[VALOR UNITARIO]]</f>
        <v>0</v>
      </c>
    </row>
    <row r="518" spans="1:6" s="193" customFormat="1" hidden="1" x14ac:dyDescent="0.3">
      <c r="A518" s="193">
        <v>162</v>
      </c>
      <c r="B518" s="193" t="s">
        <v>578</v>
      </c>
      <c r="C518" s="193" t="s">
        <v>55</v>
      </c>
      <c r="D518" s="226">
        <f>+ROUNDUP(SUMIFS('MEMORIA CANTIDADES'!E:E,'MEMORIA CANTIDADES'!B:B,Table28[[#This Row],[DESCRIPCIÓN ]],'MEMORIA CANTIDADES'!C:C,Table28[[#This Row],[UNIDAD]]),0)</f>
        <v>0</v>
      </c>
      <c r="E518" s="225">
        <f>+VLOOKUP(Table28[[#This Row],[DESCRIPCIÓN ]],INSUMOS!A:D,3,FALSE)</f>
        <v>1203.5</v>
      </c>
      <c r="F518" s="225">
        <f>+Table28[[#This Row],[CANTIDAD]]*Table28[[#This Row],[VALOR UNITARIO]]</f>
        <v>0</v>
      </c>
    </row>
    <row r="519" spans="1:6" s="193" customFormat="1" hidden="1" x14ac:dyDescent="0.3">
      <c r="A519" s="193">
        <v>163</v>
      </c>
      <c r="B519" s="193" t="s">
        <v>579</v>
      </c>
      <c r="C519" s="193" t="s">
        <v>55</v>
      </c>
      <c r="D519" s="226">
        <f>+ROUNDUP(SUMIFS('MEMORIA CANTIDADES'!E:E,'MEMORIA CANTIDADES'!B:B,Table28[[#This Row],[DESCRIPCIÓN ]],'MEMORIA CANTIDADES'!C:C,Table28[[#This Row],[UNIDAD]]),0)</f>
        <v>0</v>
      </c>
      <c r="E519" s="225">
        <f>+VLOOKUP(Table28[[#This Row],[DESCRIPCIÓN ]],INSUMOS!A:D,3,FALSE)</f>
        <v>1353.65</v>
      </c>
      <c r="F519" s="225">
        <f>+Table28[[#This Row],[CANTIDAD]]*Table28[[#This Row],[VALOR UNITARIO]]</f>
        <v>0</v>
      </c>
    </row>
    <row r="520" spans="1:6" s="193" customFormat="1" hidden="1" x14ac:dyDescent="0.3">
      <c r="A520" s="193">
        <v>1265</v>
      </c>
      <c r="B520" s="193" t="s">
        <v>77</v>
      </c>
      <c r="C520" s="193" t="s">
        <v>2238</v>
      </c>
      <c r="D520" s="226">
        <f>+ROUNDUP(SUMIFS('MEMORIA CANTIDADES'!E:E,'MEMORIA CANTIDADES'!B:B,Table28[[#This Row],[DESCRIPCIÓN ]],'MEMORIA CANTIDADES'!C:C,Table28[[#This Row],[UNIDAD]]),0)</f>
        <v>0</v>
      </c>
      <c r="E520" s="225">
        <f>+VLOOKUP(Table28[[#This Row],[DESCRIPCIÓN ]],INSUMOS!A:D,3,FALSE)</f>
        <v>13317.36</v>
      </c>
      <c r="F520" s="225">
        <f>+Table28[[#This Row],[CANTIDAD]]*Table28[[#This Row],[VALOR UNITARIO]]</f>
        <v>0</v>
      </c>
    </row>
    <row r="521" spans="1:6" s="193" customFormat="1" x14ac:dyDescent="0.3">
      <c r="A521" s="193">
        <v>401</v>
      </c>
      <c r="B521" s="193" t="s">
        <v>73</v>
      </c>
      <c r="C521" s="193" t="s">
        <v>55</v>
      </c>
      <c r="D521" s="226">
        <f>+ROUNDUP(SUMIFS('MEMORIA CANTIDADES'!E:E,'MEMORIA CANTIDADES'!B:B,Table28[[#This Row],[DESCRIPCIÓN ]],'MEMORIA CANTIDADES'!C:C,Table28[[#This Row],[UNIDAD]]),0)</f>
        <v>30</v>
      </c>
      <c r="E521" s="225">
        <f>+VLOOKUP(Table28[[#This Row],[DESCRIPCIÓN ]],INSUMOS!A:D,3,FALSE)</f>
        <v>12315.93</v>
      </c>
      <c r="F521" s="225">
        <f>+Table28[[#This Row],[CANTIDAD]]*Table28[[#This Row],[VALOR UNITARIO]]</f>
        <v>369477.9</v>
      </c>
    </row>
    <row r="522" spans="1:6" s="193" customFormat="1" hidden="1" x14ac:dyDescent="0.3">
      <c r="A522" s="193">
        <v>21</v>
      </c>
      <c r="B522" s="193" t="s">
        <v>2150</v>
      </c>
      <c r="C522" s="193" t="s">
        <v>1270</v>
      </c>
      <c r="D522" s="226">
        <f>+ROUNDUP(SUMIFS('MEMORIA CANTIDADES'!E:E,'MEMORIA CANTIDADES'!B:B,Table28[[#This Row],[DESCRIPCIÓN ]],'MEMORIA CANTIDADES'!C:C,Table28[[#This Row],[UNIDAD]]),0)</f>
        <v>0</v>
      </c>
      <c r="E522" s="225" t="e">
        <f>+VLOOKUP(Table28[[#This Row],[DESCRIPCIÓN ]],INSUMOS!A:D,3,FALSE)</f>
        <v>#N/A</v>
      </c>
      <c r="F522" s="225" t="e">
        <f>+Table28[[#This Row],[CANTIDAD]]*Table28[[#This Row],[VALOR UNITARIO]]</f>
        <v>#N/A</v>
      </c>
    </row>
    <row r="523" spans="1:6" s="193" customFormat="1" hidden="1" x14ac:dyDescent="0.3">
      <c r="A523" s="193">
        <v>22</v>
      </c>
      <c r="B523" s="193" t="s">
        <v>580</v>
      </c>
      <c r="C523" s="193" t="s">
        <v>1270</v>
      </c>
      <c r="D523" s="226">
        <f>+ROUNDUP(SUMIFS('MEMORIA CANTIDADES'!E:E,'MEMORIA CANTIDADES'!B:B,Table28[[#This Row],[DESCRIPCIÓN ]],'MEMORIA CANTIDADES'!C:C,Table28[[#This Row],[UNIDAD]]),0)</f>
        <v>0</v>
      </c>
      <c r="E523" s="225">
        <f>+VLOOKUP(Table28[[#This Row],[DESCRIPCIÓN ]],INSUMOS!A:D,3,FALSE)</f>
        <v>27602.66</v>
      </c>
      <c r="F523" s="225">
        <f>+Table28[[#This Row],[CANTIDAD]]*Table28[[#This Row],[VALOR UNITARIO]]</f>
        <v>0</v>
      </c>
    </row>
    <row r="524" spans="1:6" s="193" customFormat="1" hidden="1" x14ac:dyDescent="0.3">
      <c r="A524" s="193">
        <v>23</v>
      </c>
      <c r="B524" s="193" t="s">
        <v>581</v>
      </c>
      <c r="C524" s="193" t="s">
        <v>1270</v>
      </c>
      <c r="D524" s="226">
        <f>+ROUNDUP(SUMIFS('MEMORIA CANTIDADES'!E:E,'MEMORIA CANTIDADES'!B:B,Table28[[#This Row],[DESCRIPCIÓN ]],'MEMORIA CANTIDADES'!C:C,Table28[[#This Row],[UNIDAD]]),0)</f>
        <v>0</v>
      </c>
      <c r="E524" s="225">
        <f>+VLOOKUP(Table28[[#This Row],[DESCRIPCIÓN ]],INSUMOS!A:D,3,FALSE)</f>
        <v>32076.77</v>
      </c>
      <c r="F524" s="225">
        <f>+Table28[[#This Row],[CANTIDAD]]*Table28[[#This Row],[VALOR UNITARIO]]</f>
        <v>0</v>
      </c>
    </row>
    <row r="525" spans="1:6" s="193" customFormat="1" hidden="1" x14ac:dyDescent="0.3">
      <c r="A525" s="193">
        <v>24</v>
      </c>
      <c r="B525" s="193" t="s">
        <v>2151</v>
      </c>
      <c r="C525" s="193" t="s">
        <v>1270</v>
      </c>
      <c r="D525" s="226">
        <f>+ROUNDUP(SUMIFS('MEMORIA CANTIDADES'!E:E,'MEMORIA CANTIDADES'!B:B,Table28[[#This Row],[DESCRIPCIÓN ]],'MEMORIA CANTIDADES'!C:C,Table28[[#This Row],[UNIDAD]]),0)</f>
        <v>0</v>
      </c>
      <c r="E525" s="225" t="e">
        <f>+VLOOKUP(Table28[[#This Row],[DESCRIPCIÓN ]],INSUMOS!A:D,3,FALSE)</f>
        <v>#N/A</v>
      </c>
      <c r="F525" s="225" t="e">
        <f>+Table28[[#This Row],[CANTIDAD]]*Table28[[#This Row],[VALOR UNITARIO]]</f>
        <v>#N/A</v>
      </c>
    </row>
    <row r="526" spans="1:6" s="193" customFormat="1" hidden="1" x14ac:dyDescent="0.3">
      <c r="A526" s="193">
        <v>25</v>
      </c>
      <c r="B526" s="193" t="s">
        <v>2152</v>
      </c>
      <c r="C526" s="193" t="s">
        <v>1270</v>
      </c>
      <c r="D526" s="226">
        <f>+ROUNDUP(SUMIFS('MEMORIA CANTIDADES'!E:E,'MEMORIA CANTIDADES'!B:B,Table28[[#This Row],[DESCRIPCIÓN ]],'MEMORIA CANTIDADES'!C:C,Table28[[#This Row],[UNIDAD]]),0)</f>
        <v>0</v>
      </c>
      <c r="E526" s="225" t="e">
        <f>+VLOOKUP(Table28[[#This Row],[DESCRIPCIÓN ]],INSUMOS!A:D,3,FALSE)</f>
        <v>#N/A</v>
      </c>
      <c r="F526" s="225" t="e">
        <f>+Table28[[#This Row],[CANTIDAD]]*Table28[[#This Row],[VALOR UNITARIO]]</f>
        <v>#N/A</v>
      </c>
    </row>
    <row r="527" spans="1:6" s="193" customFormat="1" ht="28.8" hidden="1" x14ac:dyDescent="0.3">
      <c r="A527" s="193">
        <v>1210</v>
      </c>
      <c r="B527" s="193" t="s">
        <v>582</v>
      </c>
      <c r="C527" s="193" t="s">
        <v>1272</v>
      </c>
      <c r="D527" s="226">
        <f>+ROUNDUP(SUMIFS('MEMORIA CANTIDADES'!E:E,'MEMORIA CANTIDADES'!B:B,Table28[[#This Row],[DESCRIPCIÓN ]],'MEMORIA CANTIDADES'!C:C,Table28[[#This Row],[UNIDAD]]),0)</f>
        <v>0</v>
      </c>
      <c r="E527" s="225">
        <f>+VLOOKUP(Table28[[#This Row],[DESCRIPCIÓN ]],INSUMOS!A:D,3,FALSE)</f>
        <v>122922.89</v>
      </c>
      <c r="F527" s="225">
        <f>+Table28[[#This Row],[CANTIDAD]]*Table28[[#This Row],[VALOR UNITARIO]]</f>
        <v>0</v>
      </c>
    </row>
    <row r="528" spans="1:6" s="193" customFormat="1" ht="28.8" hidden="1" x14ac:dyDescent="0.3">
      <c r="A528" s="193">
        <v>1209</v>
      </c>
      <c r="B528" s="193" t="s">
        <v>583</v>
      </c>
      <c r="C528" s="193" t="s">
        <v>1272</v>
      </c>
      <c r="D528" s="226">
        <f>+ROUNDUP(SUMIFS('MEMORIA CANTIDADES'!E:E,'MEMORIA CANTIDADES'!B:B,Table28[[#This Row],[DESCRIPCIÓN ]],'MEMORIA CANTIDADES'!C:C,Table28[[#This Row],[UNIDAD]]),0)</f>
        <v>0</v>
      </c>
      <c r="E528" s="225">
        <f>+VLOOKUP(Table28[[#This Row],[DESCRIPCIÓN ]],INSUMOS!A:D,3,FALSE)</f>
        <v>71686.179999999993</v>
      </c>
      <c r="F528" s="225">
        <f>+Table28[[#This Row],[CANTIDAD]]*Table28[[#This Row],[VALOR UNITARIO]]</f>
        <v>0</v>
      </c>
    </row>
    <row r="529" spans="1:6" s="193" customFormat="1" ht="28.8" hidden="1" x14ac:dyDescent="0.3">
      <c r="A529" s="193">
        <v>794</v>
      </c>
      <c r="B529" s="193" t="s">
        <v>584</v>
      </c>
      <c r="C529" s="193" t="s">
        <v>1279</v>
      </c>
      <c r="D529" s="226">
        <f>+ROUNDUP(SUMIFS('MEMORIA CANTIDADES'!E:E,'MEMORIA CANTIDADES'!B:B,Table28[[#This Row],[DESCRIPCIÓN ]],'MEMORIA CANTIDADES'!C:C,Table28[[#This Row],[UNIDAD]]),0)</f>
        <v>0</v>
      </c>
      <c r="E529" s="225" t="e">
        <f>+VLOOKUP(Table28[[#This Row],[DESCRIPCIÓN ]],INSUMOS!A:D,3,FALSE)</f>
        <v>#N/A</v>
      </c>
      <c r="F529" s="225" t="e">
        <f>+Table28[[#This Row],[CANTIDAD]]*Table28[[#This Row],[VALOR UNITARIO]]</f>
        <v>#N/A</v>
      </c>
    </row>
    <row r="530" spans="1:6" s="193" customFormat="1" hidden="1" x14ac:dyDescent="0.3">
      <c r="A530" s="193">
        <v>795</v>
      </c>
      <c r="B530" s="193" t="s">
        <v>585</v>
      </c>
      <c r="C530" s="193" t="s">
        <v>2145</v>
      </c>
      <c r="D530" s="226">
        <f>+ROUNDUP(SUMIFS('MEMORIA CANTIDADES'!E:E,'MEMORIA CANTIDADES'!B:B,Table28[[#This Row],[DESCRIPCIÓN ]],'MEMORIA CANTIDADES'!C:C,Table28[[#This Row],[UNIDAD]]),0)</f>
        <v>0</v>
      </c>
      <c r="E530" s="225">
        <f>+VLOOKUP(Table28[[#This Row],[DESCRIPCIÓN ]],INSUMOS!A:D,3,FALSE)</f>
        <v>6500.82</v>
      </c>
      <c r="F530" s="225">
        <f>+Table28[[#This Row],[CANTIDAD]]*Table28[[#This Row],[VALOR UNITARIO]]</f>
        <v>0</v>
      </c>
    </row>
    <row r="531" spans="1:6" s="193" customFormat="1" hidden="1" x14ac:dyDescent="0.3">
      <c r="A531" s="193">
        <v>796</v>
      </c>
      <c r="B531" s="193" t="s">
        <v>586</v>
      </c>
      <c r="C531" s="193" t="s">
        <v>2145</v>
      </c>
      <c r="D531" s="226">
        <f>+ROUNDUP(SUMIFS('MEMORIA CANTIDADES'!E:E,'MEMORIA CANTIDADES'!B:B,Table28[[#This Row],[DESCRIPCIÓN ]],'MEMORIA CANTIDADES'!C:C,Table28[[#This Row],[UNIDAD]]),0)</f>
        <v>0</v>
      </c>
      <c r="E531" s="225">
        <f>+VLOOKUP(Table28[[#This Row],[DESCRIPCIÓN ]],INSUMOS!A:D,3,FALSE)</f>
        <v>6710.74</v>
      </c>
      <c r="F531" s="225">
        <f>+Table28[[#This Row],[CANTIDAD]]*Table28[[#This Row],[VALOR UNITARIO]]</f>
        <v>0</v>
      </c>
    </row>
    <row r="532" spans="1:6" s="193" customFormat="1" hidden="1" x14ac:dyDescent="0.3">
      <c r="A532" s="193">
        <v>734</v>
      </c>
      <c r="B532" s="193" t="s">
        <v>587</v>
      </c>
      <c r="C532" s="193" t="s">
        <v>2208</v>
      </c>
      <c r="D532" s="226">
        <f>+ROUNDUP(SUMIFS('MEMORIA CANTIDADES'!E:E,'MEMORIA CANTIDADES'!B:B,Table28[[#This Row],[DESCRIPCIÓN ]],'MEMORIA CANTIDADES'!C:C,Table28[[#This Row],[UNIDAD]]),0)</f>
        <v>0</v>
      </c>
      <c r="E532" s="225">
        <f>+VLOOKUP(Table28[[#This Row],[DESCRIPCIÓN ]],INSUMOS!A:D,3,FALSE)</f>
        <v>41084.47</v>
      </c>
      <c r="F532" s="225">
        <f>+Table28[[#This Row],[CANTIDAD]]*Table28[[#This Row],[VALOR UNITARIO]]</f>
        <v>0</v>
      </c>
    </row>
    <row r="533" spans="1:6" s="193" customFormat="1" hidden="1" x14ac:dyDescent="0.3">
      <c r="A533" s="193">
        <v>520</v>
      </c>
      <c r="B533" s="193" t="s">
        <v>588</v>
      </c>
      <c r="C533" s="193" t="s">
        <v>55</v>
      </c>
      <c r="D533" s="226">
        <f>+ROUNDUP(SUMIFS('MEMORIA CANTIDADES'!E:E,'MEMORIA CANTIDADES'!B:B,Table28[[#This Row],[DESCRIPCIÓN ]],'MEMORIA CANTIDADES'!C:C,Table28[[#This Row],[UNIDAD]]),0)</f>
        <v>0</v>
      </c>
      <c r="E533" s="225">
        <f>+VLOOKUP(Table28[[#This Row],[DESCRIPCIÓN ]],INSUMOS!A:D,3,FALSE)</f>
        <v>25825.88</v>
      </c>
      <c r="F533" s="225">
        <f>+Table28[[#This Row],[CANTIDAD]]*Table28[[#This Row],[VALOR UNITARIO]]</f>
        <v>0</v>
      </c>
    </row>
    <row r="534" spans="1:6" s="193" customFormat="1" ht="28.8" hidden="1" x14ac:dyDescent="0.3">
      <c r="A534" s="193">
        <v>521</v>
      </c>
      <c r="B534" s="193" t="s">
        <v>2203</v>
      </c>
      <c r="C534" s="193" t="s">
        <v>55</v>
      </c>
      <c r="D534" s="226">
        <f>+ROUNDUP(SUMIFS('MEMORIA CANTIDADES'!E:E,'MEMORIA CANTIDADES'!B:B,Table28[[#This Row],[DESCRIPCIÓN ]],'MEMORIA CANTIDADES'!C:C,Table28[[#This Row],[UNIDAD]]),0)</f>
        <v>0</v>
      </c>
      <c r="E534" s="225">
        <f>+VLOOKUP(Table28[[#This Row],[DESCRIPCIÓN ]],INSUMOS!A:D,3,FALSE)</f>
        <v>55073.8</v>
      </c>
      <c r="F534" s="225">
        <f>+Table28[[#This Row],[CANTIDAD]]*Table28[[#This Row],[VALOR UNITARIO]]</f>
        <v>0</v>
      </c>
    </row>
    <row r="535" spans="1:6" s="193" customFormat="1" hidden="1" x14ac:dyDescent="0.3">
      <c r="A535" s="193">
        <v>522</v>
      </c>
      <c r="B535" s="193" t="s">
        <v>589</v>
      </c>
      <c r="C535" s="193" t="s">
        <v>55</v>
      </c>
      <c r="D535" s="226">
        <f>+ROUNDUP(SUMIFS('MEMORIA CANTIDADES'!E:E,'MEMORIA CANTIDADES'!B:B,Table28[[#This Row],[DESCRIPCIÓN ]],'MEMORIA CANTIDADES'!C:C,Table28[[#This Row],[UNIDAD]]),0)</f>
        <v>0</v>
      </c>
      <c r="E535" s="225">
        <f>+VLOOKUP(Table28[[#This Row],[DESCRIPCIÓN ]],INSUMOS!A:D,3,FALSE)</f>
        <v>35995.53</v>
      </c>
      <c r="F535" s="225">
        <f>+Table28[[#This Row],[CANTIDAD]]*Table28[[#This Row],[VALOR UNITARIO]]</f>
        <v>0</v>
      </c>
    </row>
    <row r="536" spans="1:6" s="193" customFormat="1" hidden="1" x14ac:dyDescent="0.3">
      <c r="A536" s="193">
        <v>523</v>
      </c>
      <c r="B536" s="193" t="s">
        <v>590</v>
      </c>
      <c r="C536" s="193" t="s">
        <v>55</v>
      </c>
      <c r="D536" s="226">
        <f>+ROUNDUP(SUMIFS('MEMORIA CANTIDADES'!E:E,'MEMORIA CANTIDADES'!B:B,Table28[[#This Row],[DESCRIPCIÓN ]],'MEMORIA CANTIDADES'!C:C,Table28[[#This Row],[UNIDAD]]),0)</f>
        <v>0</v>
      </c>
      <c r="E536" s="225">
        <f>+VLOOKUP(Table28[[#This Row],[DESCRIPCIÓN ]],INSUMOS!A:D,3,FALSE)</f>
        <v>37052.69</v>
      </c>
      <c r="F536" s="225">
        <f>+Table28[[#This Row],[CANTIDAD]]*Table28[[#This Row],[VALOR UNITARIO]]</f>
        <v>0</v>
      </c>
    </row>
    <row r="537" spans="1:6" s="193" customFormat="1" ht="28.8" hidden="1" x14ac:dyDescent="0.3">
      <c r="A537" s="193">
        <v>524</v>
      </c>
      <c r="B537" s="193" t="s">
        <v>591</v>
      </c>
      <c r="C537" s="193" t="s">
        <v>55</v>
      </c>
      <c r="D537" s="226">
        <f>+ROUNDUP(SUMIFS('MEMORIA CANTIDADES'!E:E,'MEMORIA CANTIDADES'!B:B,Table28[[#This Row],[DESCRIPCIÓN ]],'MEMORIA CANTIDADES'!C:C,Table28[[#This Row],[UNIDAD]]),0)</f>
        <v>0</v>
      </c>
      <c r="E537" s="225">
        <f>+VLOOKUP(Table28[[#This Row],[DESCRIPCIÓN ]],INSUMOS!A:D,3,FALSE)</f>
        <v>55308.91</v>
      </c>
      <c r="F537" s="225">
        <f>+Table28[[#This Row],[CANTIDAD]]*Table28[[#This Row],[VALOR UNITARIO]]</f>
        <v>0</v>
      </c>
    </row>
    <row r="538" spans="1:6" s="193" customFormat="1" ht="28.8" hidden="1" x14ac:dyDescent="0.3">
      <c r="A538" s="193">
        <v>525</v>
      </c>
      <c r="B538" s="193" t="s">
        <v>592</v>
      </c>
      <c r="C538" s="193" t="s">
        <v>55</v>
      </c>
      <c r="D538" s="226">
        <f>+ROUNDUP(SUMIFS('MEMORIA CANTIDADES'!E:E,'MEMORIA CANTIDADES'!B:B,Table28[[#This Row],[DESCRIPCIÓN ]],'MEMORIA CANTIDADES'!C:C,Table28[[#This Row],[UNIDAD]]),0)</f>
        <v>0</v>
      </c>
      <c r="E538" s="225">
        <f>+VLOOKUP(Table28[[#This Row],[DESCRIPCIÓN ]],INSUMOS!A:D,3,FALSE)</f>
        <v>72884.320000000007</v>
      </c>
      <c r="F538" s="225">
        <f>+Table28[[#This Row],[CANTIDAD]]*Table28[[#This Row],[VALOR UNITARIO]]</f>
        <v>0</v>
      </c>
    </row>
    <row r="539" spans="1:6" s="193" customFormat="1" hidden="1" x14ac:dyDescent="0.3">
      <c r="A539" s="193">
        <v>526</v>
      </c>
      <c r="B539" s="193" t="s">
        <v>593</v>
      </c>
      <c r="C539" s="193" t="s">
        <v>55</v>
      </c>
      <c r="D539" s="226">
        <f>+ROUNDUP(SUMIFS('MEMORIA CANTIDADES'!E:E,'MEMORIA CANTIDADES'!B:B,Table28[[#This Row],[DESCRIPCIÓN ]],'MEMORIA CANTIDADES'!C:C,Table28[[#This Row],[UNIDAD]]),0)</f>
        <v>0</v>
      </c>
      <c r="E539" s="225">
        <f>+VLOOKUP(Table28[[#This Row],[DESCRIPCIÓN ]],INSUMOS!A:D,3,FALSE)</f>
        <v>49419.76</v>
      </c>
      <c r="F539" s="225">
        <f>+Table28[[#This Row],[CANTIDAD]]*Table28[[#This Row],[VALOR UNITARIO]]</f>
        <v>0</v>
      </c>
    </row>
    <row r="540" spans="1:6" s="193" customFormat="1" hidden="1" x14ac:dyDescent="0.3">
      <c r="A540" s="193">
        <v>527</v>
      </c>
      <c r="B540" s="193" t="s">
        <v>594</v>
      </c>
      <c r="C540" s="193" t="s">
        <v>55</v>
      </c>
      <c r="D540" s="226">
        <f>+ROUNDUP(SUMIFS('MEMORIA CANTIDADES'!E:E,'MEMORIA CANTIDADES'!B:B,Table28[[#This Row],[DESCRIPCIÓN ]],'MEMORIA CANTIDADES'!C:C,Table28[[#This Row],[UNIDAD]]),0)</f>
        <v>0</v>
      </c>
      <c r="E540" s="225">
        <f>+VLOOKUP(Table28[[#This Row],[DESCRIPCIÓN ]],INSUMOS!A:D,3,FALSE)</f>
        <v>74325.509999999995</v>
      </c>
      <c r="F540" s="225">
        <f>+Table28[[#This Row],[CANTIDAD]]*Table28[[#This Row],[VALOR UNITARIO]]</f>
        <v>0</v>
      </c>
    </row>
    <row r="541" spans="1:6" s="193" customFormat="1" x14ac:dyDescent="0.3">
      <c r="A541" s="193">
        <v>403</v>
      </c>
      <c r="B541" s="193" t="s">
        <v>74</v>
      </c>
      <c r="C541" s="193" t="s">
        <v>1270</v>
      </c>
      <c r="D541" s="226">
        <f>+ROUNDUP(SUMIFS('MEMORIA CANTIDADES'!E:E,'MEMORIA CANTIDADES'!B:B,Table28[[#This Row],[DESCRIPCIÓN ]],'MEMORIA CANTIDADES'!C:C,Table28[[#This Row],[UNIDAD]]),0)</f>
        <v>30</v>
      </c>
      <c r="E541" s="225">
        <f>+VLOOKUP(Table28[[#This Row],[DESCRIPCIÓN ]],INSUMOS!A:D,3,FALSE)</f>
        <v>26352.99</v>
      </c>
      <c r="F541" s="225">
        <f>+Table28[[#This Row],[CANTIDAD]]*Table28[[#This Row],[VALOR UNITARIO]]</f>
        <v>790589.70000000007</v>
      </c>
    </row>
    <row r="542" spans="1:6" s="193" customFormat="1" hidden="1" x14ac:dyDescent="0.3">
      <c r="A542" s="193">
        <v>72</v>
      </c>
      <c r="B542" s="193" t="s">
        <v>2172</v>
      </c>
      <c r="C542" s="193" t="s">
        <v>1273</v>
      </c>
      <c r="D542" s="226">
        <f>+ROUNDUP(SUMIFS('MEMORIA CANTIDADES'!E:E,'MEMORIA CANTIDADES'!B:B,Table28[[#This Row],[DESCRIPCIÓN ]],'MEMORIA CANTIDADES'!C:C,Table28[[#This Row],[UNIDAD]]),0)</f>
        <v>0</v>
      </c>
      <c r="E542" s="225">
        <f>+VLOOKUP(Table28[[#This Row],[DESCRIPCIÓN ]],INSUMOS!A:D,3,FALSE)</f>
        <v>246797.77</v>
      </c>
      <c r="F542" s="225">
        <f>+Table28[[#This Row],[CANTIDAD]]*Table28[[#This Row],[VALOR UNITARIO]]</f>
        <v>0</v>
      </c>
    </row>
    <row r="543" spans="1:6" s="193" customFormat="1" ht="43.2" hidden="1" x14ac:dyDescent="0.3">
      <c r="A543" s="193">
        <v>797</v>
      </c>
      <c r="B543" s="193" t="s">
        <v>2212</v>
      </c>
      <c r="C543" s="193" t="s">
        <v>55</v>
      </c>
      <c r="D543" s="226">
        <f>+ROUNDUP(SUMIFS('MEMORIA CANTIDADES'!E:E,'MEMORIA CANTIDADES'!B:B,Table28[[#This Row],[DESCRIPCIÓN ]],'MEMORIA CANTIDADES'!C:C,Table28[[#This Row],[UNIDAD]]),0)</f>
        <v>0</v>
      </c>
      <c r="E543" s="225">
        <f>+VLOOKUP(Table28[[#This Row],[DESCRIPCIÓN ]],INSUMOS!A:D,3,FALSE)</f>
        <v>74036.490000000005</v>
      </c>
      <c r="F543" s="225">
        <f>+Table28[[#This Row],[CANTIDAD]]*Table28[[#This Row],[VALOR UNITARIO]]</f>
        <v>0</v>
      </c>
    </row>
    <row r="544" spans="1:6" s="193" customFormat="1" ht="43.2" hidden="1" x14ac:dyDescent="0.3">
      <c r="A544" s="193">
        <v>799</v>
      </c>
      <c r="B544" s="193" t="s">
        <v>596</v>
      </c>
      <c r="C544" s="193" t="s">
        <v>55</v>
      </c>
      <c r="D544" s="226">
        <f>+ROUNDUP(SUMIFS('MEMORIA CANTIDADES'!E:E,'MEMORIA CANTIDADES'!B:B,Table28[[#This Row],[DESCRIPCIÓN ]],'MEMORIA CANTIDADES'!C:C,Table28[[#This Row],[UNIDAD]]),0)</f>
        <v>0</v>
      </c>
      <c r="E544" s="225">
        <f>+VLOOKUP(Table28[[#This Row],[DESCRIPCIÓN ]],INSUMOS!A:D,3,FALSE)</f>
        <v>188272.61</v>
      </c>
      <c r="F544" s="225">
        <f>+Table28[[#This Row],[CANTIDAD]]*Table28[[#This Row],[VALOR UNITARIO]]</f>
        <v>0</v>
      </c>
    </row>
    <row r="545" spans="1:6" s="193" customFormat="1" ht="43.2" hidden="1" x14ac:dyDescent="0.3">
      <c r="A545" s="193">
        <v>800</v>
      </c>
      <c r="B545" s="193" t="s">
        <v>2213</v>
      </c>
      <c r="C545" s="193" t="s">
        <v>55</v>
      </c>
      <c r="D545" s="226">
        <f>+ROUNDUP(SUMIFS('MEMORIA CANTIDADES'!E:E,'MEMORIA CANTIDADES'!B:B,Table28[[#This Row],[DESCRIPCIÓN ]],'MEMORIA CANTIDADES'!C:C,Table28[[#This Row],[UNIDAD]]),0)</f>
        <v>0</v>
      </c>
      <c r="E545" s="225">
        <f>+VLOOKUP(Table28[[#This Row],[DESCRIPCIÓN ]],INSUMOS!A:D,3,FALSE)</f>
        <v>96435.55</v>
      </c>
      <c r="F545" s="225">
        <f>+Table28[[#This Row],[CANTIDAD]]*Table28[[#This Row],[VALOR UNITARIO]]</f>
        <v>0</v>
      </c>
    </row>
    <row r="546" spans="1:6" s="193" customFormat="1" ht="43.2" hidden="1" x14ac:dyDescent="0.3">
      <c r="A546" s="193">
        <v>801</v>
      </c>
      <c r="B546" s="193" t="s">
        <v>2214</v>
      </c>
      <c r="C546" s="193" t="s">
        <v>55</v>
      </c>
      <c r="D546" s="226">
        <f>+ROUNDUP(SUMIFS('MEMORIA CANTIDADES'!E:E,'MEMORIA CANTIDADES'!B:B,Table28[[#This Row],[DESCRIPCIÓN ]],'MEMORIA CANTIDADES'!C:C,Table28[[#This Row],[UNIDAD]]),0)</f>
        <v>0</v>
      </c>
      <c r="E546" s="225">
        <f>+VLOOKUP(Table28[[#This Row],[DESCRIPCIÓN ]],INSUMOS!A:D,3,FALSE)</f>
        <v>134755.9</v>
      </c>
      <c r="F546" s="225">
        <f>+Table28[[#This Row],[CANTIDAD]]*Table28[[#This Row],[VALOR UNITARIO]]</f>
        <v>0</v>
      </c>
    </row>
    <row r="547" spans="1:6" s="193" customFormat="1" hidden="1" x14ac:dyDescent="0.3">
      <c r="A547" s="193">
        <v>803</v>
      </c>
      <c r="B547" s="193" t="s">
        <v>597</v>
      </c>
      <c r="C547" s="193" t="s">
        <v>55</v>
      </c>
      <c r="D547" s="226">
        <f>+ROUNDUP(SUMIFS('MEMORIA CANTIDADES'!E:E,'MEMORIA CANTIDADES'!B:B,Table28[[#This Row],[DESCRIPCIÓN ]],'MEMORIA CANTIDADES'!C:C,Table28[[#This Row],[UNIDAD]]),0)</f>
        <v>0</v>
      </c>
      <c r="E547" s="225">
        <f>+VLOOKUP(Table28[[#This Row],[DESCRIPCIÓN ]],INSUMOS!A:D,3,FALSE)</f>
        <v>50152.24</v>
      </c>
      <c r="F547" s="225">
        <f>+Table28[[#This Row],[CANTIDAD]]*Table28[[#This Row],[VALOR UNITARIO]]</f>
        <v>0</v>
      </c>
    </row>
    <row r="548" spans="1:6" s="193" customFormat="1" hidden="1" x14ac:dyDescent="0.3">
      <c r="A548" s="193">
        <v>804</v>
      </c>
      <c r="B548" s="193" t="s">
        <v>598</v>
      </c>
      <c r="C548" s="193" t="s">
        <v>55</v>
      </c>
      <c r="D548" s="226">
        <f>+ROUNDUP(SUMIFS('MEMORIA CANTIDADES'!E:E,'MEMORIA CANTIDADES'!B:B,Table28[[#This Row],[DESCRIPCIÓN ]],'MEMORIA CANTIDADES'!C:C,Table28[[#This Row],[UNIDAD]]),0)</f>
        <v>0</v>
      </c>
      <c r="E548" s="225">
        <f>+VLOOKUP(Table28[[#This Row],[DESCRIPCIÓN ]],INSUMOS!A:D,3,FALSE)</f>
        <v>44366.75</v>
      </c>
      <c r="F548" s="225">
        <f>+Table28[[#This Row],[CANTIDAD]]*Table28[[#This Row],[VALOR UNITARIO]]</f>
        <v>0</v>
      </c>
    </row>
    <row r="549" spans="1:6" s="193" customFormat="1" ht="28.8" x14ac:dyDescent="0.3">
      <c r="A549" s="193">
        <v>410</v>
      </c>
      <c r="B549" s="193" t="s">
        <v>904</v>
      </c>
      <c r="C549" s="193" t="s">
        <v>55</v>
      </c>
      <c r="D549" s="226">
        <f>+ROUNDUP(SUMIFS('MEMORIA CANTIDADES'!E:E,'MEMORIA CANTIDADES'!B:B,Table28[[#This Row],[DESCRIPCIÓN ]],'MEMORIA CANTIDADES'!C:C,Table28[[#This Row],[UNIDAD]]),0)</f>
        <v>7</v>
      </c>
      <c r="E549" s="225">
        <f>+VLOOKUP(Table28[[#This Row],[DESCRIPCIÓN ]],INSUMOS!A:D,3,FALSE)</f>
        <v>69470.600000000006</v>
      </c>
      <c r="F549" s="225">
        <f>+Table28[[#This Row],[CANTIDAD]]*Table28[[#This Row],[VALOR UNITARIO]]</f>
        <v>486294.20000000007</v>
      </c>
    </row>
    <row r="550" spans="1:6" s="193" customFormat="1" x14ac:dyDescent="0.3">
      <c r="A550" s="193">
        <v>434</v>
      </c>
      <c r="B550" s="193" t="s">
        <v>187</v>
      </c>
      <c r="C550" s="193" t="s">
        <v>2145</v>
      </c>
      <c r="D550" s="226">
        <f>+ROUNDUP(SUMIFS('MEMORIA CANTIDADES'!E:E,'MEMORIA CANTIDADES'!B:B,Table28[[#This Row],[DESCRIPCIÓN ]],'MEMORIA CANTIDADES'!C:C,Table28[[#This Row],[UNIDAD]]),0)</f>
        <v>7</v>
      </c>
      <c r="E550" s="225">
        <f>+VLOOKUP(Table28[[#This Row],[DESCRIPCIÓN ]],INSUMOS!A:D,3,FALSE)</f>
        <v>18236.830000000002</v>
      </c>
      <c r="F550" s="225">
        <f>+Table28[[#This Row],[CANTIDAD]]*Table28[[#This Row],[VALOR UNITARIO]]</f>
        <v>127657.81000000001</v>
      </c>
    </row>
    <row r="551" spans="1:6" s="193" customFormat="1" ht="28.8" hidden="1" x14ac:dyDescent="0.3">
      <c r="A551" s="193">
        <v>387</v>
      </c>
      <c r="B551" s="193" t="s">
        <v>601</v>
      </c>
      <c r="C551" s="193" t="s">
        <v>55</v>
      </c>
      <c r="D551" s="226">
        <f>+ROUNDUP(SUMIFS('MEMORIA CANTIDADES'!E:E,'MEMORIA CANTIDADES'!B:B,Table28[[#This Row],[DESCRIPCIÓN ]],'MEMORIA CANTIDADES'!C:C,Table28[[#This Row],[UNIDAD]]),0)</f>
        <v>0</v>
      </c>
      <c r="E551" s="225">
        <f>+VLOOKUP(Table28[[#This Row],[DESCRIPCIÓN ]],INSUMOS!A:D,3,FALSE)</f>
        <v>19843.39</v>
      </c>
      <c r="F551" s="225">
        <f>+Table28[[#This Row],[CANTIDAD]]*Table28[[#This Row],[VALOR UNITARIO]]</f>
        <v>0</v>
      </c>
    </row>
    <row r="552" spans="1:6" s="193" customFormat="1" ht="28.8" hidden="1" x14ac:dyDescent="0.3">
      <c r="A552" s="193">
        <v>388</v>
      </c>
      <c r="B552" s="193" t="s">
        <v>602</v>
      </c>
      <c r="C552" s="193" t="s">
        <v>55</v>
      </c>
      <c r="D552" s="226">
        <f>+ROUNDUP(SUMIFS('MEMORIA CANTIDADES'!E:E,'MEMORIA CANTIDADES'!B:B,Table28[[#This Row],[DESCRIPCIÓN ]],'MEMORIA CANTIDADES'!C:C,Table28[[#This Row],[UNIDAD]]),0)</f>
        <v>0</v>
      </c>
      <c r="E552" s="225">
        <f>+VLOOKUP(Table28[[#This Row],[DESCRIPCIÓN ]],INSUMOS!A:D,3,FALSE)</f>
        <v>59237.19</v>
      </c>
      <c r="F552" s="225">
        <f>+Table28[[#This Row],[CANTIDAD]]*Table28[[#This Row],[VALOR UNITARIO]]</f>
        <v>0</v>
      </c>
    </row>
    <row r="553" spans="1:6" s="193" customFormat="1" hidden="1" x14ac:dyDescent="0.3">
      <c r="A553" s="193">
        <v>528</v>
      </c>
      <c r="B553" s="193" t="s">
        <v>603</v>
      </c>
      <c r="C553" s="193" t="s">
        <v>1277</v>
      </c>
      <c r="D553" s="226">
        <f>+ROUNDUP(SUMIFS('MEMORIA CANTIDADES'!E:E,'MEMORIA CANTIDADES'!B:B,Table28[[#This Row],[DESCRIPCIÓN ]],'MEMORIA CANTIDADES'!C:C,Table28[[#This Row],[UNIDAD]]),0)</f>
        <v>0</v>
      </c>
      <c r="E553" s="225">
        <f>+VLOOKUP(Table28[[#This Row],[DESCRIPCIÓN ]],INSUMOS!A:D,3,FALSE)</f>
        <v>15656.1</v>
      </c>
      <c r="F553" s="225">
        <f>+Table28[[#This Row],[CANTIDAD]]*Table28[[#This Row],[VALOR UNITARIO]]</f>
        <v>0</v>
      </c>
    </row>
    <row r="554" spans="1:6" s="193" customFormat="1" hidden="1" x14ac:dyDescent="0.3">
      <c r="A554" s="193">
        <v>529</v>
      </c>
      <c r="B554" s="193" t="s">
        <v>604</v>
      </c>
      <c r="C554" s="193" t="s">
        <v>1277</v>
      </c>
      <c r="D554" s="226">
        <f>+ROUNDUP(SUMIFS('MEMORIA CANTIDADES'!E:E,'MEMORIA CANTIDADES'!B:B,Table28[[#This Row],[DESCRIPCIÓN ]],'MEMORIA CANTIDADES'!C:C,Table28[[#This Row],[UNIDAD]]),0)</f>
        <v>0</v>
      </c>
      <c r="E554" s="225">
        <f>+VLOOKUP(Table28[[#This Row],[DESCRIPCIÓN ]],INSUMOS!A:D,3,FALSE)</f>
        <v>9962.09</v>
      </c>
      <c r="F554" s="225">
        <f>+Table28[[#This Row],[CANTIDAD]]*Table28[[#This Row],[VALOR UNITARIO]]</f>
        <v>0</v>
      </c>
    </row>
    <row r="555" spans="1:6" s="193" customFormat="1" ht="28.8" hidden="1" x14ac:dyDescent="0.3">
      <c r="A555" s="193">
        <v>805</v>
      </c>
      <c r="B555" s="193" t="s">
        <v>605</v>
      </c>
      <c r="C555" s="193" t="s">
        <v>1270</v>
      </c>
      <c r="D555" s="226">
        <f>+ROUNDUP(SUMIFS('MEMORIA CANTIDADES'!E:E,'MEMORIA CANTIDADES'!B:B,Table28[[#This Row],[DESCRIPCIÓN ]],'MEMORIA CANTIDADES'!C:C,Table28[[#This Row],[UNIDAD]]),0)</f>
        <v>0</v>
      </c>
      <c r="E555" s="225">
        <f>+VLOOKUP(Table28[[#This Row],[DESCRIPCIÓN ]],INSUMOS!A:D,3,FALSE)</f>
        <v>22627.57</v>
      </c>
      <c r="F555" s="225">
        <f>+Table28[[#This Row],[CANTIDAD]]*Table28[[#This Row],[VALOR UNITARIO]]</f>
        <v>0</v>
      </c>
    </row>
    <row r="556" spans="1:6" s="193" customFormat="1" hidden="1" x14ac:dyDescent="0.3">
      <c r="A556" s="193">
        <v>164</v>
      </c>
      <c r="B556" s="193" t="s">
        <v>606</v>
      </c>
      <c r="C556" s="193" t="s">
        <v>55</v>
      </c>
      <c r="D556" s="226">
        <f>+ROUNDUP(SUMIFS('MEMORIA CANTIDADES'!E:E,'MEMORIA CANTIDADES'!B:B,Table28[[#This Row],[DESCRIPCIÓN ]],'MEMORIA CANTIDADES'!C:C,Table28[[#This Row],[UNIDAD]]),0)</f>
        <v>0</v>
      </c>
      <c r="E556" s="225">
        <f>+VLOOKUP(Table28[[#This Row],[DESCRIPCIÓN ]],INSUMOS!A:D,3,FALSE)</f>
        <v>7128.25</v>
      </c>
      <c r="F556" s="225">
        <f>+Table28[[#This Row],[CANTIDAD]]*Table28[[#This Row],[VALOR UNITARIO]]</f>
        <v>0</v>
      </c>
    </row>
    <row r="557" spans="1:6" s="193" customFormat="1" hidden="1" x14ac:dyDescent="0.3">
      <c r="A557" s="193">
        <v>530</v>
      </c>
      <c r="B557" s="193" t="s">
        <v>607</v>
      </c>
      <c r="C557" s="193" t="s">
        <v>1268</v>
      </c>
      <c r="D557" s="226">
        <f>+ROUNDUP(SUMIFS('MEMORIA CANTIDADES'!E:E,'MEMORIA CANTIDADES'!B:B,Table28[[#This Row],[DESCRIPCIÓN ]],'MEMORIA CANTIDADES'!C:C,Table28[[#This Row],[UNIDAD]]),0)</f>
        <v>0</v>
      </c>
      <c r="E557" s="225">
        <f>+VLOOKUP(Table28[[#This Row],[DESCRIPCIÓN ]],INSUMOS!A:D,3,FALSE)</f>
        <v>15716.25</v>
      </c>
      <c r="F557" s="225">
        <f>+Table28[[#This Row],[CANTIDAD]]*Table28[[#This Row],[VALOR UNITARIO]]</f>
        <v>0</v>
      </c>
    </row>
    <row r="558" spans="1:6" s="193" customFormat="1" hidden="1" x14ac:dyDescent="0.3">
      <c r="A558" s="193">
        <v>531</v>
      </c>
      <c r="B558" s="193" t="s">
        <v>608</v>
      </c>
      <c r="C558" s="193" t="s">
        <v>1268</v>
      </c>
      <c r="D558" s="226">
        <f>+ROUNDUP(SUMIFS('MEMORIA CANTIDADES'!E:E,'MEMORIA CANTIDADES'!B:B,Table28[[#This Row],[DESCRIPCIÓN ]],'MEMORIA CANTIDADES'!C:C,Table28[[#This Row],[UNIDAD]]),0)</f>
        <v>0</v>
      </c>
      <c r="E558" s="225">
        <f>+VLOOKUP(Table28[[#This Row],[DESCRIPCIÓN ]],INSUMOS!A:D,3,FALSE)</f>
        <v>21692.32</v>
      </c>
      <c r="F558" s="225">
        <f>+Table28[[#This Row],[CANTIDAD]]*Table28[[#This Row],[VALOR UNITARIO]]</f>
        <v>0</v>
      </c>
    </row>
    <row r="559" spans="1:6" s="193" customFormat="1" x14ac:dyDescent="0.3">
      <c r="A559" s="193">
        <v>437</v>
      </c>
      <c r="B559" s="193" t="s">
        <v>190</v>
      </c>
      <c r="C559" s="193" t="s">
        <v>2145</v>
      </c>
      <c r="D559" s="226">
        <f>+ROUNDUP(SUMIFS('MEMORIA CANTIDADES'!E:E,'MEMORIA CANTIDADES'!B:B,Table28[[#This Row],[DESCRIPCIÓN ]],'MEMORIA CANTIDADES'!C:C,Table28[[#This Row],[UNIDAD]]),0)</f>
        <v>7</v>
      </c>
      <c r="E559" s="225">
        <f>+VLOOKUP(Table28[[#This Row],[DESCRIPCIÓN ]],INSUMOS!A:D,3,FALSE)</f>
        <v>15126.22</v>
      </c>
      <c r="F559" s="225">
        <f>+Table28[[#This Row],[CANTIDAD]]*Table28[[#This Row],[VALOR UNITARIO]]</f>
        <v>105883.54</v>
      </c>
    </row>
    <row r="560" spans="1:6" s="193" customFormat="1" hidden="1" x14ac:dyDescent="0.3">
      <c r="A560" s="193">
        <v>532</v>
      </c>
      <c r="B560" s="193" t="s">
        <v>609</v>
      </c>
      <c r="C560" s="193" t="s">
        <v>55</v>
      </c>
      <c r="D560" s="226">
        <f>+ROUNDUP(SUMIFS('MEMORIA CANTIDADES'!E:E,'MEMORIA CANTIDADES'!B:B,Table28[[#This Row],[DESCRIPCIÓN ]],'MEMORIA CANTIDADES'!C:C,Table28[[#This Row],[UNIDAD]]),0)</f>
        <v>0</v>
      </c>
      <c r="E560" s="225">
        <f>+VLOOKUP(Table28[[#This Row],[DESCRIPCIÓN ]],INSUMOS!A:D,3,FALSE)</f>
        <v>8322.4500000000007</v>
      </c>
      <c r="F560" s="225">
        <f>+Table28[[#This Row],[CANTIDAD]]*Table28[[#This Row],[VALOR UNITARIO]]</f>
        <v>0</v>
      </c>
    </row>
    <row r="561" spans="1:6" s="193" customFormat="1" ht="43.2" hidden="1" x14ac:dyDescent="0.3">
      <c r="A561" s="193">
        <v>30</v>
      </c>
      <c r="B561" s="193" t="s">
        <v>610</v>
      </c>
      <c r="C561" s="193" t="s">
        <v>55</v>
      </c>
      <c r="D561" s="226">
        <f>+ROUNDUP(SUMIFS('MEMORIA CANTIDADES'!E:E,'MEMORIA CANTIDADES'!B:B,Table28[[#This Row],[DESCRIPCIÓN ]],'MEMORIA CANTIDADES'!C:C,Table28[[#This Row],[UNIDAD]]),0)</f>
        <v>0</v>
      </c>
      <c r="E561" s="225">
        <f>+VLOOKUP(Table28[[#This Row],[DESCRIPCIÓN ]],INSUMOS!A:D,3,FALSE)</f>
        <v>545743.59</v>
      </c>
      <c r="F561" s="225">
        <f>+Table28[[#This Row],[CANTIDAD]]*Table28[[#This Row],[VALOR UNITARIO]]</f>
        <v>0</v>
      </c>
    </row>
    <row r="562" spans="1:6" s="193" customFormat="1" ht="43.2" hidden="1" x14ac:dyDescent="0.3">
      <c r="A562" s="193">
        <v>31</v>
      </c>
      <c r="B562" s="193" t="s">
        <v>611</v>
      </c>
      <c r="C562" s="193" t="s">
        <v>55</v>
      </c>
      <c r="D562" s="226">
        <f>+ROUNDUP(SUMIFS('MEMORIA CANTIDADES'!E:E,'MEMORIA CANTIDADES'!B:B,Table28[[#This Row],[DESCRIPCIÓN ]],'MEMORIA CANTIDADES'!C:C,Table28[[#This Row],[UNIDAD]]),0)</f>
        <v>0</v>
      </c>
      <c r="E562" s="225">
        <f>+VLOOKUP(Table28[[#This Row],[DESCRIPCIÓN ]],INSUMOS!A:D,3,FALSE)</f>
        <v>103311.27</v>
      </c>
      <c r="F562" s="225">
        <f>+Table28[[#This Row],[CANTIDAD]]*Table28[[#This Row],[VALOR UNITARIO]]</f>
        <v>0</v>
      </c>
    </row>
    <row r="563" spans="1:6" s="193" customFormat="1" ht="28.8" hidden="1" x14ac:dyDescent="0.3">
      <c r="A563" s="193">
        <v>28</v>
      </c>
      <c r="B563" s="193" t="s">
        <v>2153</v>
      </c>
      <c r="C563" s="193" t="s">
        <v>55</v>
      </c>
      <c r="D563" s="226">
        <f>+ROUNDUP(SUMIFS('MEMORIA CANTIDADES'!E:E,'MEMORIA CANTIDADES'!B:B,Table28[[#This Row],[DESCRIPCIÓN ]],'MEMORIA CANTIDADES'!C:C,Table28[[#This Row],[UNIDAD]]),0)</f>
        <v>0</v>
      </c>
      <c r="E563" s="225" t="e">
        <f>+VLOOKUP(Table28[[#This Row],[DESCRIPCIÓN ]],INSUMOS!A:D,3,FALSE)</f>
        <v>#N/A</v>
      </c>
      <c r="F563" s="225" t="e">
        <f>+Table28[[#This Row],[CANTIDAD]]*Table28[[#This Row],[VALOR UNITARIO]]</f>
        <v>#N/A</v>
      </c>
    </row>
    <row r="564" spans="1:6" s="193" customFormat="1" ht="28.8" hidden="1" x14ac:dyDescent="0.3">
      <c r="A564" s="193">
        <v>29</v>
      </c>
      <c r="B564" s="193" t="s">
        <v>612</v>
      </c>
      <c r="C564" s="193" t="s">
        <v>55</v>
      </c>
      <c r="D564" s="226">
        <f>+ROUNDUP(SUMIFS('MEMORIA CANTIDADES'!E:E,'MEMORIA CANTIDADES'!B:B,Table28[[#This Row],[DESCRIPCIÓN ]],'MEMORIA CANTIDADES'!C:C,Table28[[#This Row],[UNIDAD]]),0)</f>
        <v>0</v>
      </c>
      <c r="E564" s="225">
        <f>+VLOOKUP(Table28[[#This Row],[DESCRIPCIÓN ]],INSUMOS!A:D,3,FALSE)</f>
        <v>46366.81</v>
      </c>
      <c r="F564" s="225">
        <f>+Table28[[#This Row],[CANTIDAD]]*Table28[[#This Row],[VALOR UNITARIO]]</f>
        <v>0</v>
      </c>
    </row>
    <row r="565" spans="1:6" s="193" customFormat="1" ht="43.2" hidden="1" x14ac:dyDescent="0.3">
      <c r="A565" s="193">
        <v>26</v>
      </c>
      <c r="B565" s="193" t="s">
        <v>613</v>
      </c>
      <c r="C565" s="193" t="s">
        <v>55</v>
      </c>
      <c r="D565" s="226">
        <f>+ROUNDUP(SUMIFS('MEMORIA CANTIDADES'!E:E,'MEMORIA CANTIDADES'!B:B,Table28[[#This Row],[DESCRIPCIÓN ]],'MEMORIA CANTIDADES'!C:C,Table28[[#This Row],[UNIDAD]]),0)</f>
        <v>0</v>
      </c>
      <c r="E565" s="225">
        <f>+VLOOKUP(Table28[[#This Row],[DESCRIPCIÓN ]],INSUMOS!A:D,3,FALSE)</f>
        <v>374025.53</v>
      </c>
      <c r="F565" s="225">
        <f>+Table28[[#This Row],[CANTIDAD]]*Table28[[#This Row],[VALOR UNITARIO]]</f>
        <v>0</v>
      </c>
    </row>
    <row r="566" spans="1:6" s="193" customFormat="1" ht="43.2" hidden="1" x14ac:dyDescent="0.3">
      <c r="A566" s="193">
        <v>27</v>
      </c>
      <c r="B566" s="193" t="s">
        <v>614</v>
      </c>
      <c r="C566" s="193" t="s">
        <v>55</v>
      </c>
      <c r="D566" s="226">
        <f>+ROUNDUP(SUMIFS('MEMORIA CANTIDADES'!E:E,'MEMORIA CANTIDADES'!B:B,Table28[[#This Row],[DESCRIPCIÓN ]],'MEMORIA CANTIDADES'!C:C,Table28[[#This Row],[UNIDAD]]),0)</f>
        <v>0</v>
      </c>
      <c r="E566" s="225">
        <f>+VLOOKUP(Table28[[#This Row],[DESCRIPCIÓN ]],INSUMOS!A:D,3,FALSE)</f>
        <v>92504.38</v>
      </c>
      <c r="F566" s="225">
        <f>+Table28[[#This Row],[CANTIDAD]]*Table28[[#This Row],[VALOR UNITARIO]]</f>
        <v>0</v>
      </c>
    </row>
    <row r="567" spans="1:6" s="193" customFormat="1" ht="43.2" hidden="1" x14ac:dyDescent="0.3">
      <c r="A567" s="193">
        <v>1220</v>
      </c>
      <c r="B567" s="193" t="s">
        <v>615</v>
      </c>
      <c r="C567" s="193" t="s">
        <v>55</v>
      </c>
      <c r="D567" s="226">
        <f>+ROUNDUP(SUMIFS('MEMORIA CANTIDADES'!E:E,'MEMORIA CANTIDADES'!B:B,Table28[[#This Row],[DESCRIPCIÓN ]],'MEMORIA CANTIDADES'!C:C,Table28[[#This Row],[UNIDAD]]),0)</f>
        <v>0</v>
      </c>
      <c r="E567" s="225">
        <f>+VLOOKUP(Table28[[#This Row],[DESCRIPCIÓN ]],INSUMOS!A:D,3,FALSE)</f>
        <v>196805.89</v>
      </c>
      <c r="F567" s="225">
        <f>+Table28[[#This Row],[CANTIDAD]]*Table28[[#This Row],[VALOR UNITARIO]]</f>
        <v>0</v>
      </c>
    </row>
    <row r="568" spans="1:6" s="193" customFormat="1" ht="28.8" hidden="1" x14ac:dyDescent="0.3">
      <c r="A568" s="193">
        <v>5</v>
      </c>
      <c r="B568" s="193" t="s">
        <v>616</v>
      </c>
      <c r="C568" s="193" t="s">
        <v>55</v>
      </c>
      <c r="D568" s="226">
        <f>+ROUNDUP(SUMIFS('MEMORIA CANTIDADES'!E:E,'MEMORIA CANTIDADES'!B:B,Table28[[#This Row],[DESCRIPCIÓN ]],'MEMORIA CANTIDADES'!C:C,Table28[[#This Row],[UNIDAD]]),0)</f>
        <v>0</v>
      </c>
      <c r="E568" s="225">
        <f>+VLOOKUP(Table28[[#This Row],[DESCRIPCIÓN ]],INSUMOS!A:D,3,FALSE)</f>
        <v>59642.73</v>
      </c>
      <c r="F568" s="225">
        <f>+Table28[[#This Row],[CANTIDAD]]*Table28[[#This Row],[VALOR UNITARIO]]</f>
        <v>0</v>
      </c>
    </row>
    <row r="569" spans="1:6" s="193" customFormat="1" ht="28.8" hidden="1" x14ac:dyDescent="0.3">
      <c r="A569" s="193">
        <v>6</v>
      </c>
      <c r="B569" s="193" t="s">
        <v>617</v>
      </c>
      <c r="C569" s="193" t="s">
        <v>55</v>
      </c>
      <c r="D569" s="226">
        <f>+ROUNDUP(SUMIFS('MEMORIA CANTIDADES'!E:E,'MEMORIA CANTIDADES'!B:B,Table28[[#This Row],[DESCRIPCIÓN ]],'MEMORIA CANTIDADES'!C:C,Table28[[#This Row],[UNIDAD]]),0)</f>
        <v>0</v>
      </c>
      <c r="E569" s="225">
        <f>+VLOOKUP(Table28[[#This Row],[DESCRIPCIÓN ]],INSUMOS!A:D,3,FALSE)</f>
        <v>428582.24</v>
      </c>
      <c r="F569" s="225">
        <f>+Table28[[#This Row],[CANTIDAD]]*Table28[[#This Row],[VALOR UNITARIO]]</f>
        <v>0</v>
      </c>
    </row>
    <row r="570" spans="1:6" s="193" customFormat="1" ht="28.8" hidden="1" x14ac:dyDescent="0.3">
      <c r="A570" s="193">
        <v>7</v>
      </c>
      <c r="B570" s="193" t="s">
        <v>2146</v>
      </c>
      <c r="C570" s="193" t="s">
        <v>55</v>
      </c>
      <c r="D570" s="226">
        <f>+ROUNDUP(SUMIFS('MEMORIA CANTIDADES'!E:E,'MEMORIA CANTIDADES'!B:B,Table28[[#This Row],[DESCRIPCIÓN ]],'MEMORIA CANTIDADES'!C:C,Table28[[#This Row],[UNIDAD]]),0)</f>
        <v>0</v>
      </c>
      <c r="E570" s="225">
        <f>+VLOOKUP(Table28[[#This Row],[DESCRIPCIÓN ]],INSUMOS!A:D,3,FALSE)</f>
        <v>113295.89</v>
      </c>
      <c r="F570" s="225">
        <f>+Table28[[#This Row],[CANTIDAD]]*Table28[[#This Row],[VALOR UNITARIO]]</f>
        <v>0</v>
      </c>
    </row>
    <row r="571" spans="1:6" s="193" customFormat="1" ht="43.2" hidden="1" x14ac:dyDescent="0.3">
      <c r="A571" s="193">
        <v>806</v>
      </c>
      <c r="B571" s="193" t="s">
        <v>618</v>
      </c>
      <c r="C571" s="193" t="s">
        <v>2215</v>
      </c>
      <c r="D571" s="226">
        <f>+ROUNDUP(SUMIFS('MEMORIA CANTIDADES'!E:E,'MEMORIA CANTIDADES'!B:B,Table28[[#This Row],[DESCRIPCIÓN ]],'MEMORIA CANTIDADES'!C:C,Table28[[#This Row],[UNIDAD]]),0)</f>
        <v>0</v>
      </c>
      <c r="E571" s="225" t="e">
        <f>+VLOOKUP(Table28[[#This Row],[DESCRIPCIÓN ]],INSUMOS!A:D,3,FALSE)</f>
        <v>#N/A</v>
      </c>
      <c r="F571" s="225" t="e">
        <f>+Table28[[#This Row],[CANTIDAD]]*Table28[[#This Row],[VALOR UNITARIO]]</f>
        <v>#N/A</v>
      </c>
    </row>
    <row r="572" spans="1:6" s="193" customFormat="1" hidden="1" x14ac:dyDescent="0.3">
      <c r="A572" s="193">
        <v>533</v>
      </c>
      <c r="B572" s="193" t="s">
        <v>619</v>
      </c>
      <c r="C572" s="193" t="s">
        <v>1276</v>
      </c>
      <c r="D572" s="226">
        <f>+ROUNDUP(SUMIFS('MEMORIA CANTIDADES'!E:E,'MEMORIA CANTIDADES'!B:B,Table28[[#This Row],[DESCRIPCIÓN ]],'MEMORIA CANTIDADES'!C:C,Table28[[#This Row],[UNIDAD]]),0)</f>
        <v>0</v>
      </c>
      <c r="E572" s="225">
        <f>+VLOOKUP(Table28[[#This Row],[DESCRIPCIÓN ]],INSUMOS!A:D,3,FALSE)</f>
        <v>149099.46</v>
      </c>
      <c r="F572" s="225">
        <f>+Table28[[#This Row],[CANTIDAD]]*Table28[[#This Row],[VALOR UNITARIO]]</f>
        <v>0</v>
      </c>
    </row>
    <row r="573" spans="1:6" s="193" customFormat="1" hidden="1" x14ac:dyDescent="0.3">
      <c r="A573" s="193">
        <v>1221</v>
      </c>
      <c r="B573" s="193" t="s">
        <v>620</v>
      </c>
      <c r="C573" s="193" t="s">
        <v>55</v>
      </c>
      <c r="D573" s="226">
        <f>+ROUNDUP(SUMIFS('MEMORIA CANTIDADES'!E:E,'MEMORIA CANTIDADES'!B:B,Table28[[#This Row],[DESCRIPCIÓN ]],'MEMORIA CANTIDADES'!C:C,Table28[[#This Row],[UNIDAD]]),0)</f>
        <v>0</v>
      </c>
      <c r="E573" s="225">
        <f>+VLOOKUP(Table28[[#This Row],[DESCRIPCIÓN ]],INSUMOS!A:D,3,FALSE)</f>
        <v>89103.03</v>
      </c>
      <c r="F573" s="225">
        <f>+Table28[[#This Row],[CANTIDAD]]*Table28[[#This Row],[VALOR UNITARIO]]</f>
        <v>0</v>
      </c>
    </row>
    <row r="574" spans="1:6" s="193" customFormat="1" hidden="1" x14ac:dyDescent="0.3">
      <c r="A574" s="193">
        <v>298</v>
      </c>
      <c r="B574" s="193" t="s">
        <v>621</v>
      </c>
      <c r="C574" s="193" t="s">
        <v>55</v>
      </c>
      <c r="D574" s="226">
        <f>+ROUNDUP(SUMIFS('MEMORIA CANTIDADES'!E:E,'MEMORIA CANTIDADES'!B:B,Table28[[#This Row],[DESCRIPCIÓN ]],'MEMORIA CANTIDADES'!C:C,Table28[[#This Row],[UNIDAD]]),0)</f>
        <v>0</v>
      </c>
      <c r="E574" s="225">
        <f>+VLOOKUP(Table28[[#This Row],[DESCRIPCIÓN ]],INSUMOS!A:D,3,FALSE)</f>
        <v>13113.43</v>
      </c>
      <c r="F574" s="225">
        <f>+Table28[[#This Row],[CANTIDAD]]*Table28[[#This Row],[VALOR UNITARIO]]</f>
        <v>0</v>
      </c>
    </row>
    <row r="575" spans="1:6" s="193" customFormat="1" hidden="1" x14ac:dyDescent="0.3">
      <c r="A575" s="193">
        <v>299</v>
      </c>
      <c r="B575" s="193" t="s">
        <v>622</v>
      </c>
      <c r="C575" s="193" t="s">
        <v>55</v>
      </c>
      <c r="D575" s="226">
        <f>+ROUNDUP(SUMIFS('MEMORIA CANTIDADES'!E:E,'MEMORIA CANTIDADES'!B:B,Table28[[#This Row],[DESCRIPCIÓN ]],'MEMORIA CANTIDADES'!C:C,Table28[[#This Row],[UNIDAD]]),0)</f>
        <v>0</v>
      </c>
      <c r="E575" s="225">
        <f>+VLOOKUP(Table28[[#This Row],[DESCRIPCIÓN ]],INSUMOS!A:D,3,FALSE)</f>
        <v>8734.15</v>
      </c>
      <c r="F575" s="225">
        <f>+Table28[[#This Row],[CANTIDAD]]*Table28[[#This Row],[VALOR UNITARIO]]</f>
        <v>0</v>
      </c>
    </row>
    <row r="576" spans="1:6" s="193" customFormat="1" hidden="1" x14ac:dyDescent="0.3">
      <c r="A576" s="193">
        <v>300</v>
      </c>
      <c r="B576" s="193" t="s">
        <v>623</v>
      </c>
      <c r="C576" s="193" t="s">
        <v>55</v>
      </c>
      <c r="D576" s="226">
        <f>+ROUNDUP(SUMIFS('MEMORIA CANTIDADES'!E:E,'MEMORIA CANTIDADES'!B:B,Table28[[#This Row],[DESCRIPCIÓN ]],'MEMORIA CANTIDADES'!C:C,Table28[[#This Row],[UNIDAD]]),0)</f>
        <v>0</v>
      </c>
      <c r="E576" s="225">
        <f>+VLOOKUP(Table28[[#This Row],[DESCRIPCIÓN ]],INSUMOS!A:D,3,FALSE)</f>
        <v>18551.560000000001</v>
      </c>
      <c r="F576" s="225">
        <f>+Table28[[#This Row],[CANTIDAD]]*Table28[[#This Row],[VALOR UNITARIO]]</f>
        <v>0</v>
      </c>
    </row>
    <row r="577" spans="1:6" s="193" customFormat="1" hidden="1" x14ac:dyDescent="0.3">
      <c r="A577" s="193">
        <v>301</v>
      </c>
      <c r="B577" s="193" t="s">
        <v>624</v>
      </c>
      <c r="C577" s="193" t="s">
        <v>55</v>
      </c>
      <c r="D577" s="226">
        <f>+ROUNDUP(SUMIFS('MEMORIA CANTIDADES'!E:E,'MEMORIA CANTIDADES'!B:B,Table28[[#This Row],[DESCRIPCIÓN ]],'MEMORIA CANTIDADES'!C:C,Table28[[#This Row],[UNIDAD]]),0)</f>
        <v>0</v>
      </c>
      <c r="E577" s="225">
        <f>+VLOOKUP(Table28[[#This Row],[DESCRIPCIÓN ]],INSUMOS!A:D,3,FALSE)</f>
        <v>16321.54</v>
      </c>
      <c r="F577" s="225">
        <f>+Table28[[#This Row],[CANTIDAD]]*Table28[[#This Row],[VALOR UNITARIO]]</f>
        <v>0</v>
      </c>
    </row>
    <row r="578" spans="1:6" s="193" customFormat="1" x14ac:dyDescent="0.3">
      <c r="A578" s="193">
        <v>444</v>
      </c>
      <c r="B578" s="193" t="s">
        <v>207</v>
      </c>
      <c r="C578" s="193" t="s">
        <v>1276</v>
      </c>
      <c r="D578" s="226">
        <f>+ROUNDUP(SUMIFS('MEMORIA CANTIDADES'!E:E,'MEMORIA CANTIDADES'!B:B,Table28[[#This Row],[DESCRIPCIÓN ]],'MEMORIA CANTIDADES'!C:C,Table28[[#This Row],[UNIDAD]]),0)</f>
        <v>19</v>
      </c>
      <c r="E578" s="225">
        <f>+VLOOKUP(Table28[[#This Row],[DESCRIPCIÓN ]],INSUMOS!A:D,3,FALSE)</f>
        <v>79571.56</v>
      </c>
      <c r="F578" s="225">
        <f>+Table28[[#This Row],[CANTIDAD]]*Table28[[#This Row],[VALOR UNITARIO]]</f>
        <v>1511859.64</v>
      </c>
    </row>
    <row r="579" spans="1:6" s="193" customFormat="1" hidden="1" x14ac:dyDescent="0.3">
      <c r="A579" s="193">
        <v>303</v>
      </c>
      <c r="B579" s="193" t="s">
        <v>626</v>
      </c>
      <c r="C579" s="193" t="s">
        <v>55</v>
      </c>
      <c r="D579" s="226">
        <f>+ROUNDUP(SUMIFS('MEMORIA CANTIDADES'!E:E,'MEMORIA CANTIDADES'!B:B,Table28[[#This Row],[DESCRIPCIÓN ]],'MEMORIA CANTIDADES'!C:C,Table28[[#This Row],[UNIDAD]]),0)</f>
        <v>0</v>
      </c>
      <c r="E579" s="225">
        <f>+VLOOKUP(Table28[[#This Row],[DESCRIPCIÓN ]],INSUMOS!A:D,3,FALSE)</f>
        <v>15403.44</v>
      </c>
      <c r="F579" s="225">
        <f>+Table28[[#This Row],[CANTIDAD]]*Table28[[#This Row],[VALOR UNITARIO]]</f>
        <v>0</v>
      </c>
    </row>
    <row r="580" spans="1:6" s="193" customFormat="1" hidden="1" x14ac:dyDescent="0.3">
      <c r="A580" s="193">
        <v>534</v>
      </c>
      <c r="B580" s="193" t="s">
        <v>627</v>
      </c>
      <c r="C580" s="193" t="s">
        <v>1276</v>
      </c>
      <c r="D580" s="226">
        <f>+ROUNDUP(SUMIFS('MEMORIA CANTIDADES'!E:E,'MEMORIA CANTIDADES'!B:B,Table28[[#This Row],[DESCRIPCIÓN ]],'MEMORIA CANTIDADES'!C:C,Table28[[#This Row],[UNIDAD]]),0)</f>
        <v>0</v>
      </c>
      <c r="E580" s="225">
        <f>+VLOOKUP(Table28[[#This Row],[DESCRIPCIÓN ]],INSUMOS!A:D,3,FALSE)</f>
        <v>97337.58</v>
      </c>
      <c r="F580" s="225">
        <f>+Table28[[#This Row],[CANTIDAD]]*Table28[[#This Row],[VALOR UNITARIO]]</f>
        <v>0</v>
      </c>
    </row>
    <row r="581" spans="1:6" s="193" customFormat="1" ht="28.8" hidden="1" x14ac:dyDescent="0.3">
      <c r="A581" s="193">
        <v>118</v>
      </c>
      <c r="B581" s="193" t="s">
        <v>628</v>
      </c>
      <c r="C581" s="193" t="s">
        <v>55</v>
      </c>
      <c r="D581" s="226">
        <f>+ROUNDUP(SUMIFS('MEMORIA CANTIDADES'!E:E,'MEMORIA CANTIDADES'!B:B,Table28[[#This Row],[DESCRIPCIÓN ]],'MEMORIA CANTIDADES'!C:C,Table28[[#This Row],[UNIDAD]]),0)</f>
        <v>0</v>
      </c>
      <c r="E581" s="225">
        <f>+VLOOKUP(Table28[[#This Row],[DESCRIPCIÓN ]],INSUMOS!A:D,3,FALSE)</f>
        <v>1644.95</v>
      </c>
      <c r="F581" s="225">
        <f>+Table28[[#This Row],[CANTIDAD]]*Table28[[#This Row],[VALOR UNITARIO]]</f>
        <v>0</v>
      </c>
    </row>
    <row r="582" spans="1:6" s="193" customFormat="1" ht="28.8" hidden="1" x14ac:dyDescent="0.3">
      <c r="A582" s="193">
        <v>119</v>
      </c>
      <c r="B582" s="193" t="s">
        <v>629</v>
      </c>
      <c r="C582" s="193" t="s">
        <v>55</v>
      </c>
      <c r="D582" s="226">
        <f>+ROUNDUP(SUMIFS('MEMORIA CANTIDADES'!E:E,'MEMORIA CANTIDADES'!B:B,Table28[[#This Row],[DESCRIPCIÓN ]],'MEMORIA CANTIDADES'!C:C,Table28[[#This Row],[UNIDAD]]),0)</f>
        <v>0</v>
      </c>
      <c r="E582" s="225">
        <f>+VLOOKUP(Table28[[#This Row],[DESCRIPCIÓN ]],INSUMOS!A:D,3,FALSE)</f>
        <v>1803.75</v>
      </c>
      <c r="F582" s="225">
        <f>+Table28[[#This Row],[CANTIDAD]]*Table28[[#This Row],[VALOR UNITARIO]]</f>
        <v>0</v>
      </c>
    </row>
    <row r="583" spans="1:6" s="193" customFormat="1" ht="28.8" hidden="1" x14ac:dyDescent="0.3">
      <c r="A583" s="193">
        <v>120</v>
      </c>
      <c r="B583" s="193" t="s">
        <v>630</v>
      </c>
      <c r="C583" s="193" t="s">
        <v>55</v>
      </c>
      <c r="D583" s="226">
        <f>+ROUNDUP(SUMIFS('MEMORIA CANTIDADES'!E:E,'MEMORIA CANTIDADES'!B:B,Table28[[#This Row],[DESCRIPCIÓN ]],'MEMORIA CANTIDADES'!C:C,Table28[[#This Row],[UNIDAD]]),0)</f>
        <v>0</v>
      </c>
      <c r="E583" s="225">
        <f>+VLOOKUP(Table28[[#This Row],[DESCRIPCIÓN ]],INSUMOS!A:D,3,FALSE)</f>
        <v>1817.04</v>
      </c>
      <c r="F583" s="225">
        <f>+Table28[[#This Row],[CANTIDAD]]*Table28[[#This Row],[VALOR UNITARIO]]</f>
        <v>0</v>
      </c>
    </row>
    <row r="584" spans="1:6" s="193" customFormat="1" ht="28.8" hidden="1" x14ac:dyDescent="0.3">
      <c r="A584" s="193">
        <v>121</v>
      </c>
      <c r="B584" s="193" t="s">
        <v>631</v>
      </c>
      <c r="C584" s="193" t="s">
        <v>55</v>
      </c>
      <c r="D584" s="226">
        <f>+ROUNDUP(SUMIFS('MEMORIA CANTIDADES'!E:E,'MEMORIA CANTIDADES'!B:B,Table28[[#This Row],[DESCRIPCIÓN ]],'MEMORIA CANTIDADES'!C:C,Table28[[#This Row],[UNIDAD]]),0)</f>
        <v>0</v>
      </c>
      <c r="E584" s="225">
        <f>+VLOOKUP(Table28[[#This Row],[DESCRIPCIÓN ]],INSUMOS!A:D,3,FALSE)</f>
        <v>2282.6</v>
      </c>
      <c r="F584" s="225">
        <f>+Table28[[#This Row],[CANTIDAD]]*Table28[[#This Row],[VALOR UNITARIO]]</f>
        <v>0</v>
      </c>
    </row>
    <row r="585" spans="1:6" s="193" customFormat="1" hidden="1" x14ac:dyDescent="0.3">
      <c r="A585" s="193">
        <v>122</v>
      </c>
      <c r="B585" s="193" t="s">
        <v>632</v>
      </c>
      <c r="C585" s="193" t="s">
        <v>55</v>
      </c>
      <c r="D585" s="226">
        <f>+ROUNDUP(SUMIFS('MEMORIA CANTIDADES'!E:E,'MEMORIA CANTIDADES'!B:B,Table28[[#This Row],[DESCRIPCIÓN ]],'MEMORIA CANTIDADES'!C:C,Table28[[#This Row],[UNIDAD]]),0)</f>
        <v>0</v>
      </c>
      <c r="E585" s="225">
        <f>+VLOOKUP(Table28[[#This Row],[DESCRIPCIÓN ]],INSUMOS!A:D,3,FALSE)</f>
        <v>1816.41</v>
      </c>
      <c r="F585" s="225">
        <f>+Table28[[#This Row],[CANTIDAD]]*Table28[[#This Row],[VALOR UNITARIO]]</f>
        <v>0</v>
      </c>
    </row>
    <row r="586" spans="1:6" s="193" customFormat="1" hidden="1" x14ac:dyDescent="0.3">
      <c r="A586" s="193">
        <v>123</v>
      </c>
      <c r="B586" s="193" t="s">
        <v>633</v>
      </c>
      <c r="C586" s="193" t="s">
        <v>55</v>
      </c>
      <c r="D586" s="226">
        <f>+ROUNDUP(SUMIFS('MEMORIA CANTIDADES'!E:E,'MEMORIA CANTIDADES'!B:B,Table28[[#This Row],[DESCRIPCIÓN ]],'MEMORIA CANTIDADES'!C:C,Table28[[#This Row],[UNIDAD]]),0)</f>
        <v>0</v>
      </c>
      <c r="E586" s="225">
        <f>+VLOOKUP(Table28[[#This Row],[DESCRIPCIÓN ]],INSUMOS!A:D,3,FALSE)</f>
        <v>2748.12</v>
      </c>
      <c r="F586" s="225">
        <f>+Table28[[#This Row],[CANTIDAD]]*Table28[[#This Row],[VALOR UNITARIO]]</f>
        <v>0</v>
      </c>
    </row>
    <row r="587" spans="1:6" s="193" customFormat="1" hidden="1" x14ac:dyDescent="0.3">
      <c r="A587" s="193">
        <v>124</v>
      </c>
      <c r="B587" s="193" t="s">
        <v>634</v>
      </c>
      <c r="C587" s="193" t="s">
        <v>55</v>
      </c>
      <c r="D587" s="226">
        <f>+ROUNDUP(SUMIFS('MEMORIA CANTIDADES'!E:E,'MEMORIA CANTIDADES'!B:B,Table28[[#This Row],[DESCRIPCIÓN ]],'MEMORIA CANTIDADES'!C:C,Table28[[#This Row],[UNIDAD]]),0)</f>
        <v>0</v>
      </c>
      <c r="E587" s="225">
        <f>+VLOOKUP(Table28[[#This Row],[DESCRIPCIÓN ]],INSUMOS!A:D,3,FALSE)</f>
        <v>6756.38</v>
      </c>
      <c r="F587" s="225">
        <f>+Table28[[#This Row],[CANTIDAD]]*Table28[[#This Row],[VALOR UNITARIO]]</f>
        <v>0</v>
      </c>
    </row>
    <row r="588" spans="1:6" s="193" customFormat="1" hidden="1" x14ac:dyDescent="0.3">
      <c r="A588" s="193">
        <v>125</v>
      </c>
      <c r="B588" s="193" t="s">
        <v>635</v>
      </c>
      <c r="C588" s="193" t="s">
        <v>55</v>
      </c>
      <c r="D588" s="226">
        <f>+ROUNDUP(SUMIFS('MEMORIA CANTIDADES'!E:E,'MEMORIA CANTIDADES'!B:B,Table28[[#This Row],[DESCRIPCIÓN ]],'MEMORIA CANTIDADES'!C:C,Table28[[#This Row],[UNIDAD]]),0)</f>
        <v>0</v>
      </c>
      <c r="E588" s="225">
        <f>+VLOOKUP(Table28[[#This Row],[DESCRIPCIÓN ]],INSUMOS!A:D,3,FALSE)</f>
        <v>5210.71</v>
      </c>
      <c r="F588" s="225">
        <f>+Table28[[#This Row],[CANTIDAD]]*Table28[[#This Row],[VALOR UNITARIO]]</f>
        <v>0</v>
      </c>
    </row>
    <row r="589" spans="1:6" s="193" customFormat="1" hidden="1" x14ac:dyDescent="0.3">
      <c r="A589" s="193">
        <v>126</v>
      </c>
      <c r="B589" s="193" t="s">
        <v>636</v>
      </c>
      <c r="C589" s="193" t="s">
        <v>55</v>
      </c>
      <c r="D589" s="226">
        <f>+ROUNDUP(SUMIFS('MEMORIA CANTIDADES'!E:E,'MEMORIA CANTIDADES'!B:B,Table28[[#This Row],[DESCRIPCIÓN ]],'MEMORIA CANTIDADES'!C:C,Table28[[#This Row],[UNIDAD]]),0)</f>
        <v>0</v>
      </c>
      <c r="E589" s="225">
        <f>+VLOOKUP(Table28[[#This Row],[DESCRIPCIÓN ]],INSUMOS!A:D,3,FALSE)</f>
        <v>4054.16</v>
      </c>
      <c r="F589" s="225">
        <f>+Table28[[#This Row],[CANTIDAD]]*Table28[[#This Row],[VALOR UNITARIO]]</f>
        <v>0</v>
      </c>
    </row>
    <row r="590" spans="1:6" s="193" customFormat="1" hidden="1" x14ac:dyDescent="0.3">
      <c r="A590" s="193">
        <v>127</v>
      </c>
      <c r="B590" s="193" t="s">
        <v>637</v>
      </c>
      <c r="C590" s="193" t="s">
        <v>55</v>
      </c>
      <c r="D590" s="226">
        <f>+ROUNDUP(SUMIFS('MEMORIA CANTIDADES'!E:E,'MEMORIA CANTIDADES'!B:B,Table28[[#This Row],[DESCRIPCIÓN ]],'MEMORIA CANTIDADES'!C:C,Table28[[#This Row],[UNIDAD]]),0)</f>
        <v>0</v>
      </c>
      <c r="E590" s="225">
        <f>+VLOOKUP(Table28[[#This Row],[DESCRIPCIÓN ]],INSUMOS!A:D,3,FALSE)</f>
        <v>1591.96</v>
      </c>
      <c r="F590" s="225">
        <f>+Table28[[#This Row],[CANTIDAD]]*Table28[[#This Row],[VALOR UNITARIO]]</f>
        <v>0</v>
      </c>
    </row>
    <row r="591" spans="1:6" s="193" customFormat="1" ht="28.8" hidden="1" x14ac:dyDescent="0.3">
      <c r="A591" s="193">
        <v>128</v>
      </c>
      <c r="B591" s="193" t="s">
        <v>638</v>
      </c>
      <c r="C591" s="193" t="s">
        <v>55</v>
      </c>
      <c r="D591" s="226">
        <f>+ROUNDUP(SUMIFS('MEMORIA CANTIDADES'!E:E,'MEMORIA CANTIDADES'!B:B,Table28[[#This Row],[DESCRIPCIÓN ]],'MEMORIA CANTIDADES'!C:C,Table28[[#This Row],[UNIDAD]]),0)</f>
        <v>0</v>
      </c>
      <c r="E591" s="225">
        <f>+VLOOKUP(Table28[[#This Row],[DESCRIPCIÓN ]],INSUMOS!A:D,3,FALSE)</f>
        <v>1301.4000000000001</v>
      </c>
      <c r="F591" s="225">
        <f>+Table28[[#This Row],[CANTIDAD]]*Table28[[#This Row],[VALOR UNITARIO]]</f>
        <v>0</v>
      </c>
    </row>
    <row r="592" spans="1:6" s="193" customFormat="1" hidden="1" x14ac:dyDescent="0.3">
      <c r="A592" s="193">
        <v>535</v>
      </c>
      <c r="B592" s="193" t="s">
        <v>639</v>
      </c>
      <c r="C592" s="193" t="s">
        <v>55</v>
      </c>
      <c r="D592" s="226">
        <f>+ROUNDUP(SUMIFS('MEMORIA CANTIDADES'!E:E,'MEMORIA CANTIDADES'!B:B,Table28[[#This Row],[DESCRIPCIÓN ]],'MEMORIA CANTIDADES'!C:C,Table28[[#This Row],[UNIDAD]]),0)</f>
        <v>0</v>
      </c>
      <c r="E592" s="225">
        <f>+VLOOKUP(Table28[[#This Row],[DESCRIPCIÓN ]],INSUMOS!A:D,3,FALSE)</f>
        <v>237985.76</v>
      </c>
      <c r="F592" s="225">
        <f>+Table28[[#This Row],[CANTIDAD]]*Table28[[#This Row],[VALOR UNITARIO]]</f>
        <v>0</v>
      </c>
    </row>
    <row r="593" spans="1:6" s="193" customFormat="1" hidden="1" x14ac:dyDescent="0.3">
      <c r="A593" s="193">
        <v>536</v>
      </c>
      <c r="B593" s="193" t="s">
        <v>640</v>
      </c>
      <c r="C593" s="193" t="s">
        <v>55</v>
      </c>
      <c r="D593" s="226">
        <f>+ROUNDUP(SUMIFS('MEMORIA CANTIDADES'!E:E,'MEMORIA CANTIDADES'!B:B,Table28[[#This Row],[DESCRIPCIÓN ]],'MEMORIA CANTIDADES'!C:C,Table28[[#This Row],[UNIDAD]]),0)</f>
        <v>0</v>
      </c>
      <c r="E593" s="225">
        <f>+VLOOKUP(Table28[[#This Row],[DESCRIPCIÓN ]],INSUMOS!A:D,3,FALSE)</f>
        <v>180252.97</v>
      </c>
      <c r="F593" s="225">
        <f>+Table28[[#This Row],[CANTIDAD]]*Table28[[#This Row],[VALOR UNITARIO]]</f>
        <v>0</v>
      </c>
    </row>
    <row r="594" spans="1:6" s="193" customFormat="1" hidden="1" x14ac:dyDescent="0.3">
      <c r="A594" s="193">
        <v>537</v>
      </c>
      <c r="B594" s="193" t="s">
        <v>641</v>
      </c>
      <c r="C594" s="193" t="s">
        <v>55</v>
      </c>
      <c r="D594" s="226">
        <f>+ROUNDUP(SUMIFS('MEMORIA CANTIDADES'!E:E,'MEMORIA CANTIDADES'!B:B,Table28[[#This Row],[DESCRIPCIÓN ]],'MEMORIA CANTIDADES'!C:C,Table28[[#This Row],[UNIDAD]]),0)</f>
        <v>0</v>
      </c>
      <c r="E594" s="225">
        <f>+VLOOKUP(Table28[[#This Row],[DESCRIPCIÓN ]],INSUMOS!A:D,3,FALSE)</f>
        <v>188163.03</v>
      </c>
      <c r="F594" s="225">
        <f>+Table28[[#This Row],[CANTIDAD]]*Table28[[#This Row],[VALOR UNITARIO]]</f>
        <v>0</v>
      </c>
    </row>
    <row r="595" spans="1:6" s="193" customFormat="1" hidden="1" x14ac:dyDescent="0.3">
      <c r="A595" s="193">
        <v>538</v>
      </c>
      <c r="B595" s="193" t="s">
        <v>642</v>
      </c>
      <c r="C595" s="193" t="s">
        <v>55</v>
      </c>
      <c r="D595" s="226">
        <f>+ROUNDUP(SUMIFS('MEMORIA CANTIDADES'!E:E,'MEMORIA CANTIDADES'!B:B,Table28[[#This Row],[DESCRIPCIÓN ]],'MEMORIA CANTIDADES'!C:C,Table28[[#This Row],[UNIDAD]]),0)</f>
        <v>0</v>
      </c>
      <c r="E595" s="225">
        <f>+VLOOKUP(Table28[[#This Row],[DESCRIPCIÓN ]],INSUMOS!A:D,3,FALSE)</f>
        <v>570287.75</v>
      </c>
      <c r="F595" s="225">
        <f>+Table28[[#This Row],[CANTIDAD]]*Table28[[#This Row],[VALOR UNITARIO]]</f>
        <v>0</v>
      </c>
    </row>
    <row r="596" spans="1:6" s="193" customFormat="1" hidden="1" x14ac:dyDescent="0.3">
      <c r="A596" s="193">
        <v>539</v>
      </c>
      <c r="B596" s="193" t="s">
        <v>643</v>
      </c>
      <c r="C596" s="193" t="s">
        <v>55</v>
      </c>
      <c r="D596" s="226">
        <f>+ROUNDUP(SUMIFS('MEMORIA CANTIDADES'!E:E,'MEMORIA CANTIDADES'!B:B,Table28[[#This Row],[DESCRIPCIÓN ]],'MEMORIA CANTIDADES'!C:C,Table28[[#This Row],[UNIDAD]]),0)</f>
        <v>0</v>
      </c>
      <c r="E596" s="225">
        <f>+VLOOKUP(Table28[[#This Row],[DESCRIPCIÓN ]],INSUMOS!A:D,3,FALSE)</f>
        <v>210112.38</v>
      </c>
      <c r="F596" s="225">
        <f>+Table28[[#This Row],[CANTIDAD]]*Table28[[#This Row],[VALOR UNITARIO]]</f>
        <v>0</v>
      </c>
    </row>
    <row r="597" spans="1:6" s="193" customFormat="1" hidden="1" x14ac:dyDescent="0.3">
      <c r="A597" s="193">
        <v>540</v>
      </c>
      <c r="B597" s="193" t="s">
        <v>644</v>
      </c>
      <c r="C597" s="193" t="s">
        <v>55</v>
      </c>
      <c r="D597" s="226">
        <f>+ROUNDUP(SUMIFS('MEMORIA CANTIDADES'!E:E,'MEMORIA CANTIDADES'!B:B,Table28[[#This Row],[DESCRIPCIÓN ]],'MEMORIA CANTIDADES'!C:C,Table28[[#This Row],[UNIDAD]]),0)</f>
        <v>0</v>
      </c>
      <c r="E597" s="225">
        <f>+VLOOKUP(Table28[[#This Row],[DESCRIPCIÓN ]],INSUMOS!A:D,3,FALSE)</f>
        <v>165421.65</v>
      </c>
      <c r="F597" s="225">
        <f>+Table28[[#This Row],[CANTIDAD]]*Table28[[#This Row],[VALOR UNITARIO]]</f>
        <v>0</v>
      </c>
    </row>
    <row r="598" spans="1:6" s="193" customFormat="1" hidden="1" x14ac:dyDescent="0.3">
      <c r="A598" s="193">
        <v>541</v>
      </c>
      <c r="B598" s="193" t="s">
        <v>645</v>
      </c>
      <c r="C598" s="193" t="s">
        <v>55</v>
      </c>
      <c r="D598" s="226">
        <f>+ROUNDUP(SUMIFS('MEMORIA CANTIDADES'!E:E,'MEMORIA CANTIDADES'!B:B,Table28[[#This Row],[DESCRIPCIÓN ]],'MEMORIA CANTIDADES'!C:C,Table28[[#This Row],[UNIDAD]]),0)</f>
        <v>0</v>
      </c>
      <c r="E598" s="225">
        <f>+VLOOKUP(Table28[[#This Row],[DESCRIPCIÓN ]],INSUMOS!A:D,3,FALSE)</f>
        <v>109820.95</v>
      </c>
      <c r="F598" s="225">
        <f>+Table28[[#This Row],[CANTIDAD]]*Table28[[#This Row],[VALOR UNITARIO]]</f>
        <v>0</v>
      </c>
    </row>
    <row r="599" spans="1:6" s="193" customFormat="1" hidden="1" x14ac:dyDescent="0.3">
      <c r="A599" s="193">
        <v>542</v>
      </c>
      <c r="B599" s="193" t="s">
        <v>646</v>
      </c>
      <c r="C599" s="193" t="s">
        <v>55</v>
      </c>
      <c r="D599" s="226">
        <f>+ROUNDUP(SUMIFS('MEMORIA CANTIDADES'!E:E,'MEMORIA CANTIDADES'!B:B,Table28[[#This Row],[DESCRIPCIÓN ]],'MEMORIA CANTIDADES'!C:C,Table28[[#This Row],[UNIDAD]]),0)</f>
        <v>0</v>
      </c>
      <c r="E599" s="225">
        <f>+VLOOKUP(Table28[[#This Row],[DESCRIPCIÓN ]],INSUMOS!A:D,3,FALSE)</f>
        <v>83292.259999999995</v>
      </c>
      <c r="F599" s="225">
        <f>+Table28[[#This Row],[CANTIDAD]]*Table28[[#This Row],[VALOR UNITARIO]]</f>
        <v>0</v>
      </c>
    </row>
    <row r="600" spans="1:6" s="193" customFormat="1" hidden="1" x14ac:dyDescent="0.3">
      <c r="A600" s="193">
        <v>543</v>
      </c>
      <c r="B600" s="193" t="s">
        <v>647</v>
      </c>
      <c r="C600" s="193" t="s">
        <v>55</v>
      </c>
      <c r="D600" s="226">
        <f>+ROUNDUP(SUMIFS('MEMORIA CANTIDADES'!E:E,'MEMORIA CANTIDADES'!B:B,Table28[[#This Row],[DESCRIPCIÓN ]],'MEMORIA CANTIDADES'!C:C,Table28[[#This Row],[UNIDAD]]),0)</f>
        <v>0</v>
      </c>
      <c r="E600" s="225">
        <f>+VLOOKUP(Table28[[#This Row],[DESCRIPCIÓN ]],INSUMOS!A:D,3,FALSE)</f>
        <v>125247.03999999999</v>
      </c>
      <c r="F600" s="225">
        <f>+Table28[[#This Row],[CANTIDAD]]*Table28[[#This Row],[VALOR UNITARIO]]</f>
        <v>0</v>
      </c>
    </row>
    <row r="601" spans="1:6" s="193" customFormat="1" hidden="1" x14ac:dyDescent="0.3">
      <c r="A601" s="193">
        <v>544</v>
      </c>
      <c r="B601" s="193" t="s">
        <v>648</v>
      </c>
      <c r="C601" s="193" t="s">
        <v>55</v>
      </c>
      <c r="D601" s="226">
        <f>+ROUNDUP(SUMIFS('MEMORIA CANTIDADES'!E:E,'MEMORIA CANTIDADES'!B:B,Table28[[#This Row],[DESCRIPCIÓN ]],'MEMORIA CANTIDADES'!C:C,Table28[[#This Row],[UNIDAD]]),0)</f>
        <v>0</v>
      </c>
      <c r="E601" s="225">
        <f>+VLOOKUP(Table28[[#This Row],[DESCRIPCIÓN ]],INSUMOS!A:D,3,FALSE)</f>
        <v>113747.91</v>
      </c>
      <c r="F601" s="225">
        <f>+Table28[[#This Row],[CANTIDAD]]*Table28[[#This Row],[VALOR UNITARIO]]</f>
        <v>0</v>
      </c>
    </row>
    <row r="602" spans="1:6" s="193" customFormat="1" hidden="1" x14ac:dyDescent="0.3">
      <c r="A602" s="193">
        <v>545</v>
      </c>
      <c r="B602" s="193" t="s">
        <v>649</v>
      </c>
      <c r="C602" s="193" t="s">
        <v>55</v>
      </c>
      <c r="D602" s="226">
        <f>+ROUNDUP(SUMIFS('MEMORIA CANTIDADES'!E:E,'MEMORIA CANTIDADES'!B:B,Table28[[#This Row],[DESCRIPCIÓN ]],'MEMORIA CANTIDADES'!C:C,Table28[[#This Row],[UNIDAD]]),0)</f>
        <v>0</v>
      </c>
      <c r="E602" s="225">
        <f>+VLOOKUP(Table28[[#This Row],[DESCRIPCIÓN ]],INSUMOS!A:D,3,FALSE)</f>
        <v>93431.59</v>
      </c>
      <c r="F602" s="225">
        <f>+Table28[[#This Row],[CANTIDAD]]*Table28[[#This Row],[VALOR UNITARIO]]</f>
        <v>0</v>
      </c>
    </row>
    <row r="603" spans="1:6" s="193" customFormat="1" ht="28.8" hidden="1" x14ac:dyDescent="0.3">
      <c r="A603" s="193">
        <v>814</v>
      </c>
      <c r="B603" s="193" t="s">
        <v>650</v>
      </c>
      <c r="C603" s="193" t="s">
        <v>55</v>
      </c>
      <c r="D603" s="226">
        <f>+ROUNDUP(SUMIFS('MEMORIA CANTIDADES'!E:E,'MEMORIA CANTIDADES'!B:B,Table28[[#This Row],[DESCRIPCIÓN ]],'MEMORIA CANTIDADES'!C:C,Table28[[#This Row],[UNIDAD]]),0)</f>
        <v>0</v>
      </c>
      <c r="E603" s="225">
        <f>+VLOOKUP(Table28[[#This Row],[DESCRIPCIÓN ]],INSUMOS!A:D,3,FALSE)</f>
        <v>110738.16</v>
      </c>
      <c r="F603" s="225">
        <f>+Table28[[#This Row],[CANTIDAD]]*Table28[[#This Row],[VALOR UNITARIO]]</f>
        <v>0</v>
      </c>
    </row>
    <row r="604" spans="1:6" s="193" customFormat="1" hidden="1" x14ac:dyDescent="0.3">
      <c r="A604" s="193">
        <v>546</v>
      </c>
      <c r="B604" s="193" t="s">
        <v>651</v>
      </c>
      <c r="C604" s="193" t="s">
        <v>55</v>
      </c>
      <c r="D604" s="226">
        <f>+ROUNDUP(SUMIFS('MEMORIA CANTIDADES'!E:E,'MEMORIA CANTIDADES'!B:B,Table28[[#This Row],[DESCRIPCIÓN ]],'MEMORIA CANTIDADES'!C:C,Table28[[#This Row],[UNIDAD]]),0)</f>
        <v>0</v>
      </c>
      <c r="E604" s="225">
        <f>+VLOOKUP(Table28[[#This Row],[DESCRIPCIÓN ]],INSUMOS!A:D,3,FALSE)</f>
        <v>470181.98</v>
      </c>
      <c r="F604" s="225">
        <f>+Table28[[#This Row],[CANTIDAD]]*Table28[[#This Row],[VALOR UNITARIO]]</f>
        <v>0</v>
      </c>
    </row>
    <row r="605" spans="1:6" s="193" customFormat="1" hidden="1" x14ac:dyDescent="0.3">
      <c r="A605" s="193">
        <v>547</v>
      </c>
      <c r="B605" s="193" t="s">
        <v>652</v>
      </c>
      <c r="C605" s="193" t="s">
        <v>55</v>
      </c>
      <c r="D605" s="226">
        <f>+ROUNDUP(SUMIFS('MEMORIA CANTIDADES'!E:E,'MEMORIA CANTIDADES'!B:B,Table28[[#This Row],[DESCRIPCIÓN ]],'MEMORIA CANTIDADES'!C:C,Table28[[#This Row],[UNIDAD]]),0)</f>
        <v>0</v>
      </c>
      <c r="E605" s="225">
        <f>+VLOOKUP(Table28[[#This Row],[DESCRIPCIÓN ]],INSUMOS!A:D,3,FALSE)</f>
        <v>588092.12</v>
      </c>
      <c r="F605" s="225">
        <f>+Table28[[#This Row],[CANTIDAD]]*Table28[[#This Row],[VALOR UNITARIO]]</f>
        <v>0</v>
      </c>
    </row>
    <row r="606" spans="1:6" s="193" customFormat="1" ht="28.8" hidden="1" x14ac:dyDescent="0.3">
      <c r="A606" s="193">
        <v>1218</v>
      </c>
      <c r="B606" s="193" t="s">
        <v>653</v>
      </c>
      <c r="C606" s="193" t="s">
        <v>1272</v>
      </c>
      <c r="D606" s="226">
        <f>+ROUNDUP(SUMIFS('MEMORIA CANTIDADES'!E:E,'MEMORIA CANTIDADES'!B:B,Table28[[#This Row],[DESCRIPCIÓN ]],'MEMORIA CANTIDADES'!C:C,Table28[[#This Row],[UNIDAD]]),0)</f>
        <v>0</v>
      </c>
      <c r="E606" s="225">
        <f>+VLOOKUP(Table28[[#This Row],[DESCRIPCIÓN ]],INSUMOS!A:D,3,FALSE)</f>
        <v>359417.39</v>
      </c>
      <c r="F606" s="225">
        <f>+Table28[[#This Row],[CANTIDAD]]*Table28[[#This Row],[VALOR UNITARIO]]</f>
        <v>0</v>
      </c>
    </row>
    <row r="607" spans="1:6" s="193" customFormat="1" hidden="1" x14ac:dyDescent="0.3">
      <c r="A607" s="193">
        <v>389</v>
      </c>
      <c r="B607" s="193" t="s">
        <v>654</v>
      </c>
      <c r="C607" s="193" t="s">
        <v>55</v>
      </c>
      <c r="D607" s="226">
        <f>+ROUNDUP(SUMIFS('MEMORIA CANTIDADES'!E:E,'MEMORIA CANTIDADES'!B:B,Table28[[#This Row],[DESCRIPCIÓN ]],'MEMORIA CANTIDADES'!C:C,Table28[[#This Row],[UNIDAD]]),0)</f>
        <v>0</v>
      </c>
      <c r="E607" s="225" t="e">
        <f>+VLOOKUP(Table28[[#This Row],[DESCRIPCIÓN ]],INSUMOS!A:D,3,FALSE)</f>
        <v>#N/A</v>
      </c>
      <c r="F607" s="225" t="e">
        <f>+Table28[[#This Row],[CANTIDAD]]*Table28[[#This Row],[VALOR UNITARIO]]</f>
        <v>#N/A</v>
      </c>
    </row>
    <row r="608" spans="1:6" s="193" customFormat="1" hidden="1" x14ac:dyDescent="0.3">
      <c r="A608" s="193">
        <v>390</v>
      </c>
      <c r="B608" s="193" t="s">
        <v>655</v>
      </c>
      <c r="C608" s="193" t="s">
        <v>55</v>
      </c>
      <c r="D608" s="226">
        <f>+ROUNDUP(SUMIFS('MEMORIA CANTIDADES'!E:E,'MEMORIA CANTIDADES'!B:B,Table28[[#This Row],[DESCRIPCIÓN ]],'MEMORIA CANTIDADES'!C:C,Table28[[#This Row],[UNIDAD]]),0)</f>
        <v>0</v>
      </c>
      <c r="E608" s="225">
        <f>+VLOOKUP(Table28[[#This Row],[DESCRIPCIÓN ]],INSUMOS!A:D,3,FALSE)</f>
        <v>47885.19</v>
      </c>
      <c r="F608" s="225">
        <f>+Table28[[#This Row],[CANTIDAD]]*Table28[[#This Row],[VALOR UNITARIO]]</f>
        <v>0</v>
      </c>
    </row>
    <row r="609" spans="1:6" s="193" customFormat="1" hidden="1" x14ac:dyDescent="0.3">
      <c r="A609" s="193">
        <v>391</v>
      </c>
      <c r="B609" s="193" t="s">
        <v>656</v>
      </c>
      <c r="C609" s="193" t="s">
        <v>55</v>
      </c>
      <c r="D609" s="226">
        <f>+ROUNDUP(SUMIFS('MEMORIA CANTIDADES'!E:E,'MEMORIA CANTIDADES'!B:B,Table28[[#This Row],[DESCRIPCIÓN ]],'MEMORIA CANTIDADES'!C:C,Table28[[#This Row],[UNIDAD]]),0)</f>
        <v>0</v>
      </c>
      <c r="E609" s="225">
        <f>+VLOOKUP(Table28[[#This Row],[DESCRIPCIÓN ]],INSUMOS!A:D,3,FALSE)</f>
        <v>136625.70000000001</v>
      </c>
      <c r="F609" s="225">
        <f>+Table28[[#This Row],[CANTIDAD]]*Table28[[#This Row],[VALOR UNITARIO]]</f>
        <v>0</v>
      </c>
    </row>
    <row r="610" spans="1:6" s="193" customFormat="1" hidden="1" x14ac:dyDescent="0.3">
      <c r="A610" s="193">
        <v>548</v>
      </c>
      <c r="B610" s="193" t="s">
        <v>657</v>
      </c>
      <c r="C610" s="193" t="s">
        <v>55</v>
      </c>
      <c r="D610" s="226">
        <f>+ROUNDUP(SUMIFS('MEMORIA CANTIDADES'!E:E,'MEMORIA CANTIDADES'!B:B,Table28[[#This Row],[DESCRIPCIÓN ]],'MEMORIA CANTIDADES'!C:C,Table28[[#This Row],[UNIDAD]]),0)</f>
        <v>0</v>
      </c>
      <c r="E610" s="225">
        <f>+VLOOKUP(Table28[[#This Row],[DESCRIPCIÓN ]],INSUMOS!A:D,3,FALSE)</f>
        <v>260473.24</v>
      </c>
      <c r="F610" s="225">
        <f>+Table28[[#This Row],[CANTIDAD]]*Table28[[#This Row],[VALOR UNITARIO]]</f>
        <v>0</v>
      </c>
    </row>
    <row r="611" spans="1:6" s="193" customFormat="1" hidden="1" x14ac:dyDescent="0.3">
      <c r="A611" s="193">
        <v>549</v>
      </c>
      <c r="B611" s="193" t="s">
        <v>658</v>
      </c>
      <c r="C611" s="193" t="s">
        <v>55</v>
      </c>
      <c r="D611" s="226">
        <f>+ROUNDUP(SUMIFS('MEMORIA CANTIDADES'!E:E,'MEMORIA CANTIDADES'!B:B,Table28[[#This Row],[DESCRIPCIÓN ]],'MEMORIA CANTIDADES'!C:C,Table28[[#This Row],[UNIDAD]]),0)</f>
        <v>0</v>
      </c>
      <c r="E611" s="225">
        <f>+VLOOKUP(Table28[[#This Row],[DESCRIPCIÓN ]],INSUMOS!A:D,3,FALSE)</f>
        <v>243267.93</v>
      </c>
      <c r="F611" s="225">
        <f>+Table28[[#This Row],[CANTIDAD]]*Table28[[#This Row],[VALOR UNITARIO]]</f>
        <v>0</v>
      </c>
    </row>
    <row r="612" spans="1:6" s="193" customFormat="1" hidden="1" x14ac:dyDescent="0.3">
      <c r="A612" s="193">
        <v>550</v>
      </c>
      <c r="B612" s="193" t="s">
        <v>659</v>
      </c>
      <c r="C612" s="193" t="s">
        <v>55</v>
      </c>
      <c r="D612" s="226">
        <f>+ROUNDUP(SUMIFS('MEMORIA CANTIDADES'!E:E,'MEMORIA CANTIDADES'!B:B,Table28[[#This Row],[DESCRIPCIÓN ]],'MEMORIA CANTIDADES'!C:C,Table28[[#This Row],[UNIDAD]]),0)</f>
        <v>0</v>
      </c>
      <c r="E612" s="225">
        <f>+VLOOKUP(Table28[[#This Row],[DESCRIPCIÓN ]],INSUMOS!A:D,3,FALSE)</f>
        <v>189495.65</v>
      </c>
      <c r="F612" s="225">
        <f>+Table28[[#This Row],[CANTIDAD]]*Table28[[#This Row],[VALOR UNITARIO]]</f>
        <v>0</v>
      </c>
    </row>
    <row r="613" spans="1:6" s="193" customFormat="1" hidden="1" x14ac:dyDescent="0.3">
      <c r="A613" s="193">
        <v>551</v>
      </c>
      <c r="B613" s="193" t="s">
        <v>660</v>
      </c>
      <c r="C613" s="193" t="s">
        <v>55</v>
      </c>
      <c r="D613" s="226">
        <f>+ROUNDUP(SUMIFS('MEMORIA CANTIDADES'!E:E,'MEMORIA CANTIDADES'!B:B,Table28[[#This Row],[DESCRIPCIÓN ]],'MEMORIA CANTIDADES'!C:C,Table28[[#This Row],[UNIDAD]]),0)</f>
        <v>0</v>
      </c>
      <c r="E613" s="225">
        <f>+VLOOKUP(Table28[[#This Row],[DESCRIPCIÓN ]],INSUMOS!A:D,3,FALSE)</f>
        <v>128726.26</v>
      </c>
      <c r="F613" s="225">
        <f>+Table28[[#This Row],[CANTIDAD]]*Table28[[#This Row],[VALOR UNITARIO]]</f>
        <v>0</v>
      </c>
    </row>
    <row r="614" spans="1:6" s="193" customFormat="1" hidden="1" x14ac:dyDescent="0.3">
      <c r="A614" s="193">
        <v>552</v>
      </c>
      <c r="B614" s="193" t="s">
        <v>661</v>
      </c>
      <c r="C614" s="193" t="s">
        <v>55</v>
      </c>
      <c r="D614" s="226">
        <f>+ROUNDUP(SUMIFS('MEMORIA CANTIDADES'!E:E,'MEMORIA CANTIDADES'!B:B,Table28[[#This Row],[DESCRIPCIÓN ]],'MEMORIA CANTIDADES'!C:C,Table28[[#This Row],[UNIDAD]]),0)</f>
        <v>0</v>
      </c>
      <c r="E614" s="225" t="e">
        <f>+VLOOKUP(Table28[[#This Row],[DESCRIPCIÓN ]],INSUMOS!A:D,3,FALSE)</f>
        <v>#N/A</v>
      </c>
      <c r="F614" s="225" t="e">
        <f>+Table28[[#This Row],[CANTIDAD]]*Table28[[#This Row],[VALOR UNITARIO]]</f>
        <v>#N/A</v>
      </c>
    </row>
    <row r="615" spans="1:6" s="193" customFormat="1" hidden="1" x14ac:dyDescent="0.3">
      <c r="A615" s="193">
        <v>553</v>
      </c>
      <c r="B615" s="193" t="s">
        <v>662</v>
      </c>
      <c r="C615" s="193" t="s">
        <v>55</v>
      </c>
      <c r="D615" s="226">
        <f>+ROUNDUP(SUMIFS('MEMORIA CANTIDADES'!E:E,'MEMORIA CANTIDADES'!B:B,Table28[[#This Row],[DESCRIPCIÓN ]],'MEMORIA CANTIDADES'!C:C,Table28[[#This Row],[UNIDAD]]),0)</f>
        <v>0</v>
      </c>
      <c r="E615" s="225">
        <f>+VLOOKUP(Table28[[#This Row],[DESCRIPCIÓN ]],INSUMOS!A:D,3,FALSE)</f>
        <v>166010.29</v>
      </c>
      <c r="F615" s="225">
        <f>+Table28[[#This Row],[CANTIDAD]]*Table28[[#This Row],[VALOR UNITARIO]]</f>
        <v>0</v>
      </c>
    </row>
    <row r="616" spans="1:6" s="193" customFormat="1" hidden="1" x14ac:dyDescent="0.3">
      <c r="A616" s="193">
        <v>554</v>
      </c>
      <c r="B616" s="193" t="s">
        <v>663</v>
      </c>
      <c r="C616" s="193" t="s">
        <v>55</v>
      </c>
      <c r="D616" s="226">
        <f>+ROUNDUP(SUMIFS('MEMORIA CANTIDADES'!E:E,'MEMORIA CANTIDADES'!B:B,Table28[[#This Row],[DESCRIPCIÓN ]],'MEMORIA CANTIDADES'!C:C,Table28[[#This Row],[UNIDAD]]),0)</f>
        <v>0</v>
      </c>
      <c r="E616" s="225">
        <f>+VLOOKUP(Table28[[#This Row],[DESCRIPCIÓN ]],INSUMOS!A:D,3,FALSE)</f>
        <v>137323.46</v>
      </c>
      <c r="F616" s="225">
        <f>+Table28[[#This Row],[CANTIDAD]]*Table28[[#This Row],[VALOR UNITARIO]]</f>
        <v>0</v>
      </c>
    </row>
    <row r="617" spans="1:6" s="193" customFormat="1" hidden="1" x14ac:dyDescent="0.3">
      <c r="A617" s="193">
        <v>555</v>
      </c>
      <c r="B617" s="193" t="s">
        <v>664</v>
      </c>
      <c r="C617" s="193" t="s">
        <v>55</v>
      </c>
      <c r="D617" s="226">
        <f>+ROUNDUP(SUMIFS('MEMORIA CANTIDADES'!E:E,'MEMORIA CANTIDADES'!B:B,Table28[[#This Row],[DESCRIPCIÓN ]],'MEMORIA CANTIDADES'!C:C,Table28[[#This Row],[UNIDAD]]),0)</f>
        <v>0</v>
      </c>
      <c r="E617" s="225">
        <f>+VLOOKUP(Table28[[#This Row],[DESCRIPCIÓN ]],INSUMOS!A:D,3,FALSE)</f>
        <v>114992.55</v>
      </c>
      <c r="F617" s="225">
        <f>+Table28[[#This Row],[CANTIDAD]]*Table28[[#This Row],[VALOR UNITARIO]]</f>
        <v>0</v>
      </c>
    </row>
    <row r="618" spans="1:6" s="193" customFormat="1" ht="28.8" hidden="1" x14ac:dyDescent="0.3">
      <c r="A618" s="193">
        <v>304</v>
      </c>
      <c r="B618" s="193" t="s">
        <v>665</v>
      </c>
      <c r="C618" s="193" t="s">
        <v>55</v>
      </c>
      <c r="D618" s="226">
        <f>+ROUNDUP(SUMIFS('MEMORIA CANTIDADES'!E:E,'MEMORIA CANTIDADES'!B:B,Table28[[#This Row],[DESCRIPCIÓN ]],'MEMORIA CANTIDADES'!C:C,Table28[[#This Row],[UNIDAD]]),0)</f>
        <v>0</v>
      </c>
      <c r="E618" s="225" t="e">
        <f>+VLOOKUP(Table28[[#This Row],[DESCRIPCIÓN ]],INSUMOS!A:D,3,FALSE)</f>
        <v>#N/A</v>
      </c>
      <c r="F618" s="225" t="e">
        <f>+Table28[[#This Row],[CANTIDAD]]*Table28[[#This Row],[VALOR UNITARIO]]</f>
        <v>#N/A</v>
      </c>
    </row>
    <row r="619" spans="1:6" s="193" customFormat="1" ht="28.8" hidden="1" x14ac:dyDescent="0.3">
      <c r="A619" s="193">
        <v>305</v>
      </c>
      <c r="B619" s="193" t="s">
        <v>2193</v>
      </c>
      <c r="C619" s="193" t="s">
        <v>55</v>
      </c>
      <c r="D619" s="226">
        <f>+ROUNDUP(SUMIFS('MEMORIA CANTIDADES'!E:E,'MEMORIA CANTIDADES'!B:B,Table28[[#This Row],[DESCRIPCIÓN ]],'MEMORIA CANTIDADES'!C:C,Table28[[#This Row],[UNIDAD]]),0)</f>
        <v>0</v>
      </c>
      <c r="E619" s="225" t="e">
        <f>+VLOOKUP(Table28[[#This Row],[DESCRIPCIÓN ]],INSUMOS!A:D,3,FALSE)</f>
        <v>#N/A</v>
      </c>
      <c r="F619" s="225" t="e">
        <f>+Table28[[#This Row],[CANTIDAD]]*Table28[[#This Row],[VALOR UNITARIO]]</f>
        <v>#N/A</v>
      </c>
    </row>
    <row r="620" spans="1:6" s="193" customFormat="1" ht="28.8" hidden="1" x14ac:dyDescent="0.3">
      <c r="A620" s="193">
        <v>807</v>
      </c>
      <c r="B620" s="193" t="s">
        <v>666</v>
      </c>
      <c r="C620" s="193" t="s">
        <v>55</v>
      </c>
      <c r="D620" s="226">
        <f>+ROUNDUP(SUMIFS('MEMORIA CANTIDADES'!E:E,'MEMORIA CANTIDADES'!B:B,Table28[[#This Row],[DESCRIPCIÓN ]],'MEMORIA CANTIDADES'!C:C,Table28[[#This Row],[UNIDAD]]),0)</f>
        <v>0</v>
      </c>
      <c r="E620" s="225">
        <f>+VLOOKUP(Table28[[#This Row],[DESCRIPCIÓN ]],INSUMOS!A:D,3,FALSE)</f>
        <v>417337.14</v>
      </c>
      <c r="F620" s="225">
        <f>+Table28[[#This Row],[CANTIDAD]]*Table28[[#This Row],[VALOR UNITARIO]]</f>
        <v>0</v>
      </c>
    </row>
    <row r="621" spans="1:6" s="193" customFormat="1" hidden="1" x14ac:dyDescent="0.3">
      <c r="A621" s="193">
        <v>808</v>
      </c>
      <c r="B621" s="193" t="s">
        <v>667</v>
      </c>
      <c r="C621" s="193" t="s">
        <v>55</v>
      </c>
      <c r="D621" s="226">
        <f>+ROUNDUP(SUMIFS('MEMORIA CANTIDADES'!E:E,'MEMORIA CANTIDADES'!B:B,Table28[[#This Row],[DESCRIPCIÓN ]],'MEMORIA CANTIDADES'!C:C,Table28[[#This Row],[UNIDAD]]),0)</f>
        <v>0</v>
      </c>
      <c r="E621" s="225">
        <f>+VLOOKUP(Table28[[#This Row],[DESCRIPCIÓN ]],INSUMOS!A:D,3,FALSE)</f>
        <v>211103.27</v>
      </c>
      <c r="F621" s="225">
        <f>+Table28[[#This Row],[CANTIDAD]]*Table28[[#This Row],[VALOR UNITARIO]]</f>
        <v>0</v>
      </c>
    </row>
    <row r="622" spans="1:6" s="193" customFormat="1" ht="28.8" hidden="1" x14ac:dyDescent="0.3">
      <c r="A622" s="193">
        <v>809</v>
      </c>
      <c r="B622" s="193" t="s">
        <v>668</v>
      </c>
      <c r="C622" s="193" t="s">
        <v>55</v>
      </c>
      <c r="D622" s="226">
        <f>+ROUNDUP(SUMIFS('MEMORIA CANTIDADES'!E:E,'MEMORIA CANTIDADES'!B:B,Table28[[#This Row],[DESCRIPCIÓN ]],'MEMORIA CANTIDADES'!C:C,Table28[[#This Row],[UNIDAD]]),0)</f>
        <v>0</v>
      </c>
      <c r="E622" s="225">
        <f>+VLOOKUP(Table28[[#This Row],[DESCRIPCIÓN ]],INSUMOS!A:D,3,FALSE)</f>
        <v>93023.1</v>
      </c>
      <c r="F622" s="225">
        <f>+Table28[[#This Row],[CANTIDAD]]*Table28[[#This Row],[VALOR UNITARIO]]</f>
        <v>0</v>
      </c>
    </row>
    <row r="623" spans="1:6" s="193" customFormat="1" ht="28.8" hidden="1" x14ac:dyDescent="0.3">
      <c r="A623" s="193">
        <v>811</v>
      </c>
      <c r="B623" s="193" t="s">
        <v>669</v>
      </c>
      <c r="C623" s="193" t="s">
        <v>55</v>
      </c>
      <c r="D623" s="226">
        <f>+ROUNDUP(SUMIFS('MEMORIA CANTIDADES'!E:E,'MEMORIA CANTIDADES'!B:B,Table28[[#This Row],[DESCRIPCIÓN ]],'MEMORIA CANTIDADES'!C:C,Table28[[#This Row],[UNIDAD]]),0)</f>
        <v>0</v>
      </c>
      <c r="E623" s="225">
        <f>+VLOOKUP(Table28[[#This Row],[DESCRIPCIÓN ]],INSUMOS!A:D,3,FALSE)</f>
        <v>697902.49</v>
      </c>
      <c r="F623" s="225">
        <f>+Table28[[#This Row],[CANTIDAD]]*Table28[[#This Row],[VALOR UNITARIO]]</f>
        <v>0</v>
      </c>
    </row>
    <row r="624" spans="1:6" s="193" customFormat="1" ht="28.8" hidden="1" x14ac:dyDescent="0.3">
      <c r="A624" s="193">
        <v>812</v>
      </c>
      <c r="B624" s="193" t="s">
        <v>670</v>
      </c>
      <c r="C624" s="193" t="s">
        <v>55</v>
      </c>
      <c r="D624" s="226">
        <f>+ROUNDUP(SUMIFS('MEMORIA CANTIDADES'!E:E,'MEMORIA CANTIDADES'!B:B,Table28[[#This Row],[DESCRIPCIÓN ]],'MEMORIA CANTIDADES'!C:C,Table28[[#This Row],[UNIDAD]]),0)</f>
        <v>0</v>
      </c>
      <c r="E624" s="225">
        <f>+VLOOKUP(Table28[[#This Row],[DESCRIPCIÓN ]],INSUMOS!A:D,3,FALSE)</f>
        <v>272785.43</v>
      </c>
      <c r="F624" s="225">
        <f>+Table28[[#This Row],[CANTIDAD]]*Table28[[#This Row],[VALOR UNITARIO]]</f>
        <v>0</v>
      </c>
    </row>
    <row r="625" spans="1:6" s="193" customFormat="1" ht="28.8" hidden="1" x14ac:dyDescent="0.3">
      <c r="A625" s="193">
        <v>810</v>
      </c>
      <c r="B625" s="193" t="s">
        <v>671</v>
      </c>
      <c r="C625" s="193" t="s">
        <v>55</v>
      </c>
      <c r="D625" s="226">
        <f>+ROUNDUP(SUMIFS('MEMORIA CANTIDADES'!E:E,'MEMORIA CANTIDADES'!B:B,Table28[[#This Row],[DESCRIPCIÓN ]],'MEMORIA CANTIDADES'!C:C,Table28[[#This Row],[UNIDAD]]),0)</f>
        <v>0</v>
      </c>
      <c r="E625" s="225">
        <f>+VLOOKUP(Table28[[#This Row],[DESCRIPCIÓN ]],INSUMOS!A:D,3,FALSE)</f>
        <v>175914.95</v>
      </c>
      <c r="F625" s="225">
        <f>+Table28[[#This Row],[CANTIDAD]]*Table28[[#This Row],[VALOR UNITARIO]]</f>
        <v>0</v>
      </c>
    </row>
    <row r="626" spans="1:6" s="193" customFormat="1" hidden="1" x14ac:dyDescent="0.3">
      <c r="A626" s="193">
        <v>813</v>
      </c>
      <c r="B626" s="193" t="s">
        <v>672</v>
      </c>
      <c r="C626" s="193" t="s">
        <v>55</v>
      </c>
      <c r="D626" s="226">
        <f>+ROUNDUP(SUMIFS('MEMORIA CANTIDADES'!E:E,'MEMORIA CANTIDADES'!B:B,Table28[[#This Row],[DESCRIPCIÓN ]],'MEMORIA CANTIDADES'!C:C,Table28[[#This Row],[UNIDAD]]),0)</f>
        <v>0</v>
      </c>
      <c r="E626" s="225">
        <f>+VLOOKUP(Table28[[#This Row],[DESCRIPCIÓN ]],INSUMOS!A:D,3,FALSE)</f>
        <v>223595.21</v>
      </c>
      <c r="F626" s="225">
        <f>+Table28[[#This Row],[CANTIDAD]]*Table28[[#This Row],[VALOR UNITARIO]]</f>
        <v>0</v>
      </c>
    </row>
    <row r="627" spans="1:6" s="193" customFormat="1" hidden="1" x14ac:dyDescent="0.3">
      <c r="A627" s="193">
        <v>556</v>
      </c>
      <c r="B627" s="193" t="s">
        <v>673</v>
      </c>
      <c r="C627" s="193" t="s">
        <v>55</v>
      </c>
      <c r="D627" s="226">
        <f>+ROUNDUP(SUMIFS('MEMORIA CANTIDADES'!E:E,'MEMORIA CANTIDADES'!B:B,Table28[[#This Row],[DESCRIPCIÓN ]],'MEMORIA CANTIDADES'!C:C,Table28[[#This Row],[UNIDAD]]),0)</f>
        <v>0</v>
      </c>
      <c r="E627" s="225">
        <f>+VLOOKUP(Table28[[#This Row],[DESCRIPCIÓN ]],INSUMOS!A:D,3,FALSE)</f>
        <v>2760.55</v>
      </c>
      <c r="F627" s="225">
        <f>+Table28[[#This Row],[CANTIDAD]]*Table28[[#This Row],[VALOR UNITARIO]]</f>
        <v>0</v>
      </c>
    </row>
    <row r="628" spans="1:6" s="193" customFormat="1" hidden="1" x14ac:dyDescent="0.3">
      <c r="A628" s="193">
        <v>557</v>
      </c>
      <c r="B628" s="193" t="s">
        <v>674</v>
      </c>
      <c r="C628" s="193" t="s">
        <v>55</v>
      </c>
      <c r="D628" s="226">
        <f>+ROUNDUP(SUMIFS('MEMORIA CANTIDADES'!E:E,'MEMORIA CANTIDADES'!B:B,Table28[[#This Row],[DESCRIPCIÓN ]],'MEMORIA CANTIDADES'!C:C,Table28[[#This Row],[UNIDAD]]),0)</f>
        <v>0</v>
      </c>
      <c r="E628" s="225">
        <f>+VLOOKUP(Table28[[#This Row],[DESCRIPCIÓN ]],INSUMOS!A:D,3,FALSE)</f>
        <v>3662.42</v>
      </c>
      <c r="F628" s="225">
        <f>+Table28[[#This Row],[CANTIDAD]]*Table28[[#This Row],[VALOR UNITARIO]]</f>
        <v>0</v>
      </c>
    </row>
    <row r="629" spans="1:6" s="193" customFormat="1" hidden="1" x14ac:dyDescent="0.3">
      <c r="A629" s="193">
        <v>558</v>
      </c>
      <c r="B629" s="193" t="s">
        <v>675</v>
      </c>
      <c r="C629" s="193" t="s">
        <v>55</v>
      </c>
      <c r="D629" s="226">
        <f>+ROUNDUP(SUMIFS('MEMORIA CANTIDADES'!E:E,'MEMORIA CANTIDADES'!B:B,Table28[[#This Row],[DESCRIPCIÓN ]],'MEMORIA CANTIDADES'!C:C,Table28[[#This Row],[UNIDAD]]),0)</f>
        <v>0</v>
      </c>
      <c r="E629" s="225">
        <f>+VLOOKUP(Table28[[#This Row],[DESCRIPCIÓN ]],INSUMOS!A:D,3,FALSE)</f>
        <v>2757.79</v>
      </c>
      <c r="F629" s="225">
        <f>+Table28[[#This Row],[CANTIDAD]]*Table28[[#This Row],[VALOR UNITARIO]]</f>
        <v>0</v>
      </c>
    </row>
    <row r="630" spans="1:6" s="193" customFormat="1" hidden="1" x14ac:dyDescent="0.3">
      <c r="A630" s="193">
        <v>559</v>
      </c>
      <c r="B630" s="193" t="s">
        <v>676</v>
      </c>
      <c r="C630" s="193" t="s">
        <v>55</v>
      </c>
      <c r="D630" s="226">
        <f>+ROUNDUP(SUMIFS('MEMORIA CANTIDADES'!E:E,'MEMORIA CANTIDADES'!B:B,Table28[[#This Row],[DESCRIPCIÓN ]],'MEMORIA CANTIDADES'!C:C,Table28[[#This Row],[UNIDAD]]),0)</f>
        <v>0</v>
      </c>
      <c r="E630" s="225">
        <f>+VLOOKUP(Table28[[#This Row],[DESCRIPCIÓN ]],INSUMOS!A:D,3,FALSE)</f>
        <v>2895.29</v>
      </c>
      <c r="F630" s="225">
        <f>+Table28[[#This Row],[CANTIDAD]]*Table28[[#This Row],[VALOR UNITARIO]]</f>
        <v>0</v>
      </c>
    </row>
    <row r="631" spans="1:6" s="193" customFormat="1" hidden="1" x14ac:dyDescent="0.3">
      <c r="A631" s="193">
        <v>560</v>
      </c>
      <c r="B631" s="193" t="s">
        <v>677</v>
      </c>
      <c r="C631" s="193" t="s">
        <v>55</v>
      </c>
      <c r="D631" s="226">
        <f>+ROUNDUP(SUMIFS('MEMORIA CANTIDADES'!E:E,'MEMORIA CANTIDADES'!B:B,Table28[[#This Row],[DESCRIPCIÓN ]],'MEMORIA CANTIDADES'!C:C,Table28[[#This Row],[UNIDAD]]),0)</f>
        <v>0</v>
      </c>
      <c r="E631" s="225">
        <f>+VLOOKUP(Table28[[#This Row],[DESCRIPCIÓN ]],INSUMOS!A:D,3,FALSE)</f>
        <v>2507.59</v>
      </c>
      <c r="F631" s="225">
        <f>+Table28[[#This Row],[CANTIDAD]]*Table28[[#This Row],[VALOR UNITARIO]]</f>
        <v>0</v>
      </c>
    </row>
    <row r="632" spans="1:6" s="193" customFormat="1" hidden="1" x14ac:dyDescent="0.3">
      <c r="A632" s="193">
        <v>561</v>
      </c>
      <c r="B632" s="193" t="s">
        <v>678</v>
      </c>
      <c r="C632" s="193" t="s">
        <v>55</v>
      </c>
      <c r="D632" s="226">
        <f>+ROUNDUP(SUMIFS('MEMORIA CANTIDADES'!E:E,'MEMORIA CANTIDADES'!B:B,Table28[[#This Row],[DESCRIPCIÓN ]],'MEMORIA CANTIDADES'!C:C,Table28[[#This Row],[UNIDAD]]),0)</f>
        <v>0</v>
      </c>
      <c r="E632" s="225">
        <f>+VLOOKUP(Table28[[#This Row],[DESCRIPCIÓN ]],INSUMOS!A:D,3,FALSE)</f>
        <v>2531.6799999999998</v>
      </c>
      <c r="F632" s="225">
        <f>+Table28[[#This Row],[CANTIDAD]]*Table28[[#This Row],[VALOR UNITARIO]]</f>
        <v>0</v>
      </c>
    </row>
    <row r="633" spans="1:6" s="193" customFormat="1" hidden="1" x14ac:dyDescent="0.3">
      <c r="A633" s="193">
        <v>562</v>
      </c>
      <c r="B633" s="193" t="s">
        <v>679</v>
      </c>
      <c r="C633" s="193" t="s">
        <v>55</v>
      </c>
      <c r="D633" s="226">
        <f>+ROUNDUP(SUMIFS('MEMORIA CANTIDADES'!E:E,'MEMORIA CANTIDADES'!B:B,Table28[[#This Row],[DESCRIPCIÓN ]],'MEMORIA CANTIDADES'!C:C,Table28[[#This Row],[UNIDAD]]),0)</f>
        <v>0</v>
      </c>
      <c r="E633" s="225">
        <f>+VLOOKUP(Table28[[#This Row],[DESCRIPCIÓN ]],INSUMOS!A:D,3,FALSE)</f>
        <v>2514.8200000000002</v>
      </c>
      <c r="F633" s="225">
        <f>+Table28[[#This Row],[CANTIDAD]]*Table28[[#This Row],[VALOR UNITARIO]]</f>
        <v>0</v>
      </c>
    </row>
    <row r="634" spans="1:6" s="193" customFormat="1" hidden="1" x14ac:dyDescent="0.3">
      <c r="A634" s="193">
        <v>563</v>
      </c>
      <c r="B634" s="193" t="s">
        <v>680</v>
      </c>
      <c r="C634" s="193" t="s">
        <v>55</v>
      </c>
      <c r="D634" s="226">
        <f>+ROUNDUP(SUMIFS('MEMORIA CANTIDADES'!E:E,'MEMORIA CANTIDADES'!B:B,Table28[[#This Row],[DESCRIPCIÓN ]],'MEMORIA CANTIDADES'!C:C,Table28[[#This Row],[UNIDAD]]),0)</f>
        <v>0</v>
      </c>
      <c r="E634" s="225">
        <f>+VLOOKUP(Table28[[#This Row],[DESCRIPCIÓN ]],INSUMOS!A:D,3,FALSE)</f>
        <v>2691.48</v>
      </c>
      <c r="F634" s="225">
        <f>+Table28[[#This Row],[CANTIDAD]]*Table28[[#This Row],[VALOR UNITARIO]]</f>
        <v>0</v>
      </c>
    </row>
    <row r="635" spans="1:6" s="193" customFormat="1" hidden="1" x14ac:dyDescent="0.3">
      <c r="A635" s="193">
        <v>564</v>
      </c>
      <c r="B635" s="193" t="s">
        <v>681</v>
      </c>
      <c r="C635" s="193" t="s">
        <v>55</v>
      </c>
      <c r="D635" s="226">
        <f>+ROUNDUP(SUMIFS('MEMORIA CANTIDADES'!E:E,'MEMORIA CANTIDADES'!B:B,Table28[[#This Row],[DESCRIPCIÓN ]],'MEMORIA CANTIDADES'!C:C,Table28[[#This Row],[UNIDAD]]),0)</f>
        <v>0</v>
      </c>
      <c r="E635" s="225">
        <f>+VLOOKUP(Table28[[#This Row],[DESCRIPCIÓN ]],INSUMOS!A:D,3,FALSE)</f>
        <v>3803.5</v>
      </c>
      <c r="F635" s="225">
        <f>+Table28[[#This Row],[CANTIDAD]]*Table28[[#This Row],[VALOR UNITARIO]]</f>
        <v>0</v>
      </c>
    </row>
    <row r="636" spans="1:6" s="193" customFormat="1" hidden="1" x14ac:dyDescent="0.3">
      <c r="A636" s="193">
        <v>565</v>
      </c>
      <c r="B636" s="193" t="s">
        <v>682</v>
      </c>
      <c r="C636" s="193" t="s">
        <v>55</v>
      </c>
      <c r="D636" s="226">
        <f>+ROUNDUP(SUMIFS('MEMORIA CANTIDADES'!E:E,'MEMORIA CANTIDADES'!B:B,Table28[[#This Row],[DESCRIPCIÓN ]],'MEMORIA CANTIDADES'!C:C,Table28[[#This Row],[UNIDAD]]),0)</f>
        <v>0</v>
      </c>
      <c r="E636" s="225">
        <f>+VLOOKUP(Table28[[#This Row],[DESCRIPCIÓN ]],INSUMOS!A:D,3,FALSE)</f>
        <v>3777.1</v>
      </c>
      <c r="F636" s="225">
        <f>+Table28[[#This Row],[CANTIDAD]]*Table28[[#This Row],[VALOR UNITARIO]]</f>
        <v>0</v>
      </c>
    </row>
    <row r="637" spans="1:6" s="193" customFormat="1" hidden="1" x14ac:dyDescent="0.3">
      <c r="A637" s="193">
        <v>566</v>
      </c>
      <c r="B637" s="193" t="s">
        <v>683</v>
      </c>
      <c r="C637" s="193" t="s">
        <v>55</v>
      </c>
      <c r="D637" s="226">
        <f>+ROUNDUP(SUMIFS('MEMORIA CANTIDADES'!E:E,'MEMORIA CANTIDADES'!B:B,Table28[[#This Row],[DESCRIPCIÓN ]],'MEMORIA CANTIDADES'!C:C,Table28[[#This Row],[UNIDAD]]),0)</f>
        <v>0</v>
      </c>
      <c r="E637" s="225">
        <f>+VLOOKUP(Table28[[#This Row],[DESCRIPCIÓN ]],INSUMOS!A:D,3,FALSE)</f>
        <v>3777.1</v>
      </c>
      <c r="F637" s="225">
        <f>+Table28[[#This Row],[CANTIDAD]]*Table28[[#This Row],[VALOR UNITARIO]]</f>
        <v>0</v>
      </c>
    </row>
    <row r="638" spans="1:6" s="193" customFormat="1" hidden="1" x14ac:dyDescent="0.3">
      <c r="A638" s="193">
        <v>567</v>
      </c>
      <c r="B638" s="193" t="s">
        <v>684</v>
      </c>
      <c r="C638" s="193" t="s">
        <v>55</v>
      </c>
      <c r="D638" s="226">
        <f>+ROUNDUP(SUMIFS('MEMORIA CANTIDADES'!E:E,'MEMORIA CANTIDADES'!B:B,Table28[[#This Row],[DESCRIPCIÓN ]],'MEMORIA CANTIDADES'!C:C,Table28[[#This Row],[UNIDAD]]),0)</f>
        <v>0</v>
      </c>
      <c r="E638" s="225">
        <f>+VLOOKUP(Table28[[#This Row],[DESCRIPCIÓN ]],INSUMOS!A:D,3,FALSE)</f>
        <v>3783.78</v>
      </c>
      <c r="F638" s="225">
        <f>+Table28[[#This Row],[CANTIDAD]]*Table28[[#This Row],[VALOR UNITARIO]]</f>
        <v>0</v>
      </c>
    </row>
    <row r="639" spans="1:6" s="193" customFormat="1" hidden="1" x14ac:dyDescent="0.3">
      <c r="A639" s="193">
        <v>568</v>
      </c>
      <c r="B639" s="193" t="s">
        <v>685</v>
      </c>
      <c r="C639" s="193" t="s">
        <v>55</v>
      </c>
      <c r="D639" s="226">
        <f>+ROUNDUP(SUMIFS('MEMORIA CANTIDADES'!E:E,'MEMORIA CANTIDADES'!B:B,Table28[[#This Row],[DESCRIPCIÓN ]],'MEMORIA CANTIDADES'!C:C,Table28[[#This Row],[UNIDAD]]),0)</f>
        <v>0</v>
      </c>
      <c r="E639" s="225">
        <f>+VLOOKUP(Table28[[#This Row],[DESCRIPCIÓN ]],INSUMOS!A:D,3,FALSE)</f>
        <v>3783.78</v>
      </c>
      <c r="F639" s="225">
        <f>+Table28[[#This Row],[CANTIDAD]]*Table28[[#This Row],[VALOR UNITARIO]]</f>
        <v>0</v>
      </c>
    </row>
    <row r="640" spans="1:6" s="193" customFormat="1" hidden="1" x14ac:dyDescent="0.3">
      <c r="A640" s="193">
        <v>569</v>
      </c>
      <c r="B640" s="193" t="s">
        <v>686</v>
      </c>
      <c r="C640" s="193" t="s">
        <v>55</v>
      </c>
      <c r="D640" s="226">
        <f>+ROUNDUP(SUMIFS('MEMORIA CANTIDADES'!E:E,'MEMORIA CANTIDADES'!B:B,Table28[[#This Row],[DESCRIPCIÓN ]],'MEMORIA CANTIDADES'!C:C,Table28[[#This Row],[UNIDAD]]),0)</f>
        <v>0</v>
      </c>
      <c r="E640" s="225">
        <f>+VLOOKUP(Table28[[#This Row],[DESCRIPCIÓN ]],INSUMOS!A:D,3,FALSE)</f>
        <v>3798.49</v>
      </c>
      <c r="F640" s="225">
        <f>+Table28[[#This Row],[CANTIDAD]]*Table28[[#This Row],[VALOR UNITARIO]]</f>
        <v>0</v>
      </c>
    </row>
    <row r="641" spans="1:6" s="193" customFormat="1" hidden="1" x14ac:dyDescent="0.3">
      <c r="A641" s="193">
        <v>1244</v>
      </c>
      <c r="B641" s="193" t="s">
        <v>2237</v>
      </c>
      <c r="C641" s="193" t="s">
        <v>55</v>
      </c>
      <c r="D641" s="226">
        <f>+ROUNDUP(SUMIFS('MEMORIA CANTIDADES'!E:E,'MEMORIA CANTIDADES'!B:B,Table28[[#This Row],[DESCRIPCIÓN ]],'MEMORIA CANTIDADES'!C:C,Table28[[#This Row],[UNIDAD]]),0)</f>
        <v>0</v>
      </c>
      <c r="E641" s="225" t="e">
        <f>+VLOOKUP(Table28[[#This Row],[DESCRIPCIÓN ]],INSUMOS!A:D,3,FALSE)</f>
        <v>#N/A</v>
      </c>
      <c r="F641" s="225" t="e">
        <f>+Table28[[#This Row],[CANTIDAD]]*Table28[[#This Row],[VALOR UNITARIO]]</f>
        <v>#N/A</v>
      </c>
    </row>
    <row r="642" spans="1:6" s="193" customFormat="1" ht="28.8" hidden="1" x14ac:dyDescent="0.3">
      <c r="A642" s="193">
        <v>1245</v>
      </c>
      <c r="B642" s="193" t="s">
        <v>687</v>
      </c>
      <c r="C642" s="193" t="s">
        <v>55</v>
      </c>
      <c r="D642" s="226">
        <f>+ROUNDUP(SUMIFS('MEMORIA CANTIDADES'!E:E,'MEMORIA CANTIDADES'!B:B,Table28[[#This Row],[DESCRIPCIÓN ]],'MEMORIA CANTIDADES'!C:C,Table28[[#This Row],[UNIDAD]]),0)</f>
        <v>0</v>
      </c>
      <c r="E642" s="225">
        <f>+VLOOKUP(Table28[[#This Row],[DESCRIPCIÓN ]],INSUMOS!A:D,3,FALSE)</f>
        <v>60792.59</v>
      </c>
      <c r="F642" s="225">
        <f>+Table28[[#This Row],[CANTIDAD]]*Table28[[#This Row],[VALOR UNITARIO]]</f>
        <v>0</v>
      </c>
    </row>
    <row r="643" spans="1:6" s="193" customFormat="1" hidden="1" x14ac:dyDescent="0.3">
      <c r="A643" s="193">
        <v>570</v>
      </c>
      <c r="B643" s="193" t="s">
        <v>688</v>
      </c>
      <c r="C643" s="193" t="s">
        <v>55</v>
      </c>
      <c r="D643" s="226">
        <f>+ROUNDUP(SUMIFS('MEMORIA CANTIDADES'!E:E,'MEMORIA CANTIDADES'!B:B,Table28[[#This Row],[DESCRIPCIÓN ]],'MEMORIA CANTIDADES'!C:C,Table28[[#This Row],[UNIDAD]]),0)</f>
        <v>0</v>
      </c>
      <c r="E643" s="225">
        <f>+VLOOKUP(Table28[[#This Row],[DESCRIPCIÓN ]],INSUMOS!A:D,3,FALSE)</f>
        <v>72255.87</v>
      </c>
      <c r="F643" s="225">
        <f>+Table28[[#This Row],[CANTIDAD]]*Table28[[#This Row],[VALOR UNITARIO]]</f>
        <v>0</v>
      </c>
    </row>
    <row r="644" spans="1:6" s="193" customFormat="1" hidden="1" x14ac:dyDescent="0.3">
      <c r="A644" s="193">
        <v>571</v>
      </c>
      <c r="B644" s="193" t="s">
        <v>689</v>
      </c>
      <c r="C644" s="193" t="s">
        <v>55</v>
      </c>
      <c r="D644" s="226">
        <f>+ROUNDUP(SUMIFS('MEMORIA CANTIDADES'!E:E,'MEMORIA CANTIDADES'!B:B,Table28[[#This Row],[DESCRIPCIÓN ]],'MEMORIA CANTIDADES'!C:C,Table28[[#This Row],[UNIDAD]]),0)</f>
        <v>0</v>
      </c>
      <c r="E644" s="225">
        <f>+VLOOKUP(Table28[[#This Row],[DESCRIPCIÓN ]],INSUMOS!A:D,3,FALSE)</f>
        <v>40212.69</v>
      </c>
      <c r="F644" s="225">
        <f>+Table28[[#This Row],[CANTIDAD]]*Table28[[#This Row],[VALOR UNITARIO]]</f>
        <v>0</v>
      </c>
    </row>
    <row r="645" spans="1:6" s="193" customFormat="1" ht="28.8" hidden="1" x14ac:dyDescent="0.3">
      <c r="A645" s="193">
        <v>392</v>
      </c>
      <c r="B645" s="193" t="s">
        <v>690</v>
      </c>
      <c r="C645" s="193" t="s">
        <v>1270</v>
      </c>
      <c r="D645" s="226">
        <f>+ROUNDUP(SUMIFS('MEMORIA CANTIDADES'!E:E,'MEMORIA CANTIDADES'!B:B,Table28[[#This Row],[DESCRIPCIÓN ]],'MEMORIA CANTIDADES'!C:C,Table28[[#This Row],[UNIDAD]]),0)</f>
        <v>0</v>
      </c>
      <c r="E645" s="225">
        <f>+VLOOKUP(Table28[[#This Row],[DESCRIPCIÓN ]],INSUMOS!A:D,3,FALSE)</f>
        <v>4610.26</v>
      </c>
      <c r="F645" s="225">
        <f>+Table28[[#This Row],[CANTIDAD]]*Table28[[#This Row],[VALOR UNITARIO]]</f>
        <v>0</v>
      </c>
    </row>
    <row r="646" spans="1:6" s="193" customFormat="1" hidden="1" x14ac:dyDescent="0.3">
      <c r="A646" s="193">
        <v>393</v>
      </c>
      <c r="B646" s="193" t="s">
        <v>691</v>
      </c>
      <c r="C646" s="193" t="s">
        <v>1270</v>
      </c>
      <c r="D646" s="226">
        <f>+ROUNDUP(SUMIFS('MEMORIA CANTIDADES'!E:E,'MEMORIA CANTIDADES'!B:B,Table28[[#This Row],[DESCRIPCIÓN ]],'MEMORIA CANTIDADES'!C:C,Table28[[#This Row],[UNIDAD]]),0)</f>
        <v>0</v>
      </c>
      <c r="E646" s="225">
        <f>+VLOOKUP(Table28[[#This Row],[DESCRIPCIÓN ]],INSUMOS!A:D,3,FALSE)</f>
        <v>5352.73</v>
      </c>
      <c r="F646" s="225">
        <f>+Table28[[#This Row],[CANTIDAD]]*Table28[[#This Row],[VALOR UNITARIO]]</f>
        <v>0</v>
      </c>
    </row>
    <row r="647" spans="1:6" s="193" customFormat="1" ht="28.8" hidden="1" x14ac:dyDescent="0.3">
      <c r="A647" s="193">
        <v>394</v>
      </c>
      <c r="B647" s="193" t="s">
        <v>692</v>
      </c>
      <c r="C647" s="193" t="s">
        <v>1270</v>
      </c>
      <c r="D647" s="226">
        <f>+ROUNDUP(SUMIFS('MEMORIA CANTIDADES'!E:E,'MEMORIA CANTIDADES'!B:B,Table28[[#This Row],[DESCRIPCIÓN ]],'MEMORIA CANTIDADES'!C:C,Table28[[#This Row],[UNIDAD]]),0)</f>
        <v>0</v>
      </c>
      <c r="E647" s="225">
        <f>+VLOOKUP(Table28[[#This Row],[DESCRIPCIÓN ]],INSUMOS!A:D,3,FALSE)</f>
        <v>13282.98</v>
      </c>
      <c r="F647" s="225">
        <f>+Table28[[#This Row],[CANTIDAD]]*Table28[[#This Row],[VALOR UNITARIO]]</f>
        <v>0</v>
      </c>
    </row>
    <row r="648" spans="1:6" s="193" customFormat="1" hidden="1" x14ac:dyDescent="0.3">
      <c r="A648" s="193">
        <v>395</v>
      </c>
      <c r="B648" s="193" t="s">
        <v>693</v>
      </c>
      <c r="C648" s="193" t="s">
        <v>1270</v>
      </c>
      <c r="D648" s="226">
        <f>+ROUNDUP(SUMIFS('MEMORIA CANTIDADES'!E:E,'MEMORIA CANTIDADES'!B:B,Table28[[#This Row],[DESCRIPCIÓN ]],'MEMORIA CANTIDADES'!C:C,Table28[[#This Row],[UNIDAD]]),0)</f>
        <v>0</v>
      </c>
      <c r="E648" s="225">
        <f>+VLOOKUP(Table28[[#This Row],[DESCRIPCIÓN ]],INSUMOS!A:D,3,FALSE)</f>
        <v>9817.86</v>
      </c>
      <c r="F648" s="225">
        <f>+Table28[[#This Row],[CANTIDAD]]*Table28[[#This Row],[VALOR UNITARIO]]</f>
        <v>0</v>
      </c>
    </row>
    <row r="649" spans="1:6" s="193" customFormat="1" hidden="1" x14ac:dyDescent="0.3">
      <c r="A649" s="193">
        <v>396</v>
      </c>
      <c r="B649" s="193" t="s">
        <v>694</v>
      </c>
      <c r="C649" s="193" t="s">
        <v>1270</v>
      </c>
      <c r="D649" s="226">
        <f>+ROUNDUP(SUMIFS('MEMORIA CANTIDADES'!E:E,'MEMORIA CANTIDADES'!B:B,Table28[[#This Row],[DESCRIPCIÓN ]],'MEMORIA CANTIDADES'!C:C,Table28[[#This Row],[UNIDAD]]),0)</f>
        <v>0</v>
      </c>
      <c r="E649" s="225">
        <f>+VLOOKUP(Table28[[#This Row],[DESCRIPCIÓN ]],INSUMOS!A:D,3,FALSE)</f>
        <v>42698.29</v>
      </c>
      <c r="F649" s="225">
        <f>+Table28[[#This Row],[CANTIDAD]]*Table28[[#This Row],[VALOR UNITARIO]]</f>
        <v>0</v>
      </c>
    </row>
    <row r="650" spans="1:6" s="193" customFormat="1" ht="28.8" hidden="1" x14ac:dyDescent="0.3">
      <c r="A650" s="193">
        <v>397</v>
      </c>
      <c r="B650" s="193" t="s">
        <v>695</v>
      </c>
      <c r="C650" s="193" t="s">
        <v>1270</v>
      </c>
      <c r="D650" s="226">
        <f>+ROUNDUP(SUMIFS('MEMORIA CANTIDADES'!E:E,'MEMORIA CANTIDADES'!B:B,Table28[[#This Row],[DESCRIPCIÓN ]],'MEMORIA CANTIDADES'!C:C,Table28[[#This Row],[UNIDAD]]),0)</f>
        <v>0</v>
      </c>
      <c r="E650" s="225">
        <f>+VLOOKUP(Table28[[#This Row],[DESCRIPCIÓN ]],INSUMOS!A:D,3,FALSE)</f>
        <v>28376.06</v>
      </c>
      <c r="F650" s="225">
        <f>+Table28[[#This Row],[CANTIDAD]]*Table28[[#This Row],[VALOR UNITARIO]]</f>
        <v>0</v>
      </c>
    </row>
    <row r="651" spans="1:6" s="193" customFormat="1" hidden="1" x14ac:dyDescent="0.3">
      <c r="A651" s="193">
        <v>398</v>
      </c>
      <c r="B651" s="193" t="s">
        <v>696</v>
      </c>
      <c r="C651" s="193" t="s">
        <v>1270</v>
      </c>
      <c r="D651" s="226">
        <f>+ROUNDUP(SUMIFS('MEMORIA CANTIDADES'!E:E,'MEMORIA CANTIDADES'!B:B,Table28[[#This Row],[DESCRIPCIÓN ]],'MEMORIA CANTIDADES'!C:C,Table28[[#This Row],[UNIDAD]]),0)</f>
        <v>0</v>
      </c>
      <c r="E651" s="225">
        <f>+VLOOKUP(Table28[[#This Row],[DESCRIPCIÓN ]],INSUMOS!A:D,3,FALSE)</f>
        <v>61787.65</v>
      </c>
      <c r="F651" s="225">
        <f>+Table28[[#This Row],[CANTIDAD]]*Table28[[#This Row],[VALOR UNITARIO]]</f>
        <v>0</v>
      </c>
    </row>
    <row r="652" spans="1:6" s="193" customFormat="1" hidden="1" x14ac:dyDescent="0.3">
      <c r="A652" s="193">
        <v>402</v>
      </c>
      <c r="B652" s="193" t="s">
        <v>697</v>
      </c>
      <c r="C652" s="193" t="s">
        <v>1270</v>
      </c>
      <c r="D652" s="226">
        <f>+ROUNDUP(SUMIFS('MEMORIA CANTIDADES'!E:E,'MEMORIA CANTIDADES'!B:B,Table28[[#This Row],[DESCRIPCIÓN ]],'MEMORIA CANTIDADES'!C:C,Table28[[#This Row],[UNIDAD]]),0)</f>
        <v>0</v>
      </c>
      <c r="E652" s="225">
        <f>+VLOOKUP(Table28[[#This Row],[DESCRIPCIÓN ]],INSUMOS!A:D,3,FALSE)</f>
        <v>13965.64</v>
      </c>
      <c r="F652" s="225">
        <f>+Table28[[#This Row],[CANTIDAD]]*Table28[[#This Row],[VALOR UNITARIO]]</f>
        <v>0</v>
      </c>
    </row>
    <row r="653" spans="1:6" s="193" customFormat="1" x14ac:dyDescent="0.3">
      <c r="A653" s="193">
        <v>471</v>
      </c>
      <c r="B653" s="193" t="s">
        <v>419</v>
      </c>
      <c r="C653" s="193" t="s">
        <v>2202</v>
      </c>
      <c r="D653" s="226">
        <v>60</v>
      </c>
      <c r="E653" s="225">
        <f>+VLOOKUP(Table28[[#This Row],[DESCRIPCIÓN ]],INSUMOS!A:D,3,FALSE)</f>
        <v>50453.95</v>
      </c>
      <c r="F653" s="225">
        <f>+Table28[[#This Row],[CANTIDAD]]*Table28[[#This Row],[VALOR UNITARIO]]</f>
        <v>3027237</v>
      </c>
    </row>
    <row r="654" spans="1:6" s="193" customFormat="1" hidden="1" x14ac:dyDescent="0.3">
      <c r="A654" s="193">
        <v>404</v>
      </c>
      <c r="B654" s="193" t="s">
        <v>698</v>
      </c>
      <c r="C654" s="193" t="s">
        <v>1270</v>
      </c>
      <c r="D654" s="226">
        <f>+ROUNDUP(SUMIFS('MEMORIA CANTIDADES'!E:E,'MEMORIA CANTIDADES'!B:B,Table28[[#This Row],[DESCRIPCIÓN ]],'MEMORIA CANTIDADES'!C:C,Table28[[#This Row],[UNIDAD]]),0)</f>
        <v>0</v>
      </c>
      <c r="E654" s="225">
        <f>+VLOOKUP(Table28[[#This Row],[DESCRIPCIÓN ]],INSUMOS!A:D,3,FALSE)</f>
        <v>14044.9</v>
      </c>
      <c r="F654" s="225">
        <f>+Table28[[#This Row],[CANTIDAD]]*Table28[[#This Row],[VALOR UNITARIO]]</f>
        <v>0</v>
      </c>
    </row>
    <row r="655" spans="1:6" s="193" customFormat="1" hidden="1" x14ac:dyDescent="0.3">
      <c r="A655" s="193">
        <v>405</v>
      </c>
      <c r="B655" s="193" t="s">
        <v>699</v>
      </c>
      <c r="C655" s="193" t="s">
        <v>1270</v>
      </c>
      <c r="D655" s="226">
        <f>+ROUNDUP(SUMIFS('MEMORIA CANTIDADES'!E:E,'MEMORIA CANTIDADES'!B:B,Table28[[#This Row],[DESCRIPCIÓN ]],'MEMORIA CANTIDADES'!C:C,Table28[[#This Row],[UNIDAD]]),0)</f>
        <v>0</v>
      </c>
      <c r="E655" s="225">
        <f>+VLOOKUP(Table28[[#This Row],[DESCRIPCIÓN ]],INSUMOS!A:D,3,FALSE)</f>
        <v>10183.77</v>
      </c>
      <c r="F655" s="225">
        <f>+Table28[[#This Row],[CANTIDAD]]*Table28[[#This Row],[VALOR UNITARIO]]</f>
        <v>0</v>
      </c>
    </row>
    <row r="656" spans="1:6" s="193" customFormat="1" hidden="1" x14ac:dyDescent="0.3">
      <c r="A656" s="193">
        <v>740</v>
      </c>
      <c r="B656" s="193" t="s">
        <v>700</v>
      </c>
      <c r="C656" s="193" t="s">
        <v>55</v>
      </c>
      <c r="D656" s="226">
        <f>+ROUNDUP(SUMIFS('MEMORIA CANTIDADES'!E:E,'MEMORIA CANTIDADES'!B:B,Table28[[#This Row],[DESCRIPCIÓN ]],'MEMORIA CANTIDADES'!C:C,Table28[[#This Row],[UNIDAD]]),0)</f>
        <v>0</v>
      </c>
      <c r="E656" s="225">
        <f>+VLOOKUP(Table28[[#This Row],[DESCRIPCIÓN ]],INSUMOS!A:D,3,FALSE)</f>
        <v>101605.61</v>
      </c>
      <c r="F656" s="225">
        <f>+Table28[[#This Row],[CANTIDAD]]*Table28[[#This Row],[VALOR UNITARIO]]</f>
        <v>0</v>
      </c>
    </row>
    <row r="657" spans="1:6" s="193" customFormat="1" hidden="1" x14ac:dyDescent="0.3">
      <c r="A657" s="193">
        <v>573</v>
      </c>
      <c r="B657" s="193" t="s">
        <v>701</v>
      </c>
      <c r="C657" s="193" t="s">
        <v>55</v>
      </c>
      <c r="D657" s="226">
        <f>+ROUNDUP(SUMIFS('MEMORIA CANTIDADES'!E:E,'MEMORIA CANTIDADES'!B:B,Table28[[#This Row],[DESCRIPCIÓN ]],'MEMORIA CANTIDADES'!C:C,Table28[[#This Row],[UNIDAD]]),0)</f>
        <v>0</v>
      </c>
      <c r="E657" s="225">
        <f>+VLOOKUP(Table28[[#This Row],[DESCRIPCIÓN ]],INSUMOS!A:D,3,FALSE)</f>
        <v>43907.66</v>
      </c>
      <c r="F657" s="225">
        <f>+Table28[[#This Row],[CANTIDAD]]*Table28[[#This Row],[VALOR UNITARIO]]</f>
        <v>0</v>
      </c>
    </row>
    <row r="658" spans="1:6" s="193" customFormat="1" hidden="1" x14ac:dyDescent="0.3">
      <c r="A658" s="193">
        <v>574</v>
      </c>
      <c r="B658" s="193" t="s">
        <v>702</v>
      </c>
      <c r="C658" s="193" t="s">
        <v>55</v>
      </c>
      <c r="D658" s="226">
        <f>+ROUNDUP(SUMIFS('MEMORIA CANTIDADES'!E:E,'MEMORIA CANTIDADES'!B:B,Table28[[#This Row],[DESCRIPCIÓN ]],'MEMORIA CANTIDADES'!C:C,Table28[[#This Row],[UNIDAD]]),0)</f>
        <v>0</v>
      </c>
      <c r="E658" s="225">
        <f>+VLOOKUP(Table28[[#This Row],[DESCRIPCIÓN ]],INSUMOS!A:D,3,FALSE)</f>
        <v>28924.01</v>
      </c>
      <c r="F658" s="225">
        <f>+Table28[[#This Row],[CANTIDAD]]*Table28[[#This Row],[VALOR UNITARIO]]</f>
        <v>0</v>
      </c>
    </row>
    <row r="659" spans="1:6" s="193" customFormat="1" hidden="1" x14ac:dyDescent="0.3">
      <c r="A659" s="193">
        <v>572</v>
      </c>
      <c r="B659" s="193" t="s">
        <v>703</v>
      </c>
      <c r="C659" s="193" t="s">
        <v>55</v>
      </c>
      <c r="D659" s="226">
        <f>+ROUNDUP(SUMIFS('MEMORIA CANTIDADES'!E:E,'MEMORIA CANTIDADES'!B:B,Table28[[#This Row],[DESCRIPCIÓN ]],'MEMORIA CANTIDADES'!C:C,Table28[[#This Row],[UNIDAD]]),0)</f>
        <v>0</v>
      </c>
      <c r="E659" s="225">
        <f>+VLOOKUP(Table28[[#This Row],[DESCRIPCIÓN ]],INSUMOS!A:D,3,FALSE)</f>
        <v>33347.99</v>
      </c>
      <c r="F659" s="225">
        <f>+Table28[[#This Row],[CANTIDAD]]*Table28[[#This Row],[VALOR UNITARIO]]</f>
        <v>0</v>
      </c>
    </row>
    <row r="660" spans="1:6" s="193" customFormat="1" hidden="1" x14ac:dyDescent="0.3">
      <c r="A660" s="193">
        <v>735</v>
      </c>
      <c r="B660" s="193" t="s">
        <v>704</v>
      </c>
      <c r="C660" s="193" t="s">
        <v>55</v>
      </c>
      <c r="D660" s="226">
        <f>+ROUNDUP(SUMIFS('MEMORIA CANTIDADES'!E:E,'MEMORIA CANTIDADES'!B:B,Table28[[#This Row],[DESCRIPCIÓN ]],'MEMORIA CANTIDADES'!C:C,Table28[[#This Row],[UNIDAD]]),0)</f>
        <v>0</v>
      </c>
      <c r="E660" s="225">
        <f>+VLOOKUP(Table28[[#This Row],[DESCRIPCIÓN ]],INSUMOS!A:D,3,FALSE)</f>
        <v>70894.429999999993</v>
      </c>
      <c r="F660" s="225">
        <f>+Table28[[#This Row],[CANTIDAD]]*Table28[[#This Row],[VALOR UNITARIO]]</f>
        <v>0</v>
      </c>
    </row>
    <row r="661" spans="1:6" s="193" customFormat="1" ht="28.8" hidden="1" x14ac:dyDescent="0.3">
      <c r="A661" s="193">
        <v>736</v>
      </c>
      <c r="B661" s="193" t="s">
        <v>705</v>
      </c>
      <c r="C661" s="193" t="s">
        <v>55</v>
      </c>
      <c r="D661" s="226">
        <f>+ROUNDUP(SUMIFS('MEMORIA CANTIDADES'!E:E,'MEMORIA CANTIDADES'!B:B,Table28[[#This Row],[DESCRIPCIÓN ]],'MEMORIA CANTIDADES'!C:C,Table28[[#This Row],[UNIDAD]]),0)</f>
        <v>0</v>
      </c>
      <c r="E661" s="225">
        <f>+VLOOKUP(Table28[[#This Row],[DESCRIPCIÓN ]],INSUMOS!A:D,3,FALSE)</f>
        <v>53435.98</v>
      </c>
      <c r="F661" s="225">
        <f>+Table28[[#This Row],[CANTIDAD]]*Table28[[#This Row],[VALOR UNITARIO]]</f>
        <v>0</v>
      </c>
    </row>
    <row r="662" spans="1:6" s="193" customFormat="1" hidden="1" x14ac:dyDescent="0.3">
      <c r="A662" s="193">
        <v>737</v>
      </c>
      <c r="B662" s="193" t="s">
        <v>706</v>
      </c>
      <c r="C662" s="193" t="s">
        <v>55</v>
      </c>
      <c r="D662" s="226">
        <f>+ROUNDUP(SUMIFS('MEMORIA CANTIDADES'!E:E,'MEMORIA CANTIDADES'!B:B,Table28[[#This Row],[DESCRIPCIÓN ]],'MEMORIA CANTIDADES'!C:C,Table28[[#This Row],[UNIDAD]]),0)</f>
        <v>0</v>
      </c>
      <c r="E662" s="225">
        <f>+VLOOKUP(Table28[[#This Row],[DESCRIPCIÓN ]],INSUMOS!A:D,3,FALSE)</f>
        <v>72656.73</v>
      </c>
      <c r="F662" s="225">
        <f>+Table28[[#This Row],[CANTIDAD]]*Table28[[#This Row],[VALOR UNITARIO]]</f>
        <v>0</v>
      </c>
    </row>
    <row r="663" spans="1:6" s="193" customFormat="1" hidden="1" x14ac:dyDescent="0.3">
      <c r="A663" s="193">
        <v>738</v>
      </c>
      <c r="B663" s="193" t="s">
        <v>707</v>
      </c>
      <c r="C663" s="193" t="s">
        <v>55</v>
      </c>
      <c r="D663" s="226">
        <f>+ROUNDUP(SUMIFS('MEMORIA CANTIDADES'!E:E,'MEMORIA CANTIDADES'!B:B,Table28[[#This Row],[DESCRIPCIÓN ]],'MEMORIA CANTIDADES'!C:C,Table28[[#This Row],[UNIDAD]]),0)</f>
        <v>0</v>
      </c>
      <c r="E663" s="225">
        <f>+VLOOKUP(Table28[[#This Row],[DESCRIPCIÓN ]],INSUMOS!A:D,3,FALSE)</f>
        <v>14487.89</v>
      </c>
      <c r="F663" s="225">
        <f>+Table28[[#This Row],[CANTIDAD]]*Table28[[#This Row],[VALOR UNITARIO]]</f>
        <v>0</v>
      </c>
    </row>
    <row r="664" spans="1:6" s="193" customFormat="1" ht="28.8" hidden="1" x14ac:dyDescent="0.3">
      <c r="A664" s="193">
        <v>1224</v>
      </c>
      <c r="B664" s="193" t="s">
        <v>2231</v>
      </c>
      <c r="C664" s="193" t="s">
        <v>55</v>
      </c>
      <c r="D664" s="226">
        <f>+ROUNDUP(SUMIFS('MEMORIA CANTIDADES'!E:E,'MEMORIA CANTIDADES'!B:B,Table28[[#This Row],[DESCRIPCIÓN ]],'MEMORIA CANTIDADES'!C:C,Table28[[#This Row],[UNIDAD]]),0)</f>
        <v>0</v>
      </c>
      <c r="E664" s="225" t="e">
        <f>+VLOOKUP(Table28[[#This Row],[DESCRIPCIÓN ]],INSUMOS!A:D,3,FALSE)</f>
        <v>#N/A</v>
      </c>
      <c r="F664" s="225" t="e">
        <f>+Table28[[#This Row],[CANTIDAD]]*Table28[[#This Row],[VALOR UNITARIO]]</f>
        <v>#N/A</v>
      </c>
    </row>
    <row r="665" spans="1:6" s="193" customFormat="1" ht="28.8" hidden="1" x14ac:dyDescent="0.3">
      <c r="A665" s="193">
        <v>1223</v>
      </c>
      <c r="B665" s="193" t="s">
        <v>2230</v>
      </c>
      <c r="C665" s="193" t="s">
        <v>55</v>
      </c>
      <c r="D665" s="226">
        <f>+ROUNDUP(SUMIFS('MEMORIA CANTIDADES'!E:E,'MEMORIA CANTIDADES'!B:B,Table28[[#This Row],[DESCRIPCIÓN ]],'MEMORIA CANTIDADES'!C:C,Table28[[#This Row],[UNIDAD]]),0)</f>
        <v>0</v>
      </c>
      <c r="E665" s="225" t="e">
        <f>+VLOOKUP(Table28[[#This Row],[DESCRIPCIÓN ]],INSUMOS!A:D,3,FALSE)</f>
        <v>#N/A</v>
      </c>
      <c r="F665" s="225" t="e">
        <f>+Table28[[#This Row],[CANTIDAD]]*Table28[[#This Row],[VALOR UNITARIO]]</f>
        <v>#N/A</v>
      </c>
    </row>
    <row r="666" spans="1:6" s="193" customFormat="1" ht="28.8" hidden="1" x14ac:dyDescent="0.3">
      <c r="A666" s="193">
        <v>1235</v>
      </c>
      <c r="B666" s="193" t="s">
        <v>708</v>
      </c>
      <c r="C666" s="193" t="s">
        <v>55</v>
      </c>
      <c r="D666" s="226">
        <f>+ROUNDUP(SUMIFS('MEMORIA CANTIDADES'!E:E,'MEMORIA CANTIDADES'!B:B,Table28[[#This Row],[DESCRIPCIÓN ]],'MEMORIA CANTIDADES'!C:C,Table28[[#This Row],[UNIDAD]]),0)</f>
        <v>0</v>
      </c>
      <c r="E666" s="225">
        <f>+VLOOKUP(Table28[[#This Row],[DESCRIPCIÓN ]],INSUMOS!A:D,3,FALSE)</f>
        <v>140097.19</v>
      </c>
      <c r="F666" s="225">
        <f>+Table28[[#This Row],[CANTIDAD]]*Table28[[#This Row],[VALOR UNITARIO]]</f>
        <v>0</v>
      </c>
    </row>
    <row r="667" spans="1:6" s="193" customFormat="1" ht="28.8" hidden="1" x14ac:dyDescent="0.3">
      <c r="A667" s="193">
        <v>1222</v>
      </c>
      <c r="B667" s="193" t="s">
        <v>2229</v>
      </c>
      <c r="C667" s="193" t="s">
        <v>55</v>
      </c>
      <c r="D667" s="226">
        <f>+ROUNDUP(SUMIFS('MEMORIA CANTIDADES'!E:E,'MEMORIA CANTIDADES'!B:B,Table28[[#This Row],[DESCRIPCIÓN ]],'MEMORIA CANTIDADES'!C:C,Table28[[#This Row],[UNIDAD]]),0)</f>
        <v>0</v>
      </c>
      <c r="E667" s="225" t="e">
        <f>+VLOOKUP(Table28[[#This Row],[DESCRIPCIÓN ]],INSUMOS!A:D,3,FALSE)</f>
        <v>#N/A</v>
      </c>
      <c r="F667" s="225" t="e">
        <f>+Table28[[#This Row],[CANTIDAD]]*Table28[[#This Row],[VALOR UNITARIO]]</f>
        <v>#N/A</v>
      </c>
    </row>
    <row r="668" spans="1:6" s="193" customFormat="1" ht="28.8" hidden="1" x14ac:dyDescent="0.3">
      <c r="A668" s="193">
        <v>1225</v>
      </c>
      <c r="B668" s="193" t="s">
        <v>2232</v>
      </c>
      <c r="C668" s="193" t="s">
        <v>55</v>
      </c>
      <c r="D668" s="226">
        <f>+ROUNDUP(SUMIFS('MEMORIA CANTIDADES'!E:E,'MEMORIA CANTIDADES'!B:B,Table28[[#This Row],[DESCRIPCIÓN ]],'MEMORIA CANTIDADES'!C:C,Table28[[#This Row],[UNIDAD]]),0)</f>
        <v>0</v>
      </c>
      <c r="E668" s="225" t="e">
        <f>+VLOOKUP(Table28[[#This Row],[DESCRIPCIÓN ]],INSUMOS!A:D,3,FALSE)</f>
        <v>#N/A</v>
      </c>
      <c r="F668" s="225" t="e">
        <f>+Table28[[#This Row],[CANTIDAD]]*Table28[[#This Row],[VALOR UNITARIO]]</f>
        <v>#N/A</v>
      </c>
    </row>
    <row r="669" spans="1:6" s="193" customFormat="1" ht="28.8" hidden="1" x14ac:dyDescent="0.3">
      <c r="A669" s="193">
        <v>406</v>
      </c>
      <c r="B669" s="193" t="s">
        <v>709</v>
      </c>
      <c r="C669" s="193" t="s">
        <v>1272</v>
      </c>
      <c r="D669" s="226">
        <f>+ROUNDUP(SUMIFS('MEMORIA CANTIDADES'!E:E,'MEMORIA CANTIDADES'!B:B,Table28[[#This Row],[DESCRIPCIÓN ]],'MEMORIA CANTIDADES'!C:C,Table28[[#This Row],[UNIDAD]]),0)</f>
        <v>0</v>
      </c>
      <c r="E669" s="225">
        <f>+VLOOKUP(Table28[[#This Row],[DESCRIPCIÓN ]],INSUMOS!A:D,3,FALSE)</f>
        <v>83632.69</v>
      </c>
      <c r="F669" s="225">
        <f>+Table28[[#This Row],[CANTIDAD]]*Table28[[#This Row],[VALOR UNITARIO]]</f>
        <v>0</v>
      </c>
    </row>
    <row r="670" spans="1:6" s="193" customFormat="1" ht="28.8" hidden="1" x14ac:dyDescent="0.3">
      <c r="A670" s="193">
        <v>407</v>
      </c>
      <c r="B670" s="193" t="s">
        <v>710</v>
      </c>
      <c r="C670" s="193" t="s">
        <v>1272</v>
      </c>
      <c r="D670" s="226">
        <f>+ROUNDUP(SUMIFS('MEMORIA CANTIDADES'!E:E,'MEMORIA CANTIDADES'!B:B,Table28[[#This Row],[DESCRIPCIÓN ]],'MEMORIA CANTIDADES'!C:C,Table28[[#This Row],[UNIDAD]]),0)</f>
        <v>0</v>
      </c>
      <c r="E670" s="225">
        <f>+VLOOKUP(Table28[[#This Row],[DESCRIPCIÓN ]],INSUMOS!A:D,3,FALSE)</f>
        <v>60035.62</v>
      </c>
      <c r="F670" s="225">
        <f>+Table28[[#This Row],[CANTIDAD]]*Table28[[#This Row],[VALOR UNITARIO]]</f>
        <v>0</v>
      </c>
    </row>
    <row r="671" spans="1:6" s="193" customFormat="1" ht="28.8" hidden="1" x14ac:dyDescent="0.3">
      <c r="A671" s="193">
        <v>47</v>
      </c>
      <c r="B671" s="193" t="s">
        <v>711</v>
      </c>
      <c r="C671" s="193" t="s">
        <v>1272</v>
      </c>
      <c r="D671" s="226">
        <f>+ROUNDUP(SUMIFS('MEMORIA CANTIDADES'!E:E,'MEMORIA CANTIDADES'!B:B,Table28[[#This Row],[DESCRIPCIÓN ]],'MEMORIA CANTIDADES'!C:C,Table28[[#This Row],[UNIDAD]]),0)</f>
        <v>0</v>
      </c>
      <c r="E671" s="225" t="e">
        <f>+VLOOKUP(Table28[[#This Row],[DESCRIPCIÓN ]],INSUMOS!A:D,3,FALSE)</f>
        <v>#N/A</v>
      </c>
      <c r="F671" s="225" t="e">
        <f>+Table28[[#This Row],[CANTIDAD]]*Table28[[#This Row],[VALOR UNITARIO]]</f>
        <v>#N/A</v>
      </c>
    </row>
    <row r="672" spans="1:6" s="193" customFormat="1" ht="28.8" hidden="1" x14ac:dyDescent="0.3">
      <c r="A672" s="193">
        <v>48</v>
      </c>
      <c r="B672" s="193" t="s">
        <v>2160</v>
      </c>
      <c r="C672" s="193" t="s">
        <v>1272</v>
      </c>
      <c r="D672" s="226">
        <f>+ROUNDUP(SUMIFS('MEMORIA CANTIDADES'!E:E,'MEMORIA CANTIDADES'!B:B,Table28[[#This Row],[DESCRIPCIÓN ]],'MEMORIA CANTIDADES'!C:C,Table28[[#This Row],[UNIDAD]]),0)</f>
        <v>0</v>
      </c>
      <c r="E672" s="225" t="e">
        <f>+VLOOKUP(Table28[[#This Row],[DESCRIPCIÓN ]],INSUMOS!A:D,3,FALSE)</f>
        <v>#N/A</v>
      </c>
      <c r="F672" s="225" t="e">
        <f>+Table28[[#This Row],[CANTIDAD]]*Table28[[#This Row],[VALOR UNITARIO]]</f>
        <v>#N/A</v>
      </c>
    </row>
    <row r="673" spans="1:6" s="193" customFormat="1" ht="28.8" hidden="1" x14ac:dyDescent="0.3">
      <c r="A673" s="193">
        <v>49</v>
      </c>
      <c r="B673" s="193" t="s">
        <v>2161</v>
      </c>
      <c r="C673" s="193" t="s">
        <v>1272</v>
      </c>
      <c r="D673" s="226">
        <f>+ROUNDUP(SUMIFS('MEMORIA CANTIDADES'!E:E,'MEMORIA CANTIDADES'!B:B,Table28[[#This Row],[DESCRIPCIÓN ]],'MEMORIA CANTIDADES'!C:C,Table28[[#This Row],[UNIDAD]]),0)</f>
        <v>0</v>
      </c>
      <c r="E673" s="225" t="e">
        <f>+VLOOKUP(Table28[[#This Row],[DESCRIPCIÓN ]],INSUMOS!A:D,3,FALSE)</f>
        <v>#N/A</v>
      </c>
      <c r="F673" s="225" t="e">
        <f>+Table28[[#This Row],[CANTIDAD]]*Table28[[#This Row],[VALOR UNITARIO]]</f>
        <v>#N/A</v>
      </c>
    </row>
    <row r="674" spans="1:6" s="193" customFormat="1" ht="28.8" hidden="1" x14ac:dyDescent="0.3">
      <c r="A674" s="193">
        <v>50</v>
      </c>
      <c r="B674" s="193" t="s">
        <v>2162</v>
      </c>
      <c r="C674" s="193" t="s">
        <v>1272</v>
      </c>
      <c r="D674" s="226">
        <f>+ROUNDUP(SUMIFS('MEMORIA CANTIDADES'!E:E,'MEMORIA CANTIDADES'!B:B,Table28[[#This Row],[DESCRIPCIÓN ]],'MEMORIA CANTIDADES'!C:C,Table28[[#This Row],[UNIDAD]]),0)</f>
        <v>0</v>
      </c>
      <c r="E674" s="225" t="e">
        <f>+VLOOKUP(Table28[[#This Row],[DESCRIPCIÓN ]],INSUMOS!A:D,3,FALSE)</f>
        <v>#N/A</v>
      </c>
      <c r="F674" s="225" t="e">
        <f>+Table28[[#This Row],[CANTIDAD]]*Table28[[#This Row],[VALOR UNITARIO]]</f>
        <v>#N/A</v>
      </c>
    </row>
    <row r="675" spans="1:6" s="193" customFormat="1" ht="28.8" hidden="1" x14ac:dyDescent="0.3">
      <c r="A675" s="193">
        <v>51</v>
      </c>
      <c r="B675" s="193" t="s">
        <v>2163</v>
      </c>
      <c r="C675" s="193" t="s">
        <v>1272</v>
      </c>
      <c r="D675" s="226">
        <f>+ROUNDUP(SUMIFS('MEMORIA CANTIDADES'!E:E,'MEMORIA CANTIDADES'!B:B,Table28[[#This Row],[DESCRIPCIÓN ]],'MEMORIA CANTIDADES'!C:C,Table28[[#This Row],[UNIDAD]]),0)</f>
        <v>0</v>
      </c>
      <c r="E675" s="225" t="e">
        <f>+VLOOKUP(Table28[[#This Row],[DESCRIPCIÓN ]],INSUMOS!A:D,3,FALSE)</f>
        <v>#N/A</v>
      </c>
      <c r="F675" s="225" t="e">
        <f>+Table28[[#This Row],[CANTIDAD]]*Table28[[#This Row],[VALOR UNITARIO]]</f>
        <v>#N/A</v>
      </c>
    </row>
    <row r="676" spans="1:6" s="193" customFormat="1" ht="28.8" hidden="1" x14ac:dyDescent="0.3">
      <c r="A676" s="193">
        <v>52</v>
      </c>
      <c r="B676" s="193" t="s">
        <v>2164</v>
      </c>
      <c r="C676" s="193" t="s">
        <v>1272</v>
      </c>
      <c r="D676" s="226">
        <f>+ROUNDUP(SUMIFS('MEMORIA CANTIDADES'!E:E,'MEMORIA CANTIDADES'!B:B,Table28[[#This Row],[DESCRIPCIÓN ]],'MEMORIA CANTIDADES'!C:C,Table28[[#This Row],[UNIDAD]]),0)</f>
        <v>0</v>
      </c>
      <c r="E676" s="225" t="e">
        <f>+VLOOKUP(Table28[[#This Row],[DESCRIPCIÓN ]],INSUMOS!A:D,3,FALSE)</f>
        <v>#N/A</v>
      </c>
      <c r="F676" s="225" t="e">
        <f>+Table28[[#This Row],[CANTIDAD]]*Table28[[#This Row],[VALOR UNITARIO]]</f>
        <v>#N/A</v>
      </c>
    </row>
    <row r="677" spans="1:6" s="193" customFormat="1" ht="28.8" hidden="1" x14ac:dyDescent="0.3">
      <c r="A677" s="193">
        <v>53</v>
      </c>
      <c r="B677" s="193" t="s">
        <v>2165</v>
      </c>
      <c r="C677" s="193" t="s">
        <v>1272</v>
      </c>
      <c r="D677" s="226">
        <f>+ROUNDUP(SUMIFS('MEMORIA CANTIDADES'!E:E,'MEMORIA CANTIDADES'!B:B,Table28[[#This Row],[DESCRIPCIÓN ]],'MEMORIA CANTIDADES'!C:C,Table28[[#This Row],[UNIDAD]]),0)</f>
        <v>0</v>
      </c>
      <c r="E677" s="225" t="e">
        <f>+VLOOKUP(Table28[[#This Row],[DESCRIPCIÓN ]],INSUMOS!A:D,3,FALSE)</f>
        <v>#N/A</v>
      </c>
      <c r="F677" s="225" t="e">
        <f>+Table28[[#This Row],[CANTIDAD]]*Table28[[#This Row],[VALOR UNITARIO]]</f>
        <v>#N/A</v>
      </c>
    </row>
    <row r="678" spans="1:6" s="193" customFormat="1" ht="28.8" hidden="1" x14ac:dyDescent="0.3">
      <c r="A678" s="193">
        <v>54</v>
      </c>
      <c r="B678" s="193" t="s">
        <v>2166</v>
      </c>
      <c r="C678" s="193" t="s">
        <v>1272</v>
      </c>
      <c r="D678" s="226">
        <f>+ROUNDUP(SUMIFS('MEMORIA CANTIDADES'!E:E,'MEMORIA CANTIDADES'!B:B,Table28[[#This Row],[DESCRIPCIÓN ]],'MEMORIA CANTIDADES'!C:C,Table28[[#This Row],[UNIDAD]]),0)</f>
        <v>0</v>
      </c>
      <c r="E678" s="225" t="e">
        <f>+VLOOKUP(Table28[[#This Row],[DESCRIPCIÓN ]],INSUMOS!A:D,3,FALSE)</f>
        <v>#N/A</v>
      </c>
      <c r="F678" s="225" t="e">
        <f>+Table28[[#This Row],[CANTIDAD]]*Table28[[#This Row],[VALOR UNITARIO]]</f>
        <v>#N/A</v>
      </c>
    </row>
    <row r="679" spans="1:6" s="193" customFormat="1" ht="28.8" hidden="1" x14ac:dyDescent="0.3">
      <c r="A679" s="193">
        <v>55</v>
      </c>
      <c r="B679" s="193" t="s">
        <v>2167</v>
      </c>
      <c r="C679" s="193" t="s">
        <v>1272</v>
      </c>
      <c r="D679" s="226">
        <f>+ROUNDUP(SUMIFS('MEMORIA CANTIDADES'!E:E,'MEMORIA CANTIDADES'!B:B,Table28[[#This Row],[DESCRIPCIÓN ]],'MEMORIA CANTIDADES'!C:C,Table28[[#This Row],[UNIDAD]]),0)</f>
        <v>0</v>
      </c>
      <c r="E679" s="225" t="e">
        <f>+VLOOKUP(Table28[[#This Row],[DESCRIPCIÓN ]],INSUMOS!A:D,3,FALSE)</f>
        <v>#N/A</v>
      </c>
      <c r="F679" s="225" t="e">
        <f>+Table28[[#This Row],[CANTIDAD]]*Table28[[#This Row],[VALOR UNITARIO]]</f>
        <v>#N/A</v>
      </c>
    </row>
    <row r="680" spans="1:6" s="193" customFormat="1" ht="28.8" hidden="1" x14ac:dyDescent="0.3">
      <c r="A680" s="193">
        <v>56</v>
      </c>
      <c r="B680" s="193" t="s">
        <v>2168</v>
      </c>
      <c r="C680" s="193" t="s">
        <v>1272</v>
      </c>
      <c r="D680" s="226">
        <f>+ROUNDUP(SUMIFS('MEMORIA CANTIDADES'!E:E,'MEMORIA CANTIDADES'!B:B,Table28[[#This Row],[DESCRIPCIÓN ]],'MEMORIA CANTIDADES'!C:C,Table28[[#This Row],[UNIDAD]]),0)</f>
        <v>0</v>
      </c>
      <c r="E680" s="225" t="e">
        <f>+VLOOKUP(Table28[[#This Row],[DESCRIPCIÓN ]],INSUMOS!A:D,3,FALSE)</f>
        <v>#N/A</v>
      </c>
      <c r="F680" s="225" t="e">
        <f>+Table28[[#This Row],[CANTIDAD]]*Table28[[#This Row],[VALOR UNITARIO]]</f>
        <v>#N/A</v>
      </c>
    </row>
    <row r="681" spans="1:6" s="193" customFormat="1" ht="28.8" hidden="1" x14ac:dyDescent="0.3">
      <c r="A681" s="193">
        <v>1213</v>
      </c>
      <c r="B681" s="193" t="s">
        <v>712</v>
      </c>
      <c r="C681" s="193" t="s">
        <v>1272</v>
      </c>
      <c r="D681" s="226">
        <f>+ROUNDUP(SUMIFS('MEMORIA CANTIDADES'!E:E,'MEMORIA CANTIDADES'!B:B,Table28[[#This Row],[DESCRIPCIÓN ]],'MEMORIA CANTIDADES'!C:C,Table28[[#This Row],[UNIDAD]]),0)</f>
        <v>0</v>
      </c>
      <c r="E681" s="225">
        <f>+VLOOKUP(Table28[[#This Row],[DESCRIPCIÓN ]],INSUMOS!A:D,3,FALSE)</f>
        <v>11751.28</v>
      </c>
      <c r="F681" s="225">
        <f>+Table28[[#This Row],[CANTIDAD]]*Table28[[#This Row],[VALOR UNITARIO]]</f>
        <v>0</v>
      </c>
    </row>
    <row r="682" spans="1:6" s="193" customFormat="1" ht="28.8" hidden="1" x14ac:dyDescent="0.3">
      <c r="A682" s="193">
        <v>575</v>
      </c>
      <c r="B682" s="193" t="s">
        <v>2204</v>
      </c>
      <c r="C682" s="193" t="s">
        <v>1270</v>
      </c>
      <c r="D682" s="226">
        <f>+ROUNDUP(SUMIFS('MEMORIA CANTIDADES'!E:E,'MEMORIA CANTIDADES'!B:B,Table28[[#This Row],[DESCRIPCIÓN ]],'MEMORIA CANTIDADES'!C:C,Table28[[#This Row],[UNIDAD]]),0)</f>
        <v>0</v>
      </c>
      <c r="E682" s="225">
        <f>+VLOOKUP(Table28[[#This Row],[DESCRIPCIÓN ]],INSUMOS!A:D,3,FALSE)</f>
        <v>33553.26</v>
      </c>
      <c r="F682" s="225">
        <f>+Table28[[#This Row],[CANTIDAD]]*Table28[[#This Row],[VALOR UNITARIO]]</f>
        <v>0</v>
      </c>
    </row>
    <row r="683" spans="1:6" s="193" customFormat="1" ht="28.8" hidden="1" x14ac:dyDescent="0.3">
      <c r="A683" s="193">
        <v>576</v>
      </c>
      <c r="B683" s="193" t="s">
        <v>713</v>
      </c>
      <c r="C683" s="193" t="s">
        <v>1270</v>
      </c>
      <c r="D683" s="226">
        <f>+ROUNDUP(SUMIFS('MEMORIA CANTIDADES'!E:E,'MEMORIA CANTIDADES'!B:B,Table28[[#This Row],[DESCRIPCIÓN ]],'MEMORIA CANTIDADES'!C:C,Table28[[#This Row],[UNIDAD]]),0)</f>
        <v>0</v>
      </c>
      <c r="E683" s="225">
        <f>+VLOOKUP(Table28[[#This Row],[DESCRIPCIÓN ]],INSUMOS!A:D,3,FALSE)</f>
        <v>43051.839999999997</v>
      </c>
      <c r="F683" s="225">
        <f>+Table28[[#This Row],[CANTIDAD]]*Table28[[#This Row],[VALOR UNITARIO]]</f>
        <v>0</v>
      </c>
    </row>
    <row r="684" spans="1:6" s="193" customFormat="1" ht="28.8" hidden="1" x14ac:dyDescent="0.3">
      <c r="A684" s="193">
        <v>577</v>
      </c>
      <c r="B684" s="193" t="s">
        <v>714</v>
      </c>
      <c r="C684" s="193" t="s">
        <v>1270</v>
      </c>
      <c r="D684" s="226">
        <f>+ROUNDUP(SUMIFS('MEMORIA CANTIDADES'!E:E,'MEMORIA CANTIDADES'!B:B,Table28[[#This Row],[DESCRIPCIÓN ]],'MEMORIA CANTIDADES'!C:C,Table28[[#This Row],[UNIDAD]]),0)</f>
        <v>0</v>
      </c>
      <c r="E684" s="225">
        <f>+VLOOKUP(Table28[[#This Row],[DESCRIPCIÓN ]],INSUMOS!A:D,3,FALSE)</f>
        <v>43598.239999999998</v>
      </c>
      <c r="F684" s="225">
        <f>+Table28[[#This Row],[CANTIDAD]]*Table28[[#This Row],[VALOR UNITARIO]]</f>
        <v>0</v>
      </c>
    </row>
    <row r="685" spans="1:6" s="193" customFormat="1" ht="28.8" hidden="1" x14ac:dyDescent="0.3">
      <c r="A685" s="193">
        <v>578</v>
      </c>
      <c r="B685" s="193" t="s">
        <v>715</v>
      </c>
      <c r="C685" s="193" t="s">
        <v>1270</v>
      </c>
      <c r="D685" s="226">
        <f>+ROUNDUP(SUMIFS('MEMORIA CANTIDADES'!E:E,'MEMORIA CANTIDADES'!B:B,Table28[[#This Row],[DESCRIPCIÓN ]],'MEMORIA CANTIDADES'!C:C,Table28[[#This Row],[UNIDAD]]),0)</f>
        <v>0</v>
      </c>
      <c r="E685" s="225">
        <f>+VLOOKUP(Table28[[#This Row],[DESCRIPCIÓN ]],INSUMOS!A:D,3,FALSE)</f>
        <v>46585.48</v>
      </c>
      <c r="F685" s="225">
        <f>+Table28[[#This Row],[CANTIDAD]]*Table28[[#This Row],[VALOR UNITARIO]]</f>
        <v>0</v>
      </c>
    </row>
    <row r="686" spans="1:6" s="193" customFormat="1" ht="28.8" hidden="1" x14ac:dyDescent="0.3">
      <c r="A686" s="193">
        <v>579</v>
      </c>
      <c r="B686" s="193" t="s">
        <v>716</v>
      </c>
      <c r="C686" s="193" t="s">
        <v>1270</v>
      </c>
      <c r="D686" s="226">
        <f>+ROUNDUP(SUMIFS('MEMORIA CANTIDADES'!E:E,'MEMORIA CANTIDADES'!B:B,Table28[[#This Row],[DESCRIPCIÓN ]],'MEMORIA CANTIDADES'!C:C,Table28[[#This Row],[UNIDAD]]),0)</f>
        <v>0</v>
      </c>
      <c r="E686" s="225">
        <f>+VLOOKUP(Table28[[#This Row],[DESCRIPCIÓN ]],INSUMOS!A:D,3,FALSE)</f>
        <v>4364.45</v>
      </c>
      <c r="F686" s="225">
        <f>+Table28[[#This Row],[CANTIDAD]]*Table28[[#This Row],[VALOR UNITARIO]]</f>
        <v>0</v>
      </c>
    </row>
    <row r="687" spans="1:6" s="193" customFormat="1" ht="28.8" hidden="1" x14ac:dyDescent="0.3">
      <c r="A687" s="193">
        <v>580</v>
      </c>
      <c r="B687" s="193" t="s">
        <v>717</v>
      </c>
      <c r="C687" s="193" t="s">
        <v>1270</v>
      </c>
      <c r="D687" s="226">
        <f>+ROUNDUP(SUMIFS('MEMORIA CANTIDADES'!E:E,'MEMORIA CANTIDADES'!B:B,Table28[[#This Row],[DESCRIPCIÓN ]],'MEMORIA CANTIDADES'!C:C,Table28[[#This Row],[UNIDAD]]),0)</f>
        <v>0</v>
      </c>
      <c r="E687" s="225">
        <f>+VLOOKUP(Table28[[#This Row],[DESCRIPCIÓN ]],INSUMOS!A:D,3,FALSE)</f>
        <v>6730.79</v>
      </c>
      <c r="F687" s="225">
        <f>+Table28[[#This Row],[CANTIDAD]]*Table28[[#This Row],[VALOR UNITARIO]]</f>
        <v>0</v>
      </c>
    </row>
    <row r="688" spans="1:6" s="193" customFormat="1" ht="28.8" hidden="1" x14ac:dyDescent="0.3">
      <c r="A688" s="193">
        <v>581</v>
      </c>
      <c r="B688" s="193" t="s">
        <v>718</v>
      </c>
      <c r="C688" s="193" t="s">
        <v>1270</v>
      </c>
      <c r="D688" s="226">
        <f>+ROUNDUP(SUMIFS('MEMORIA CANTIDADES'!E:E,'MEMORIA CANTIDADES'!B:B,Table28[[#This Row],[DESCRIPCIÓN ]],'MEMORIA CANTIDADES'!C:C,Table28[[#This Row],[UNIDAD]]),0)</f>
        <v>0</v>
      </c>
      <c r="E688" s="225">
        <f>+VLOOKUP(Table28[[#This Row],[DESCRIPCIÓN ]],INSUMOS!A:D,3,FALSE)</f>
        <v>6337.27</v>
      </c>
      <c r="F688" s="225">
        <f>+Table28[[#This Row],[CANTIDAD]]*Table28[[#This Row],[VALOR UNITARIO]]</f>
        <v>0</v>
      </c>
    </row>
    <row r="689" spans="1:6" s="193" customFormat="1" ht="28.8" hidden="1" x14ac:dyDescent="0.3">
      <c r="A689" s="193">
        <v>582</v>
      </c>
      <c r="B689" s="193" t="s">
        <v>719</v>
      </c>
      <c r="C689" s="193" t="s">
        <v>1270</v>
      </c>
      <c r="D689" s="226">
        <f>+ROUNDUP(SUMIFS('MEMORIA CANTIDADES'!E:E,'MEMORIA CANTIDADES'!B:B,Table28[[#This Row],[DESCRIPCIÓN ]],'MEMORIA CANTIDADES'!C:C,Table28[[#This Row],[UNIDAD]]),0)</f>
        <v>0</v>
      </c>
      <c r="E689" s="225">
        <f>+VLOOKUP(Table28[[#This Row],[DESCRIPCIÓN ]],INSUMOS!A:D,3,FALSE)</f>
        <v>5429.88</v>
      </c>
      <c r="F689" s="225">
        <f>+Table28[[#This Row],[CANTIDAD]]*Table28[[#This Row],[VALOR UNITARIO]]</f>
        <v>0</v>
      </c>
    </row>
    <row r="690" spans="1:6" s="193" customFormat="1" ht="28.8" hidden="1" x14ac:dyDescent="0.3">
      <c r="A690" s="193">
        <v>583</v>
      </c>
      <c r="B690" s="193" t="s">
        <v>720</v>
      </c>
      <c r="C690" s="193" t="s">
        <v>1270</v>
      </c>
      <c r="D690" s="226">
        <f>+ROUNDUP(SUMIFS('MEMORIA CANTIDADES'!E:E,'MEMORIA CANTIDADES'!B:B,Table28[[#This Row],[DESCRIPCIÓN ]],'MEMORIA CANTIDADES'!C:C,Table28[[#This Row],[UNIDAD]]),0)</f>
        <v>0</v>
      </c>
      <c r="E690" s="225">
        <f>+VLOOKUP(Table28[[#This Row],[DESCRIPCIÓN ]],INSUMOS!A:D,3,FALSE)</f>
        <v>20220.810000000001</v>
      </c>
      <c r="F690" s="225">
        <f>+Table28[[#This Row],[CANTIDAD]]*Table28[[#This Row],[VALOR UNITARIO]]</f>
        <v>0</v>
      </c>
    </row>
    <row r="691" spans="1:6" s="193" customFormat="1" hidden="1" x14ac:dyDescent="0.3">
      <c r="A691" s="193">
        <v>584</v>
      </c>
      <c r="B691" s="193" t="s">
        <v>721</v>
      </c>
      <c r="C691" s="193" t="s">
        <v>1270</v>
      </c>
      <c r="D691" s="226">
        <f>+ROUNDUP(SUMIFS('MEMORIA CANTIDADES'!E:E,'MEMORIA CANTIDADES'!B:B,Table28[[#This Row],[DESCRIPCIÓN ]],'MEMORIA CANTIDADES'!C:C,Table28[[#This Row],[UNIDAD]]),0)</f>
        <v>0</v>
      </c>
      <c r="E691" s="225">
        <f>+VLOOKUP(Table28[[#This Row],[DESCRIPCIÓN ]],INSUMOS!A:D,3,FALSE)</f>
        <v>11648.29</v>
      </c>
      <c r="F691" s="225">
        <f>+Table28[[#This Row],[CANTIDAD]]*Table28[[#This Row],[VALOR UNITARIO]]</f>
        <v>0</v>
      </c>
    </row>
    <row r="692" spans="1:6" s="193" customFormat="1" hidden="1" x14ac:dyDescent="0.3">
      <c r="A692" s="193">
        <v>585</v>
      </c>
      <c r="B692" s="193" t="s">
        <v>722</v>
      </c>
      <c r="C692" s="193" t="s">
        <v>1270</v>
      </c>
      <c r="D692" s="226">
        <f>+ROUNDUP(SUMIFS('MEMORIA CANTIDADES'!E:E,'MEMORIA CANTIDADES'!B:B,Table28[[#This Row],[DESCRIPCIÓN ]],'MEMORIA CANTIDADES'!C:C,Table28[[#This Row],[UNIDAD]]),0)</f>
        <v>0</v>
      </c>
      <c r="E692" s="225">
        <f>+VLOOKUP(Table28[[#This Row],[DESCRIPCIÓN ]],INSUMOS!A:D,3,FALSE)</f>
        <v>12309.76</v>
      </c>
      <c r="F692" s="225">
        <f>+Table28[[#This Row],[CANTIDAD]]*Table28[[#This Row],[VALOR UNITARIO]]</f>
        <v>0</v>
      </c>
    </row>
    <row r="693" spans="1:6" s="193" customFormat="1" ht="28.8" hidden="1" x14ac:dyDescent="0.3">
      <c r="A693" s="193">
        <v>1215</v>
      </c>
      <c r="B693" s="193" t="s">
        <v>723</v>
      </c>
      <c r="C693" s="193" t="s">
        <v>1272</v>
      </c>
      <c r="D693" s="226">
        <f>+ROUNDUP(SUMIFS('MEMORIA CANTIDADES'!E:E,'MEMORIA CANTIDADES'!B:B,Table28[[#This Row],[DESCRIPCIÓN ]],'MEMORIA CANTIDADES'!C:C,Table28[[#This Row],[UNIDAD]]),0)</f>
        <v>0</v>
      </c>
      <c r="E693" s="225">
        <f>+VLOOKUP(Table28[[#This Row],[DESCRIPCIÓN ]],INSUMOS!A:D,3,FALSE)</f>
        <v>19065.919999999998</v>
      </c>
      <c r="F693" s="225">
        <f>+Table28[[#This Row],[CANTIDAD]]*Table28[[#This Row],[VALOR UNITARIO]]</f>
        <v>0</v>
      </c>
    </row>
    <row r="694" spans="1:6" s="193" customFormat="1" hidden="1" x14ac:dyDescent="0.3">
      <c r="A694" s="193">
        <v>586</v>
      </c>
      <c r="B694" s="193" t="s">
        <v>724</v>
      </c>
      <c r="C694" s="193" t="s">
        <v>1270</v>
      </c>
      <c r="D694" s="226">
        <f>+ROUNDUP(SUMIFS('MEMORIA CANTIDADES'!E:E,'MEMORIA CANTIDADES'!B:B,Table28[[#This Row],[DESCRIPCIÓN ]],'MEMORIA CANTIDADES'!C:C,Table28[[#This Row],[UNIDAD]]),0)</f>
        <v>0</v>
      </c>
      <c r="E694" s="225">
        <f>+VLOOKUP(Table28[[#This Row],[DESCRIPCIÓN ]],INSUMOS!A:D,3,FALSE)</f>
        <v>4067.79</v>
      </c>
      <c r="F694" s="225">
        <f>+Table28[[#This Row],[CANTIDAD]]*Table28[[#This Row],[VALOR UNITARIO]]</f>
        <v>0</v>
      </c>
    </row>
    <row r="695" spans="1:6" s="193" customFormat="1" ht="28.8" hidden="1" x14ac:dyDescent="0.3">
      <c r="A695" s="193">
        <v>587</v>
      </c>
      <c r="B695" s="193" t="s">
        <v>725</v>
      </c>
      <c r="C695" s="193" t="s">
        <v>1270</v>
      </c>
      <c r="D695" s="226">
        <f>+ROUNDUP(SUMIFS('MEMORIA CANTIDADES'!E:E,'MEMORIA CANTIDADES'!B:B,Table28[[#This Row],[DESCRIPCIÓN ]],'MEMORIA CANTIDADES'!C:C,Table28[[#This Row],[UNIDAD]]),0)</f>
        <v>0</v>
      </c>
      <c r="E695" s="225">
        <f>+VLOOKUP(Table28[[#This Row],[DESCRIPCIÓN ]],INSUMOS!A:D,3,FALSE)</f>
        <v>15458.14</v>
      </c>
      <c r="F695" s="225">
        <f>+Table28[[#This Row],[CANTIDAD]]*Table28[[#This Row],[VALOR UNITARIO]]</f>
        <v>0</v>
      </c>
    </row>
    <row r="696" spans="1:6" s="193" customFormat="1" ht="28.8" hidden="1" x14ac:dyDescent="0.3">
      <c r="A696" s="193">
        <v>588</v>
      </c>
      <c r="B696" s="193" t="s">
        <v>726</v>
      </c>
      <c r="C696" s="193" t="s">
        <v>1270</v>
      </c>
      <c r="D696" s="226">
        <f>+ROUNDUP(SUMIFS('MEMORIA CANTIDADES'!E:E,'MEMORIA CANTIDADES'!B:B,Table28[[#This Row],[DESCRIPCIÓN ]],'MEMORIA CANTIDADES'!C:C,Table28[[#This Row],[UNIDAD]]),0)</f>
        <v>0</v>
      </c>
      <c r="E696" s="225">
        <f>+VLOOKUP(Table28[[#This Row],[DESCRIPCIÓN ]],INSUMOS!A:D,3,FALSE)</f>
        <v>27520.87</v>
      </c>
      <c r="F696" s="225">
        <f>+Table28[[#This Row],[CANTIDAD]]*Table28[[#This Row],[VALOR UNITARIO]]</f>
        <v>0</v>
      </c>
    </row>
    <row r="697" spans="1:6" s="193" customFormat="1" hidden="1" x14ac:dyDescent="0.3">
      <c r="A697" s="193">
        <v>589</v>
      </c>
      <c r="B697" s="193" t="s">
        <v>727</v>
      </c>
      <c r="C697" s="193" t="s">
        <v>1270</v>
      </c>
      <c r="D697" s="226">
        <f>+ROUNDUP(SUMIFS('MEMORIA CANTIDADES'!E:E,'MEMORIA CANTIDADES'!B:B,Table28[[#This Row],[DESCRIPCIÓN ]],'MEMORIA CANTIDADES'!C:C,Table28[[#This Row],[UNIDAD]]),0)</f>
        <v>0</v>
      </c>
      <c r="E697" s="225">
        <f>+VLOOKUP(Table28[[#This Row],[DESCRIPCIÓN ]],INSUMOS!A:D,3,FALSE)</f>
        <v>2236.4</v>
      </c>
      <c r="F697" s="225">
        <f>+Table28[[#This Row],[CANTIDAD]]*Table28[[#This Row],[VALOR UNITARIO]]</f>
        <v>0</v>
      </c>
    </row>
    <row r="698" spans="1:6" s="193" customFormat="1" hidden="1" x14ac:dyDescent="0.3">
      <c r="A698" s="193">
        <v>590</v>
      </c>
      <c r="B698" s="193" t="s">
        <v>728</v>
      </c>
      <c r="C698" s="193" t="s">
        <v>1270</v>
      </c>
      <c r="D698" s="226">
        <f>+ROUNDUP(SUMIFS('MEMORIA CANTIDADES'!E:E,'MEMORIA CANTIDADES'!B:B,Table28[[#This Row],[DESCRIPCIÓN ]],'MEMORIA CANTIDADES'!C:C,Table28[[#This Row],[UNIDAD]]),0)</f>
        <v>0</v>
      </c>
      <c r="E698" s="225">
        <f>+VLOOKUP(Table28[[#This Row],[DESCRIPCIÓN ]],INSUMOS!A:D,3,FALSE)</f>
        <v>4190.58</v>
      </c>
      <c r="F698" s="225">
        <f>+Table28[[#This Row],[CANTIDAD]]*Table28[[#This Row],[VALOR UNITARIO]]</f>
        <v>0</v>
      </c>
    </row>
    <row r="699" spans="1:6" s="193" customFormat="1" hidden="1" x14ac:dyDescent="0.3">
      <c r="A699" s="193">
        <v>591</v>
      </c>
      <c r="B699" s="193" t="s">
        <v>729</v>
      </c>
      <c r="C699" s="193" t="s">
        <v>1270</v>
      </c>
      <c r="D699" s="226">
        <f>+ROUNDUP(SUMIFS('MEMORIA CANTIDADES'!E:E,'MEMORIA CANTIDADES'!B:B,Table28[[#This Row],[DESCRIPCIÓN ]],'MEMORIA CANTIDADES'!C:C,Table28[[#This Row],[UNIDAD]]),0)</f>
        <v>0</v>
      </c>
      <c r="E699" s="225">
        <f>+VLOOKUP(Table28[[#This Row],[DESCRIPCIÓN ]],INSUMOS!A:D,3,FALSE)</f>
        <v>10109.040000000001</v>
      </c>
      <c r="F699" s="225">
        <f>+Table28[[#This Row],[CANTIDAD]]*Table28[[#This Row],[VALOR UNITARIO]]</f>
        <v>0</v>
      </c>
    </row>
    <row r="700" spans="1:6" s="193" customFormat="1" hidden="1" x14ac:dyDescent="0.3">
      <c r="A700" s="193">
        <v>592</v>
      </c>
      <c r="B700" s="193" t="s">
        <v>730</v>
      </c>
      <c r="C700" s="193" t="s">
        <v>1270</v>
      </c>
      <c r="D700" s="226">
        <f>+ROUNDUP(SUMIFS('MEMORIA CANTIDADES'!E:E,'MEMORIA CANTIDADES'!B:B,Table28[[#This Row],[DESCRIPCIÓN ]],'MEMORIA CANTIDADES'!C:C,Table28[[#This Row],[UNIDAD]]),0)</f>
        <v>0</v>
      </c>
      <c r="E700" s="225">
        <f>+VLOOKUP(Table28[[#This Row],[DESCRIPCIÓN ]],INSUMOS!A:D,3,FALSE)</f>
        <v>4467.16</v>
      </c>
      <c r="F700" s="225">
        <f>+Table28[[#This Row],[CANTIDAD]]*Table28[[#This Row],[VALOR UNITARIO]]</f>
        <v>0</v>
      </c>
    </row>
    <row r="701" spans="1:6" s="193" customFormat="1" hidden="1" x14ac:dyDescent="0.3">
      <c r="A701" s="193">
        <v>593</v>
      </c>
      <c r="B701" s="193" t="s">
        <v>731</v>
      </c>
      <c r="C701" s="193" t="s">
        <v>1270</v>
      </c>
      <c r="D701" s="226">
        <f>+ROUNDUP(SUMIFS('MEMORIA CANTIDADES'!E:E,'MEMORIA CANTIDADES'!B:B,Table28[[#This Row],[DESCRIPCIÓN ]],'MEMORIA CANTIDADES'!C:C,Table28[[#This Row],[UNIDAD]]),0)</f>
        <v>0</v>
      </c>
      <c r="E701" s="225">
        <f>+VLOOKUP(Table28[[#This Row],[DESCRIPCIÓN ]],INSUMOS!A:D,3,FALSE)</f>
        <v>7999.09</v>
      </c>
      <c r="F701" s="225">
        <f>+Table28[[#This Row],[CANTIDAD]]*Table28[[#This Row],[VALOR UNITARIO]]</f>
        <v>0</v>
      </c>
    </row>
    <row r="702" spans="1:6" s="193" customFormat="1" hidden="1" x14ac:dyDescent="0.3">
      <c r="A702" s="193">
        <v>594</v>
      </c>
      <c r="B702" s="193" t="s">
        <v>732</v>
      </c>
      <c r="C702" s="193" t="s">
        <v>1270</v>
      </c>
      <c r="D702" s="226">
        <f>+ROUNDUP(SUMIFS('MEMORIA CANTIDADES'!E:E,'MEMORIA CANTIDADES'!B:B,Table28[[#This Row],[DESCRIPCIÓN ]],'MEMORIA CANTIDADES'!C:C,Table28[[#This Row],[UNIDAD]]),0)</f>
        <v>0</v>
      </c>
      <c r="E702" s="225">
        <f>+VLOOKUP(Table28[[#This Row],[DESCRIPCIÓN ]],INSUMOS!A:D,3,FALSE)</f>
        <v>3134.77</v>
      </c>
      <c r="F702" s="225">
        <f>+Table28[[#This Row],[CANTIDAD]]*Table28[[#This Row],[VALOR UNITARIO]]</f>
        <v>0</v>
      </c>
    </row>
    <row r="703" spans="1:6" s="193" customFormat="1" hidden="1" x14ac:dyDescent="0.3">
      <c r="A703" s="193">
        <v>595</v>
      </c>
      <c r="B703" s="193" t="s">
        <v>733</v>
      </c>
      <c r="C703" s="193" t="s">
        <v>1270</v>
      </c>
      <c r="D703" s="226">
        <f>+ROUNDUP(SUMIFS('MEMORIA CANTIDADES'!E:E,'MEMORIA CANTIDADES'!B:B,Table28[[#This Row],[DESCRIPCIÓN ]],'MEMORIA CANTIDADES'!C:C,Table28[[#This Row],[UNIDAD]]),0)</f>
        <v>0</v>
      </c>
      <c r="E703" s="225">
        <f>+VLOOKUP(Table28[[#This Row],[DESCRIPCIÓN ]],INSUMOS!A:D,3,FALSE)</f>
        <v>6835.18</v>
      </c>
      <c r="F703" s="225">
        <f>+Table28[[#This Row],[CANTIDAD]]*Table28[[#This Row],[VALOR UNITARIO]]</f>
        <v>0</v>
      </c>
    </row>
    <row r="704" spans="1:6" s="193" customFormat="1" ht="28.8" hidden="1" x14ac:dyDescent="0.3">
      <c r="A704" s="193">
        <v>10</v>
      </c>
      <c r="B704" s="193" t="s">
        <v>734</v>
      </c>
      <c r="C704" s="193" t="s">
        <v>1274</v>
      </c>
      <c r="D704" s="226">
        <f>+ROUNDUP(SUMIFS('MEMORIA CANTIDADES'!E:E,'MEMORIA CANTIDADES'!B:B,Table28[[#This Row],[DESCRIPCIÓN ]],'MEMORIA CANTIDADES'!C:C,Table28[[#This Row],[UNIDAD]]),0)</f>
        <v>0</v>
      </c>
      <c r="E704" s="225">
        <f>+VLOOKUP(Table28[[#This Row],[DESCRIPCIÓN ]],INSUMOS!A:D,3,FALSE)</f>
        <v>322255.45</v>
      </c>
      <c r="F704" s="225">
        <f>+Table28[[#This Row],[CANTIDAD]]*Table28[[#This Row],[VALOR UNITARIO]]</f>
        <v>0</v>
      </c>
    </row>
    <row r="705" spans="1:6" s="193" customFormat="1" ht="28.8" hidden="1" x14ac:dyDescent="0.3">
      <c r="A705" s="193">
        <v>129</v>
      </c>
      <c r="B705" s="193" t="s">
        <v>735</v>
      </c>
      <c r="C705" s="193" t="s">
        <v>1270</v>
      </c>
      <c r="D705" s="226">
        <f>+ROUNDUP(SUMIFS('MEMORIA CANTIDADES'!E:E,'MEMORIA CANTIDADES'!B:B,Table28[[#This Row],[DESCRIPCIÓN ]],'MEMORIA CANTIDADES'!C:C,Table28[[#This Row],[UNIDAD]]),0)</f>
        <v>0</v>
      </c>
      <c r="E705" s="225">
        <f>+VLOOKUP(Table28[[#This Row],[DESCRIPCIÓN ]],INSUMOS!A:D,3,FALSE)</f>
        <v>89229.7</v>
      </c>
      <c r="F705" s="225">
        <f>+Table28[[#This Row],[CANTIDAD]]*Table28[[#This Row],[VALOR UNITARIO]]</f>
        <v>0</v>
      </c>
    </row>
    <row r="706" spans="1:6" s="193" customFormat="1" ht="28.8" hidden="1" x14ac:dyDescent="0.3">
      <c r="A706" s="193">
        <v>130</v>
      </c>
      <c r="B706" s="193" t="s">
        <v>736</v>
      </c>
      <c r="C706" s="193" t="s">
        <v>1270</v>
      </c>
      <c r="D706" s="226">
        <f>+ROUNDUP(SUMIFS('MEMORIA CANTIDADES'!E:E,'MEMORIA CANTIDADES'!B:B,Table28[[#This Row],[DESCRIPCIÓN ]],'MEMORIA CANTIDADES'!C:C,Table28[[#This Row],[UNIDAD]]),0)</f>
        <v>0</v>
      </c>
      <c r="E706" s="225">
        <f>+VLOOKUP(Table28[[#This Row],[DESCRIPCIÓN ]],INSUMOS!A:D,3,FALSE)</f>
        <v>134084.09</v>
      </c>
      <c r="F706" s="225">
        <f>+Table28[[#This Row],[CANTIDAD]]*Table28[[#This Row],[VALOR UNITARIO]]</f>
        <v>0</v>
      </c>
    </row>
    <row r="707" spans="1:6" s="193" customFormat="1" hidden="1" x14ac:dyDescent="0.3">
      <c r="A707" s="193">
        <v>131</v>
      </c>
      <c r="B707" s="193" t="s">
        <v>737</v>
      </c>
      <c r="C707" s="193" t="s">
        <v>1270</v>
      </c>
      <c r="D707" s="226">
        <f>+ROUNDUP(SUMIFS('MEMORIA CANTIDADES'!E:E,'MEMORIA CANTIDADES'!B:B,Table28[[#This Row],[DESCRIPCIÓN ]],'MEMORIA CANTIDADES'!C:C,Table28[[#This Row],[UNIDAD]]),0)</f>
        <v>0</v>
      </c>
      <c r="E707" s="225">
        <f>+VLOOKUP(Table28[[#This Row],[DESCRIPCIÓN ]],INSUMOS!A:D,3,FALSE)</f>
        <v>44096.57</v>
      </c>
      <c r="F707" s="225">
        <f>+Table28[[#This Row],[CANTIDAD]]*Table28[[#This Row],[VALOR UNITARIO]]</f>
        <v>0</v>
      </c>
    </row>
    <row r="708" spans="1:6" s="193" customFormat="1" hidden="1" x14ac:dyDescent="0.3">
      <c r="A708" s="193">
        <v>132</v>
      </c>
      <c r="B708" s="193" t="s">
        <v>738</v>
      </c>
      <c r="C708" s="193" t="s">
        <v>1270</v>
      </c>
      <c r="D708" s="226">
        <f>+ROUNDUP(SUMIFS('MEMORIA CANTIDADES'!E:E,'MEMORIA CANTIDADES'!B:B,Table28[[#This Row],[DESCRIPCIÓN ]],'MEMORIA CANTIDADES'!C:C,Table28[[#This Row],[UNIDAD]]),0)</f>
        <v>0</v>
      </c>
      <c r="E708" s="225">
        <f>+VLOOKUP(Table28[[#This Row],[DESCRIPCIÓN ]],INSUMOS!A:D,3,FALSE)</f>
        <v>59604.22</v>
      </c>
      <c r="F708" s="225">
        <f>+Table28[[#This Row],[CANTIDAD]]*Table28[[#This Row],[VALOR UNITARIO]]</f>
        <v>0</v>
      </c>
    </row>
    <row r="709" spans="1:6" s="193" customFormat="1" ht="28.8" hidden="1" x14ac:dyDescent="0.3">
      <c r="A709" s="193">
        <v>138</v>
      </c>
      <c r="B709" s="193" t="s">
        <v>739</v>
      </c>
      <c r="C709" s="193" t="s">
        <v>55</v>
      </c>
      <c r="D709" s="226">
        <f>+ROUNDUP(SUMIFS('MEMORIA CANTIDADES'!E:E,'MEMORIA CANTIDADES'!B:B,Table28[[#This Row],[DESCRIPCIÓN ]],'MEMORIA CANTIDADES'!C:C,Table28[[#This Row],[UNIDAD]]),0)</f>
        <v>0</v>
      </c>
      <c r="E709" s="225">
        <f>+VLOOKUP(Table28[[#This Row],[DESCRIPCIÓN ]],INSUMOS!A:D,3,FALSE)</f>
        <v>254910.11</v>
      </c>
      <c r="F709" s="225">
        <f>+Table28[[#This Row],[CANTIDAD]]*Table28[[#This Row],[VALOR UNITARIO]]</f>
        <v>0</v>
      </c>
    </row>
    <row r="710" spans="1:6" s="193" customFormat="1" hidden="1" x14ac:dyDescent="0.3">
      <c r="A710" s="193">
        <v>596</v>
      </c>
      <c r="B710" s="193" t="s">
        <v>740</v>
      </c>
      <c r="C710" s="193" t="s">
        <v>55</v>
      </c>
      <c r="D710" s="226">
        <f>+ROUNDUP(SUMIFS('MEMORIA CANTIDADES'!E:E,'MEMORIA CANTIDADES'!B:B,Table28[[#This Row],[DESCRIPCIÓN ]],'MEMORIA CANTIDADES'!C:C,Table28[[#This Row],[UNIDAD]]),0)</f>
        <v>0</v>
      </c>
      <c r="E710" s="225">
        <f>+VLOOKUP(Table28[[#This Row],[DESCRIPCIÓN ]],INSUMOS!A:D,3,FALSE)</f>
        <v>57195.16</v>
      </c>
      <c r="F710" s="225">
        <f>+Table28[[#This Row],[CANTIDAD]]*Table28[[#This Row],[VALOR UNITARIO]]</f>
        <v>0</v>
      </c>
    </row>
    <row r="711" spans="1:6" s="193" customFormat="1" hidden="1" x14ac:dyDescent="0.3">
      <c r="A711" s="193">
        <v>815</v>
      </c>
      <c r="B711" s="193" t="s">
        <v>741</v>
      </c>
      <c r="C711" s="193" t="s">
        <v>1276</v>
      </c>
      <c r="D711" s="226">
        <f>+ROUNDUP(SUMIFS('MEMORIA CANTIDADES'!E:E,'MEMORIA CANTIDADES'!B:B,Table28[[#This Row],[DESCRIPCIÓN ]],'MEMORIA CANTIDADES'!C:C,Table28[[#This Row],[UNIDAD]]),0)</f>
        <v>0</v>
      </c>
      <c r="E711" s="225">
        <f>+VLOOKUP(Table28[[#This Row],[DESCRIPCIÓN ]],INSUMOS!A:D,3,FALSE)</f>
        <v>52822.78</v>
      </c>
      <c r="F711" s="225">
        <f>+Table28[[#This Row],[CANTIDAD]]*Table28[[#This Row],[VALOR UNITARIO]]</f>
        <v>0</v>
      </c>
    </row>
    <row r="712" spans="1:6" s="193" customFormat="1" hidden="1" x14ac:dyDescent="0.3">
      <c r="A712" s="193">
        <v>816</v>
      </c>
      <c r="B712" s="193" t="s">
        <v>742</v>
      </c>
      <c r="C712" s="193" t="s">
        <v>1276</v>
      </c>
      <c r="D712" s="226">
        <f>+ROUNDUP(SUMIFS('MEMORIA CANTIDADES'!E:E,'MEMORIA CANTIDADES'!B:B,Table28[[#This Row],[DESCRIPCIÓN ]],'MEMORIA CANTIDADES'!C:C,Table28[[#This Row],[UNIDAD]]),0)</f>
        <v>0</v>
      </c>
      <c r="E712" s="225">
        <f>+VLOOKUP(Table28[[#This Row],[DESCRIPCIÓN ]],INSUMOS!A:D,3,FALSE)</f>
        <v>22575.79</v>
      </c>
      <c r="F712" s="225">
        <f>+Table28[[#This Row],[CANTIDAD]]*Table28[[#This Row],[VALOR UNITARIO]]</f>
        <v>0</v>
      </c>
    </row>
    <row r="713" spans="1:6" s="193" customFormat="1" hidden="1" x14ac:dyDescent="0.3">
      <c r="A713" s="193">
        <v>739</v>
      </c>
      <c r="B713" s="193" t="s">
        <v>743</v>
      </c>
      <c r="C713" s="193" t="s">
        <v>1278</v>
      </c>
      <c r="D713" s="226">
        <f>+ROUNDUP(SUMIFS('MEMORIA CANTIDADES'!E:E,'MEMORIA CANTIDADES'!B:B,Table28[[#This Row],[DESCRIPCIÓN ]],'MEMORIA CANTIDADES'!C:C,Table28[[#This Row],[UNIDAD]]),0)</f>
        <v>0</v>
      </c>
      <c r="E713" s="225">
        <f>+VLOOKUP(Table28[[#This Row],[DESCRIPCIÓN ]],INSUMOS!A:D,3,FALSE)</f>
        <v>14396.69</v>
      </c>
      <c r="F713" s="225">
        <f>+Table28[[#This Row],[CANTIDAD]]*Table28[[#This Row],[VALOR UNITARIO]]</f>
        <v>0</v>
      </c>
    </row>
    <row r="714" spans="1:6" s="193" customFormat="1" ht="28.8" hidden="1" x14ac:dyDescent="0.3">
      <c r="A714" s="193">
        <v>817</v>
      </c>
      <c r="B714" s="193" t="s">
        <v>744</v>
      </c>
      <c r="C714" s="193" t="s">
        <v>2145</v>
      </c>
      <c r="D714" s="226">
        <f>+ROUNDUP(SUMIFS('MEMORIA CANTIDADES'!E:E,'MEMORIA CANTIDADES'!B:B,Table28[[#This Row],[DESCRIPCIÓN ]],'MEMORIA CANTIDADES'!C:C,Table28[[#This Row],[UNIDAD]]),0)</f>
        <v>0</v>
      </c>
      <c r="E714" s="225" t="e">
        <f>+VLOOKUP(Table28[[#This Row],[DESCRIPCIÓN ]],INSUMOS!A:D,3,FALSE)</f>
        <v>#N/A</v>
      </c>
      <c r="F714" s="225" t="e">
        <f>+Table28[[#This Row],[CANTIDAD]]*Table28[[#This Row],[VALOR UNITARIO]]</f>
        <v>#N/A</v>
      </c>
    </row>
    <row r="715" spans="1:6" s="193" customFormat="1" hidden="1" x14ac:dyDescent="0.3">
      <c r="A715" s="193">
        <v>14</v>
      </c>
      <c r="B715" s="193" t="s">
        <v>745</v>
      </c>
      <c r="C715" s="193" t="s">
        <v>2145</v>
      </c>
      <c r="D715" s="226">
        <f>+ROUNDUP(SUMIFS('MEMORIA CANTIDADES'!E:E,'MEMORIA CANTIDADES'!B:B,Table28[[#This Row],[DESCRIPCIÓN ]],'MEMORIA CANTIDADES'!C:C,Table28[[#This Row],[UNIDAD]]),0)</f>
        <v>0</v>
      </c>
      <c r="E715" s="225">
        <f>+VLOOKUP(Table28[[#This Row],[DESCRIPCIÓN ]],INSUMOS!A:D,3,FALSE)</f>
        <v>12761.29</v>
      </c>
      <c r="F715" s="225">
        <f>+Table28[[#This Row],[CANTIDAD]]*Table28[[#This Row],[VALOR UNITARIO]]</f>
        <v>0</v>
      </c>
    </row>
    <row r="716" spans="1:6" s="193" customFormat="1" hidden="1" x14ac:dyDescent="0.3">
      <c r="A716" s="193">
        <v>15</v>
      </c>
      <c r="B716" s="193" t="s">
        <v>746</v>
      </c>
      <c r="C716" s="193" t="s">
        <v>2145</v>
      </c>
      <c r="D716" s="226">
        <f>+ROUNDUP(SUMIFS('MEMORIA CANTIDADES'!E:E,'MEMORIA CANTIDADES'!B:B,Table28[[#This Row],[DESCRIPCIÓN ]],'MEMORIA CANTIDADES'!C:C,Table28[[#This Row],[UNIDAD]]),0)</f>
        <v>0</v>
      </c>
      <c r="E716" s="225">
        <f>+VLOOKUP(Table28[[#This Row],[DESCRIPCIÓN ]],INSUMOS!A:D,3,FALSE)</f>
        <v>1194.3</v>
      </c>
      <c r="F716" s="225">
        <f>+Table28[[#This Row],[CANTIDAD]]*Table28[[#This Row],[VALOR UNITARIO]]</f>
        <v>0</v>
      </c>
    </row>
    <row r="717" spans="1:6" s="193" customFormat="1" hidden="1" x14ac:dyDescent="0.3">
      <c r="A717" s="193">
        <v>16</v>
      </c>
      <c r="B717" s="193" t="s">
        <v>747</v>
      </c>
      <c r="C717" s="193" t="s">
        <v>2145</v>
      </c>
      <c r="D717" s="226">
        <f>+ROUNDUP(SUMIFS('MEMORIA CANTIDADES'!E:E,'MEMORIA CANTIDADES'!B:B,Table28[[#This Row],[DESCRIPCIÓN ]],'MEMORIA CANTIDADES'!C:C,Table28[[#This Row],[UNIDAD]]),0)</f>
        <v>0</v>
      </c>
      <c r="E717" s="225">
        <f>+VLOOKUP(Table28[[#This Row],[DESCRIPCIÓN ]],INSUMOS!A:D,3,FALSE)</f>
        <v>1807.33</v>
      </c>
      <c r="F717" s="225">
        <f>+Table28[[#This Row],[CANTIDAD]]*Table28[[#This Row],[VALOR UNITARIO]]</f>
        <v>0</v>
      </c>
    </row>
    <row r="718" spans="1:6" s="193" customFormat="1" hidden="1" x14ac:dyDescent="0.3">
      <c r="A718" s="193">
        <v>1186</v>
      </c>
      <c r="B718" s="193" t="s">
        <v>748</v>
      </c>
      <c r="C718" s="193" t="s">
        <v>55</v>
      </c>
      <c r="D718" s="226">
        <f>+ROUNDUP(SUMIFS('MEMORIA CANTIDADES'!E:E,'MEMORIA CANTIDADES'!B:B,Table28[[#This Row],[DESCRIPCIÓN ]],'MEMORIA CANTIDADES'!C:C,Table28[[#This Row],[UNIDAD]]),0)</f>
        <v>0</v>
      </c>
      <c r="E718" s="225">
        <f>+VLOOKUP(Table28[[#This Row],[DESCRIPCIÓN ]],INSUMOS!A:D,3,FALSE)</f>
        <v>12103.74</v>
      </c>
      <c r="F718" s="225">
        <f>+Table28[[#This Row],[CANTIDAD]]*Table28[[#This Row],[VALOR UNITARIO]]</f>
        <v>0</v>
      </c>
    </row>
    <row r="719" spans="1:6" s="193" customFormat="1" hidden="1" x14ac:dyDescent="0.3">
      <c r="A719" s="193">
        <v>1187</v>
      </c>
      <c r="B719" s="193" t="s">
        <v>749</v>
      </c>
      <c r="C719" s="193" t="s">
        <v>55</v>
      </c>
      <c r="D719" s="226">
        <f>+ROUNDUP(SUMIFS('MEMORIA CANTIDADES'!E:E,'MEMORIA CANTIDADES'!B:B,Table28[[#This Row],[DESCRIPCIÓN ]],'MEMORIA CANTIDADES'!C:C,Table28[[#This Row],[UNIDAD]]),0)</f>
        <v>0</v>
      </c>
      <c r="E719" s="225">
        <f>+VLOOKUP(Table28[[#This Row],[DESCRIPCIÓN ]],INSUMOS!A:D,3,FALSE)</f>
        <v>8479.93</v>
      </c>
      <c r="F719" s="225">
        <f>+Table28[[#This Row],[CANTIDAD]]*Table28[[#This Row],[VALOR UNITARIO]]</f>
        <v>0</v>
      </c>
    </row>
    <row r="720" spans="1:6" s="193" customFormat="1" hidden="1" x14ac:dyDescent="0.3">
      <c r="A720" s="193">
        <v>1188</v>
      </c>
      <c r="B720" s="193" t="s">
        <v>750</v>
      </c>
      <c r="C720" s="193" t="s">
        <v>55</v>
      </c>
      <c r="D720" s="226">
        <f>+ROUNDUP(SUMIFS('MEMORIA CANTIDADES'!E:E,'MEMORIA CANTIDADES'!B:B,Table28[[#This Row],[DESCRIPCIÓN ]],'MEMORIA CANTIDADES'!C:C,Table28[[#This Row],[UNIDAD]]),0)</f>
        <v>0</v>
      </c>
      <c r="E720" s="225">
        <f>+VLOOKUP(Table28[[#This Row],[DESCRIPCIÓN ]],INSUMOS!A:D,3,FALSE)</f>
        <v>9463.76</v>
      </c>
      <c r="F720" s="225">
        <f>+Table28[[#This Row],[CANTIDAD]]*Table28[[#This Row],[VALOR UNITARIO]]</f>
        <v>0</v>
      </c>
    </row>
    <row r="721" spans="1:6" s="193" customFormat="1" hidden="1" x14ac:dyDescent="0.3">
      <c r="A721" s="193">
        <v>1189</v>
      </c>
      <c r="B721" s="193" t="s">
        <v>751</v>
      </c>
      <c r="C721" s="193" t="s">
        <v>55</v>
      </c>
      <c r="D721" s="226">
        <f>+ROUNDUP(SUMIFS('MEMORIA CANTIDADES'!E:E,'MEMORIA CANTIDADES'!B:B,Table28[[#This Row],[DESCRIPCIÓN ]],'MEMORIA CANTIDADES'!C:C,Table28[[#This Row],[UNIDAD]]),0)</f>
        <v>0</v>
      </c>
      <c r="E721" s="225">
        <f>+VLOOKUP(Table28[[#This Row],[DESCRIPCIÓN ]],INSUMOS!A:D,3,FALSE)</f>
        <v>8001.21</v>
      </c>
      <c r="F721" s="225">
        <f>+Table28[[#This Row],[CANTIDAD]]*Table28[[#This Row],[VALOR UNITARIO]]</f>
        <v>0</v>
      </c>
    </row>
    <row r="722" spans="1:6" s="193" customFormat="1" hidden="1" x14ac:dyDescent="0.3">
      <c r="A722" s="193">
        <v>1190</v>
      </c>
      <c r="B722" s="193" t="s">
        <v>752</v>
      </c>
      <c r="C722" s="193" t="s">
        <v>55</v>
      </c>
      <c r="D722" s="226">
        <f>+ROUNDUP(SUMIFS('MEMORIA CANTIDADES'!E:E,'MEMORIA CANTIDADES'!B:B,Table28[[#This Row],[DESCRIPCIÓN ]],'MEMORIA CANTIDADES'!C:C,Table28[[#This Row],[UNIDAD]]),0)</f>
        <v>0</v>
      </c>
      <c r="E722" s="225">
        <f>+VLOOKUP(Table28[[#This Row],[DESCRIPCIÓN ]],INSUMOS!A:D,3,FALSE)</f>
        <v>11802.1</v>
      </c>
      <c r="F722" s="225">
        <f>+Table28[[#This Row],[CANTIDAD]]*Table28[[#This Row],[VALOR UNITARIO]]</f>
        <v>0</v>
      </c>
    </row>
    <row r="723" spans="1:6" s="193" customFormat="1" hidden="1" x14ac:dyDescent="0.3">
      <c r="A723" s="193">
        <v>1191</v>
      </c>
      <c r="B723" s="193" t="s">
        <v>753</v>
      </c>
      <c r="C723" s="193" t="s">
        <v>55</v>
      </c>
      <c r="D723" s="226">
        <f>+ROUNDUP(SUMIFS('MEMORIA CANTIDADES'!E:E,'MEMORIA CANTIDADES'!B:B,Table28[[#This Row],[DESCRIPCIÓN ]],'MEMORIA CANTIDADES'!C:C,Table28[[#This Row],[UNIDAD]]),0)</f>
        <v>0</v>
      </c>
      <c r="E723" s="225">
        <f>+VLOOKUP(Table28[[#This Row],[DESCRIPCIÓN ]],INSUMOS!A:D,3,FALSE)</f>
        <v>3155.34</v>
      </c>
      <c r="F723" s="225">
        <f>+Table28[[#This Row],[CANTIDAD]]*Table28[[#This Row],[VALOR UNITARIO]]</f>
        <v>0</v>
      </c>
    </row>
    <row r="724" spans="1:6" s="193" customFormat="1" hidden="1" x14ac:dyDescent="0.3">
      <c r="A724" s="193">
        <v>1192</v>
      </c>
      <c r="B724" s="193" t="s">
        <v>754</v>
      </c>
      <c r="C724" s="193" t="s">
        <v>55</v>
      </c>
      <c r="D724" s="226">
        <f>+ROUNDUP(SUMIFS('MEMORIA CANTIDADES'!E:E,'MEMORIA CANTIDADES'!B:B,Table28[[#This Row],[DESCRIPCIÓN ]],'MEMORIA CANTIDADES'!C:C,Table28[[#This Row],[UNIDAD]]),0)</f>
        <v>0</v>
      </c>
      <c r="E724" s="225">
        <f>+VLOOKUP(Table28[[#This Row],[DESCRIPCIÓN ]],INSUMOS!A:D,3,FALSE)</f>
        <v>3423.98</v>
      </c>
      <c r="F724" s="225">
        <f>+Table28[[#This Row],[CANTIDAD]]*Table28[[#This Row],[VALOR UNITARIO]]</f>
        <v>0</v>
      </c>
    </row>
    <row r="725" spans="1:6" s="193" customFormat="1" hidden="1" x14ac:dyDescent="0.3">
      <c r="A725" s="193">
        <v>1193</v>
      </c>
      <c r="B725" s="193" t="s">
        <v>755</v>
      </c>
      <c r="C725" s="193" t="s">
        <v>55</v>
      </c>
      <c r="D725" s="226">
        <f>+ROUNDUP(SUMIFS('MEMORIA CANTIDADES'!E:E,'MEMORIA CANTIDADES'!B:B,Table28[[#This Row],[DESCRIPCIÓN ]],'MEMORIA CANTIDADES'!C:C,Table28[[#This Row],[UNIDAD]]),0)</f>
        <v>0</v>
      </c>
      <c r="E725" s="225">
        <f>+VLOOKUP(Table28[[#This Row],[DESCRIPCIÓN ]],INSUMOS!A:D,3,FALSE)</f>
        <v>3739.97</v>
      </c>
      <c r="F725" s="225">
        <f>+Table28[[#This Row],[CANTIDAD]]*Table28[[#This Row],[VALOR UNITARIO]]</f>
        <v>0</v>
      </c>
    </row>
    <row r="726" spans="1:6" s="193" customFormat="1" hidden="1" x14ac:dyDescent="0.3">
      <c r="A726" s="193">
        <v>1194</v>
      </c>
      <c r="B726" s="193" t="s">
        <v>756</v>
      </c>
      <c r="C726" s="193" t="s">
        <v>55</v>
      </c>
      <c r="D726" s="226">
        <f>+ROUNDUP(SUMIFS('MEMORIA CANTIDADES'!E:E,'MEMORIA CANTIDADES'!B:B,Table28[[#This Row],[DESCRIPCIÓN ]],'MEMORIA CANTIDADES'!C:C,Table28[[#This Row],[UNIDAD]]),0)</f>
        <v>0</v>
      </c>
      <c r="E726" s="225">
        <f>+VLOOKUP(Table28[[#This Row],[DESCRIPCIÓN ]],INSUMOS!A:D,3,FALSE)</f>
        <v>4392.67</v>
      </c>
      <c r="F726" s="225">
        <f>+Table28[[#This Row],[CANTIDAD]]*Table28[[#This Row],[VALOR UNITARIO]]</f>
        <v>0</v>
      </c>
    </row>
    <row r="727" spans="1:6" s="193" customFormat="1" hidden="1" x14ac:dyDescent="0.3">
      <c r="A727" s="193">
        <v>1195</v>
      </c>
      <c r="B727" s="193" t="s">
        <v>757</v>
      </c>
      <c r="C727" s="193" t="s">
        <v>55</v>
      </c>
      <c r="D727" s="226">
        <f>+ROUNDUP(SUMIFS('MEMORIA CANTIDADES'!E:E,'MEMORIA CANTIDADES'!B:B,Table28[[#This Row],[DESCRIPCIÓN ]],'MEMORIA CANTIDADES'!C:C,Table28[[#This Row],[UNIDAD]]),0)</f>
        <v>0</v>
      </c>
      <c r="E727" s="225">
        <f>+VLOOKUP(Table28[[#This Row],[DESCRIPCIÓN ]],INSUMOS!A:D,3,FALSE)</f>
        <v>4779.29</v>
      </c>
      <c r="F727" s="225">
        <f>+Table28[[#This Row],[CANTIDAD]]*Table28[[#This Row],[VALOR UNITARIO]]</f>
        <v>0</v>
      </c>
    </row>
    <row r="728" spans="1:6" s="193" customFormat="1" hidden="1" x14ac:dyDescent="0.3">
      <c r="A728" s="193">
        <v>1196</v>
      </c>
      <c r="B728" s="193" t="s">
        <v>758</v>
      </c>
      <c r="C728" s="193" t="s">
        <v>55</v>
      </c>
      <c r="D728" s="226">
        <f>+ROUNDUP(SUMIFS('MEMORIA CANTIDADES'!E:E,'MEMORIA CANTIDADES'!B:B,Table28[[#This Row],[DESCRIPCIÓN ]],'MEMORIA CANTIDADES'!C:C,Table28[[#This Row],[UNIDAD]]),0)</f>
        <v>0</v>
      </c>
      <c r="E728" s="225">
        <f>+VLOOKUP(Table28[[#This Row],[DESCRIPCIÓN ]],INSUMOS!A:D,3,FALSE)</f>
        <v>8637.25</v>
      </c>
      <c r="F728" s="225">
        <f>+Table28[[#This Row],[CANTIDAD]]*Table28[[#This Row],[VALOR UNITARIO]]</f>
        <v>0</v>
      </c>
    </row>
    <row r="729" spans="1:6" s="193" customFormat="1" hidden="1" x14ac:dyDescent="0.3">
      <c r="A729" s="193">
        <v>1197</v>
      </c>
      <c r="B729" s="193" t="s">
        <v>759</v>
      </c>
      <c r="C729" s="193" t="s">
        <v>55</v>
      </c>
      <c r="D729" s="226">
        <f>+ROUNDUP(SUMIFS('MEMORIA CANTIDADES'!E:E,'MEMORIA CANTIDADES'!B:B,Table28[[#This Row],[DESCRIPCIÓN ]],'MEMORIA CANTIDADES'!C:C,Table28[[#This Row],[UNIDAD]]),0)</f>
        <v>0</v>
      </c>
      <c r="E729" s="225">
        <f>+VLOOKUP(Table28[[#This Row],[DESCRIPCIÓN ]],INSUMOS!A:D,3,FALSE)</f>
        <v>6291.33</v>
      </c>
      <c r="F729" s="225">
        <f>+Table28[[#This Row],[CANTIDAD]]*Table28[[#This Row],[VALOR UNITARIO]]</f>
        <v>0</v>
      </c>
    </row>
    <row r="730" spans="1:6" s="193" customFormat="1" ht="28.8" hidden="1" x14ac:dyDescent="0.3">
      <c r="A730" s="193">
        <v>1040</v>
      </c>
      <c r="B730" s="193" t="s">
        <v>760</v>
      </c>
      <c r="C730" s="193" t="s">
        <v>55</v>
      </c>
      <c r="D730" s="226">
        <f>+ROUNDUP(SUMIFS('MEMORIA CANTIDADES'!E:E,'MEMORIA CANTIDADES'!B:B,Table28[[#This Row],[DESCRIPCIÓN ]],'MEMORIA CANTIDADES'!C:C,Table28[[#This Row],[UNIDAD]]),0)</f>
        <v>0</v>
      </c>
      <c r="E730" s="225">
        <f>+VLOOKUP(Table28[[#This Row],[DESCRIPCIÓN ]],INSUMOS!A:D,3,FALSE)</f>
        <v>1441.55</v>
      </c>
      <c r="F730" s="225">
        <f>+Table28[[#This Row],[CANTIDAD]]*Table28[[#This Row],[VALOR UNITARIO]]</f>
        <v>0</v>
      </c>
    </row>
    <row r="731" spans="1:6" s="193" customFormat="1" hidden="1" x14ac:dyDescent="0.3">
      <c r="A731" s="193">
        <v>818</v>
      </c>
      <c r="B731" s="193" t="s">
        <v>761</v>
      </c>
      <c r="C731" s="193" t="s">
        <v>55</v>
      </c>
      <c r="D731" s="226">
        <f>+ROUNDUP(SUMIFS('MEMORIA CANTIDADES'!E:E,'MEMORIA CANTIDADES'!B:B,Table28[[#This Row],[DESCRIPCIÓN ]],'MEMORIA CANTIDADES'!C:C,Table28[[#This Row],[UNIDAD]]),0)</f>
        <v>0</v>
      </c>
      <c r="E731" s="225" t="e">
        <f>+VLOOKUP(Table28[[#This Row],[DESCRIPCIÓN ]],INSUMOS!A:D,3,FALSE)</f>
        <v>#N/A</v>
      </c>
      <c r="F731" s="225" t="e">
        <f>+Table28[[#This Row],[CANTIDAD]]*Table28[[#This Row],[VALOR UNITARIO]]</f>
        <v>#N/A</v>
      </c>
    </row>
    <row r="732" spans="1:6" s="193" customFormat="1" hidden="1" x14ac:dyDescent="0.3">
      <c r="A732" s="193">
        <v>819</v>
      </c>
      <c r="B732" s="193" t="s">
        <v>762</v>
      </c>
      <c r="C732" s="193" t="s">
        <v>55</v>
      </c>
      <c r="D732" s="226">
        <f>+ROUNDUP(SUMIFS('MEMORIA CANTIDADES'!E:E,'MEMORIA CANTIDADES'!B:B,Table28[[#This Row],[DESCRIPCIÓN ]],'MEMORIA CANTIDADES'!C:C,Table28[[#This Row],[UNIDAD]]),0)</f>
        <v>0</v>
      </c>
      <c r="E732" s="225" t="e">
        <f>+VLOOKUP(Table28[[#This Row],[DESCRIPCIÓN ]],INSUMOS!A:D,3,FALSE)</f>
        <v>#N/A</v>
      </c>
      <c r="F732" s="225" t="e">
        <f>+Table28[[#This Row],[CANTIDAD]]*Table28[[#This Row],[VALOR UNITARIO]]</f>
        <v>#N/A</v>
      </c>
    </row>
    <row r="733" spans="1:6" s="193" customFormat="1" hidden="1" x14ac:dyDescent="0.3">
      <c r="A733" s="193">
        <v>408</v>
      </c>
      <c r="B733" s="193" t="s">
        <v>763</v>
      </c>
      <c r="C733" s="193" t="s">
        <v>1270</v>
      </c>
      <c r="D733" s="226">
        <f>+ROUNDUP(SUMIFS('MEMORIA CANTIDADES'!E:E,'MEMORIA CANTIDADES'!B:B,Table28[[#This Row],[DESCRIPCIÓN ]],'MEMORIA CANTIDADES'!C:C,Table28[[#This Row],[UNIDAD]]),0)</f>
        <v>0</v>
      </c>
      <c r="E733" s="225">
        <f>+VLOOKUP(Table28[[#This Row],[DESCRIPCIÓN ]],INSUMOS!A:D,3,FALSE)</f>
        <v>14545.88</v>
      </c>
      <c r="F733" s="225">
        <f>+Table28[[#This Row],[CANTIDAD]]*Table28[[#This Row],[VALOR UNITARIO]]</f>
        <v>0</v>
      </c>
    </row>
    <row r="734" spans="1:6" s="193" customFormat="1" hidden="1" x14ac:dyDescent="0.3">
      <c r="A734" s="193">
        <v>820</v>
      </c>
      <c r="B734" s="193" t="s">
        <v>764</v>
      </c>
      <c r="C734" s="193" t="s">
        <v>55</v>
      </c>
      <c r="D734" s="226">
        <f>+ROUNDUP(SUMIFS('MEMORIA CANTIDADES'!E:E,'MEMORIA CANTIDADES'!B:B,Table28[[#This Row],[DESCRIPCIÓN ]],'MEMORIA CANTIDADES'!C:C,Table28[[#This Row],[UNIDAD]]),0)</f>
        <v>0</v>
      </c>
      <c r="E734" s="225">
        <f>+VLOOKUP(Table28[[#This Row],[DESCRIPCIÓN ]],INSUMOS!A:D,3,FALSE)</f>
        <v>19526.650000000001</v>
      </c>
      <c r="F734" s="225">
        <f>+Table28[[#This Row],[CANTIDAD]]*Table28[[#This Row],[VALOR UNITARIO]]</f>
        <v>0</v>
      </c>
    </row>
    <row r="735" spans="1:6" s="193" customFormat="1" ht="28.8" hidden="1" x14ac:dyDescent="0.3">
      <c r="A735" s="193">
        <v>849</v>
      </c>
      <c r="B735" s="193" t="s">
        <v>765</v>
      </c>
      <c r="C735" s="193" t="s">
        <v>1276</v>
      </c>
      <c r="D735" s="226">
        <f>+ROUNDUP(SUMIFS('MEMORIA CANTIDADES'!E:E,'MEMORIA CANTIDADES'!B:B,Table28[[#This Row],[DESCRIPCIÓN ]],'MEMORIA CANTIDADES'!C:C,Table28[[#This Row],[UNIDAD]]),0)</f>
        <v>0</v>
      </c>
      <c r="E735" s="225">
        <f>+VLOOKUP(Table28[[#This Row],[DESCRIPCIÓN ]],INSUMOS!A:D,3,FALSE)</f>
        <v>31970.73</v>
      </c>
      <c r="F735" s="225">
        <f>+Table28[[#This Row],[CANTIDAD]]*Table28[[#This Row],[VALOR UNITARIO]]</f>
        <v>0</v>
      </c>
    </row>
    <row r="736" spans="1:6" s="193" customFormat="1" hidden="1" x14ac:dyDescent="0.3">
      <c r="A736" s="193">
        <v>1214</v>
      </c>
      <c r="B736" s="193" t="s">
        <v>766</v>
      </c>
      <c r="C736" s="193" t="s">
        <v>1271</v>
      </c>
      <c r="D736" s="226">
        <f>+ROUNDUP(SUMIFS('MEMORIA CANTIDADES'!E:E,'MEMORIA CANTIDADES'!B:B,Table28[[#This Row],[DESCRIPCIÓN ]],'MEMORIA CANTIDADES'!C:C,Table28[[#This Row],[UNIDAD]]),0)</f>
        <v>0</v>
      </c>
      <c r="E736" s="225">
        <f>+VLOOKUP(Table28[[#This Row],[DESCRIPCIÓN ]],INSUMOS!A:D,3,FALSE)</f>
        <v>909939.8</v>
      </c>
      <c r="F736" s="225">
        <f>+Table28[[#This Row],[CANTIDAD]]*Table28[[#This Row],[VALOR UNITARIO]]</f>
        <v>0</v>
      </c>
    </row>
    <row r="737" spans="1:6" s="193" customFormat="1" hidden="1" x14ac:dyDescent="0.3">
      <c r="A737" s="193">
        <v>821</v>
      </c>
      <c r="B737" s="193" t="s">
        <v>2216</v>
      </c>
      <c r="C737" s="193" t="s">
        <v>2145</v>
      </c>
      <c r="D737" s="226">
        <f>+ROUNDUP(SUMIFS('MEMORIA CANTIDADES'!E:E,'MEMORIA CANTIDADES'!B:B,Table28[[#This Row],[DESCRIPCIÓN ]],'MEMORIA CANTIDADES'!C:C,Table28[[#This Row],[UNIDAD]]),0)</f>
        <v>0</v>
      </c>
      <c r="E737" s="225" t="e">
        <f>+VLOOKUP(Table28[[#This Row],[DESCRIPCIÓN ]],INSUMOS!A:D,3,FALSE)</f>
        <v>#N/A</v>
      </c>
      <c r="F737" s="225" t="e">
        <f>+Table28[[#This Row],[CANTIDAD]]*Table28[[#This Row],[VALOR UNITARIO]]</f>
        <v>#N/A</v>
      </c>
    </row>
    <row r="738" spans="1:6" s="193" customFormat="1" hidden="1" x14ac:dyDescent="0.3">
      <c r="A738" s="193">
        <v>822</v>
      </c>
      <c r="B738" s="193" t="s">
        <v>2217</v>
      </c>
      <c r="C738" s="193" t="s">
        <v>2145</v>
      </c>
      <c r="D738" s="226">
        <f>+ROUNDUP(SUMIFS('MEMORIA CANTIDADES'!E:E,'MEMORIA CANTIDADES'!B:B,Table28[[#This Row],[DESCRIPCIÓN ]],'MEMORIA CANTIDADES'!C:C,Table28[[#This Row],[UNIDAD]]),0)</f>
        <v>0</v>
      </c>
      <c r="E738" s="225" t="e">
        <f>+VLOOKUP(Table28[[#This Row],[DESCRIPCIÓN ]],INSUMOS!A:D,3,FALSE)</f>
        <v>#N/A</v>
      </c>
      <c r="F738" s="225" t="e">
        <f>+Table28[[#This Row],[CANTIDAD]]*Table28[[#This Row],[VALOR UNITARIO]]</f>
        <v>#N/A</v>
      </c>
    </row>
    <row r="739" spans="1:6" s="193" customFormat="1" hidden="1" x14ac:dyDescent="0.3">
      <c r="A739" s="193">
        <v>597</v>
      </c>
      <c r="B739" s="193" t="s">
        <v>767</v>
      </c>
      <c r="C739" s="193" t="s">
        <v>1276</v>
      </c>
      <c r="D739" s="226">
        <f>+ROUNDUP(SUMIFS('MEMORIA CANTIDADES'!E:E,'MEMORIA CANTIDADES'!B:B,Table28[[#This Row],[DESCRIPCIÓN ]],'MEMORIA CANTIDADES'!C:C,Table28[[#This Row],[UNIDAD]]),0)</f>
        <v>0</v>
      </c>
      <c r="E739" s="225">
        <f>+VLOOKUP(Table28[[#This Row],[DESCRIPCIÓN ]],INSUMOS!A:D,3,FALSE)</f>
        <v>168627.65</v>
      </c>
      <c r="F739" s="225">
        <f>+Table28[[#This Row],[CANTIDAD]]*Table28[[#This Row],[VALOR UNITARIO]]</f>
        <v>0</v>
      </c>
    </row>
    <row r="740" spans="1:6" s="193" customFormat="1" hidden="1" x14ac:dyDescent="0.3">
      <c r="A740" s="193">
        <v>823</v>
      </c>
      <c r="B740" s="193" t="s">
        <v>2218</v>
      </c>
      <c r="C740" s="193" t="s">
        <v>2145</v>
      </c>
      <c r="D740" s="226">
        <f>+ROUNDUP(SUMIFS('MEMORIA CANTIDADES'!E:E,'MEMORIA CANTIDADES'!B:B,Table28[[#This Row],[DESCRIPCIÓN ]],'MEMORIA CANTIDADES'!C:C,Table28[[#This Row],[UNIDAD]]),0)</f>
        <v>0</v>
      </c>
      <c r="E740" s="225" t="e">
        <f>+VLOOKUP(Table28[[#This Row],[DESCRIPCIÓN ]],INSUMOS!A:D,3,FALSE)</f>
        <v>#N/A</v>
      </c>
      <c r="F740" s="225" t="e">
        <f>+Table28[[#This Row],[CANTIDAD]]*Table28[[#This Row],[VALOR UNITARIO]]</f>
        <v>#N/A</v>
      </c>
    </row>
    <row r="741" spans="1:6" s="193" customFormat="1" ht="28.8" hidden="1" x14ac:dyDescent="0.3">
      <c r="A741" s="193">
        <v>852</v>
      </c>
      <c r="B741" s="193" t="s">
        <v>768</v>
      </c>
      <c r="C741" s="193" t="s">
        <v>55</v>
      </c>
      <c r="D741" s="226">
        <f>+ROUNDUP(SUMIFS('MEMORIA CANTIDADES'!E:E,'MEMORIA CANTIDADES'!B:B,Table28[[#This Row],[DESCRIPCIÓN ]],'MEMORIA CANTIDADES'!C:C,Table28[[#This Row],[UNIDAD]]),0)</f>
        <v>0</v>
      </c>
      <c r="E741" s="225">
        <f>+VLOOKUP(Table28[[#This Row],[DESCRIPCIÓN ]],INSUMOS!A:D,3,FALSE)</f>
        <v>625190.68999999994</v>
      </c>
      <c r="F741" s="225">
        <f>+Table28[[#This Row],[CANTIDAD]]*Table28[[#This Row],[VALOR UNITARIO]]</f>
        <v>0</v>
      </c>
    </row>
    <row r="742" spans="1:6" s="193" customFormat="1" ht="28.8" hidden="1" x14ac:dyDescent="0.3">
      <c r="A742" s="193">
        <v>824</v>
      </c>
      <c r="B742" s="193" t="s">
        <v>769</v>
      </c>
      <c r="C742" s="193" t="s">
        <v>55</v>
      </c>
      <c r="D742" s="226">
        <f>+ROUNDUP(SUMIFS('MEMORIA CANTIDADES'!E:E,'MEMORIA CANTIDADES'!B:B,Table28[[#This Row],[DESCRIPCIÓN ]],'MEMORIA CANTIDADES'!C:C,Table28[[#This Row],[UNIDAD]]),0)</f>
        <v>0</v>
      </c>
      <c r="E742" s="225">
        <f>+VLOOKUP(Table28[[#This Row],[DESCRIPCIÓN ]],INSUMOS!A:D,3,FALSE)</f>
        <v>44582.28</v>
      </c>
      <c r="F742" s="225">
        <f>+Table28[[#This Row],[CANTIDAD]]*Table28[[#This Row],[VALOR UNITARIO]]</f>
        <v>0</v>
      </c>
    </row>
    <row r="743" spans="1:6" s="193" customFormat="1" ht="28.8" hidden="1" x14ac:dyDescent="0.3">
      <c r="A743" s="193">
        <v>853</v>
      </c>
      <c r="B743" s="193" t="s">
        <v>770</v>
      </c>
      <c r="C743" s="193" t="s">
        <v>55</v>
      </c>
      <c r="D743" s="226">
        <f>+ROUNDUP(SUMIFS('MEMORIA CANTIDADES'!E:E,'MEMORIA CANTIDADES'!B:B,Table28[[#This Row],[DESCRIPCIÓN ]],'MEMORIA CANTIDADES'!C:C,Table28[[#This Row],[UNIDAD]]),0)</f>
        <v>0</v>
      </c>
      <c r="E743" s="225" t="e">
        <f>+VLOOKUP(Table28[[#This Row],[DESCRIPCIÓN ]],INSUMOS!A:D,3,FALSE)</f>
        <v>#N/A</v>
      </c>
      <c r="F743" s="225" t="e">
        <f>+Table28[[#This Row],[CANTIDAD]]*Table28[[#This Row],[VALOR UNITARIO]]</f>
        <v>#N/A</v>
      </c>
    </row>
    <row r="744" spans="1:6" s="193" customFormat="1" ht="43.2" hidden="1" x14ac:dyDescent="0.3">
      <c r="A744" s="193">
        <v>854</v>
      </c>
      <c r="B744" s="193" t="s">
        <v>2219</v>
      </c>
      <c r="C744" s="193" t="s">
        <v>55</v>
      </c>
      <c r="D744" s="226">
        <f>+ROUNDUP(SUMIFS('MEMORIA CANTIDADES'!E:E,'MEMORIA CANTIDADES'!B:B,Table28[[#This Row],[DESCRIPCIÓN ]],'MEMORIA CANTIDADES'!C:C,Table28[[#This Row],[UNIDAD]]),0)</f>
        <v>0</v>
      </c>
      <c r="E744" s="225">
        <f>+VLOOKUP(Table28[[#This Row],[DESCRIPCIÓN ]],INSUMOS!A:D,3,FALSE)</f>
        <v>127554.59</v>
      </c>
      <c r="F744" s="225">
        <f>+Table28[[#This Row],[CANTIDAD]]*Table28[[#This Row],[VALOR UNITARIO]]</f>
        <v>0</v>
      </c>
    </row>
    <row r="745" spans="1:6" s="193" customFormat="1" ht="28.8" hidden="1" x14ac:dyDescent="0.3">
      <c r="A745" s="193">
        <v>855</v>
      </c>
      <c r="B745" s="193" t="s">
        <v>771</v>
      </c>
      <c r="C745" s="193" t="s">
        <v>55</v>
      </c>
      <c r="D745" s="226">
        <f>+ROUNDUP(SUMIFS('MEMORIA CANTIDADES'!E:E,'MEMORIA CANTIDADES'!B:B,Table28[[#This Row],[DESCRIPCIÓN ]],'MEMORIA CANTIDADES'!C:C,Table28[[#This Row],[UNIDAD]]),0)</f>
        <v>0</v>
      </c>
      <c r="E745" s="225">
        <f>+VLOOKUP(Table28[[#This Row],[DESCRIPCIÓN ]],INSUMOS!A:D,3,FALSE)</f>
        <v>118197.33</v>
      </c>
      <c r="F745" s="225">
        <f>+Table28[[#This Row],[CANTIDAD]]*Table28[[#This Row],[VALOR UNITARIO]]</f>
        <v>0</v>
      </c>
    </row>
    <row r="746" spans="1:6" s="193" customFormat="1" ht="28.8" hidden="1" x14ac:dyDescent="0.3">
      <c r="A746" s="193">
        <v>856</v>
      </c>
      <c r="B746" s="193" t="s">
        <v>772</v>
      </c>
      <c r="C746" s="193" t="s">
        <v>55</v>
      </c>
      <c r="D746" s="226">
        <f>+ROUNDUP(SUMIFS('MEMORIA CANTIDADES'!E:E,'MEMORIA CANTIDADES'!B:B,Table28[[#This Row],[DESCRIPCIÓN ]],'MEMORIA CANTIDADES'!C:C,Table28[[#This Row],[UNIDAD]]),0)</f>
        <v>0</v>
      </c>
      <c r="E746" s="225">
        <f>+VLOOKUP(Table28[[#This Row],[DESCRIPCIÓN ]],INSUMOS!A:D,3,FALSE)</f>
        <v>147135.87</v>
      </c>
      <c r="F746" s="225">
        <f>+Table28[[#This Row],[CANTIDAD]]*Table28[[#This Row],[VALOR UNITARIO]]</f>
        <v>0</v>
      </c>
    </row>
    <row r="747" spans="1:6" s="193" customFormat="1" ht="28.8" hidden="1" x14ac:dyDescent="0.3">
      <c r="A747" s="193">
        <v>857</v>
      </c>
      <c r="B747" s="193" t="s">
        <v>773</v>
      </c>
      <c r="C747" s="193" t="s">
        <v>55</v>
      </c>
      <c r="D747" s="226">
        <f>+ROUNDUP(SUMIFS('MEMORIA CANTIDADES'!E:E,'MEMORIA CANTIDADES'!B:B,Table28[[#This Row],[DESCRIPCIÓN ]],'MEMORIA CANTIDADES'!C:C,Table28[[#This Row],[UNIDAD]]),0)</f>
        <v>0</v>
      </c>
      <c r="E747" s="225">
        <f>+VLOOKUP(Table28[[#This Row],[DESCRIPCIÓN ]],INSUMOS!A:D,3,FALSE)</f>
        <v>150387.17000000001</v>
      </c>
      <c r="F747" s="225">
        <f>+Table28[[#This Row],[CANTIDAD]]*Table28[[#This Row],[VALOR UNITARIO]]</f>
        <v>0</v>
      </c>
    </row>
    <row r="748" spans="1:6" s="193" customFormat="1" ht="28.8" hidden="1" x14ac:dyDescent="0.3">
      <c r="A748" s="193">
        <v>858</v>
      </c>
      <c r="B748" s="193" t="s">
        <v>774</v>
      </c>
      <c r="C748" s="193" t="s">
        <v>55</v>
      </c>
      <c r="D748" s="226">
        <f>+ROUNDUP(SUMIFS('MEMORIA CANTIDADES'!E:E,'MEMORIA CANTIDADES'!B:B,Table28[[#This Row],[DESCRIPCIÓN ]],'MEMORIA CANTIDADES'!C:C,Table28[[#This Row],[UNIDAD]]),0)</f>
        <v>0</v>
      </c>
      <c r="E748" s="225">
        <f>+VLOOKUP(Table28[[#This Row],[DESCRIPCIÓN ]],INSUMOS!A:D,3,FALSE)</f>
        <v>158303.07</v>
      </c>
      <c r="F748" s="225">
        <f>+Table28[[#This Row],[CANTIDAD]]*Table28[[#This Row],[VALOR UNITARIO]]</f>
        <v>0</v>
      </c>
    </row>
    <row r="749" spans="1:6" s="193" customFormat="1" ht="28.8" hidden="1" x14ac:dyDescent="0.3">
      <c r="A749" s="193">
        <v>859</v>
      </c>
      <c r="B749" s="193" t="s">
        <v>775</v>
      </c>
      <c r="C749" s="193" t="s">
        <v>55</v>
      </c>
      <c r="D749" s="226">
        <f>+ROUNDUP(SUMIFS('MEMORIA CANTIDADES'!E:E,'MEMORIA CANTIDADES'!B:B,Table28[[#This Row],[DESCRIPCIÓN ]],'MEMORIA CANTIDADES'!C:C,Table28[[#This Row],[UNIDAD]]),0)</f>
        <v>0</v>
      </c>
      <c r="E749" s="225">
        <f>+VLOOKUP(Table28[[#This Row],[DESCRIPCIÓN ]],INSUMOS!A:D,3,FALSE)</f>
        <v>231115.28</v>
      </c>
      <c r="F749" s="225">
        <f>+Table28[[#This Row],[CANTIDAD]]*Table28[[#This Row],[VALOR UNITARIO]]</f>
        <v>0</v>
      </c>
    </row>
    <row r="750" spans="1:6" s="193" customFormat="1" ht="28.8" hidden="1" x14ac:dyDescent="0.3">
      <c r="A750" s="193">
        <v>860</v>
      </c>
      <c r="B750" s="193" t="s">
        <v>776</v>
      </c>
      <c r="C750" s="193" t="s">
        <v>55</v>
      </c>
      <c r="D750" s="226">
        <f>+ROUNDUP(SUMIFS('MEMORIA CANTIDADES'!E:E,'MEMORIA CANTIDADES'!B:B,Table28[[#This Row],[DESCRIPCIÓN ]],'MEMORIA CANTIDADES'!C:C,Table28[[#This Row],[UNIDAD]]),0)</f>
        <v>0</v>
      </c>
      <c r="E750" s="225" t="e">
        <f>+VLOOKUP(Table28[[#This Row],[DESCRIPCIÓN ]],INSUMOS!A:D,3,FALSE)</f>
        <v>#N/A</v>
      </c>
      <c r="F750" s="225" t="e">
        <f>+Table28[[#This Row],[CANTIDAD]]*Table28[[#This Row],[VALOR UNITARIO]]</f>
        <v>#N/A</v>
      </c>
    </row>
    <row r="751" spans="1:6" s="193" customFormat="1" ht="28.8" hidden="1" x14ac:dyDescent="0.3">
      <c r="A751" s="193">
        <v>861</v>
      </c>
      <c r="B751" s="193" t="s">
        <v>777</v>
      </c>
      <c r="C751" s="193" t="s">
        <v>55</v>
      </c>
      <c r="D751" s="226">
        <f>+ROUNDUP(SUMIFS('MEMORIA CANTIDADES'!E:E,'MEMORIA CANTIDADES'!B:B,Table28[[#This Row],[DESCRIPCIÓN ]],'MEMORIA CANTIDADES'!C:C,Table28[[#This Row],[UNIDAD]]),0)</f>
        <v>0</v>
      </c>
      <c r="E751" s="225">
        <f>+VLOOKUP(Table28[[#This Row],[DESCRIPCIÓN ]],INSUMOS!A:D,3,FALSE)</f>
        <v>144059.39000000001</v>
      </c>
      <c r="F751" s="225">
        <f>+Table28[[#This Row],[CANTIDAD]]*Table28[[#This Row],[VALOR UNITARIO]]</f>
        <v>0</v>
      </c>
    </row>
    <row r="752" spans="1:6" s="193" customFormat="1" ht="28.8" hidden="1" x14ac:dyDescent="0.3">
      <c r="A752" s="193">
        <v>862</v>
      </c>
      <c r="B752" s="193" t="s">
        <v>778</v>
      </c>
      <c r="C752" s="193" t="s">
        <v>55</v>
      </c>
      <c r="D752" s="226">
        <f>+ROUNDUP(SUMIFS('MEMORIA CANTIDADES'!E:E,'MEMORIA CANTIDADES'!B:B,Table28[[#This Row],[DESCRIPCIÓN ]],'MEMORIA CANTIDADES'!C:C,Table28[[#This Row],[UNIDAD]]),0)</f>
        <v>0</v>
      </c>
      <c r="E752" s="225">
        <f>+VLOOKUP(Table28[[#This Row],[DESCRIPCIÓN ]],INSUMOS!A:D,3,FALSE)</f>
        <v>138621.26</v>
      </c>
      <c r="F752" s="225">
        <f>+Table28[[#This Row],[CANTIDAD]]*Table28[[#This Row],[VALOR UNITARIO]]</f>
        <v>0</v>
      </c>
    </row>
    <row r="753" spans="1:6" s="193" customFormat="1" ht="28.8" hidden="1" x14ac:dyDescent="0.3">
      <c r="A753" s="193">
        <v>863</v>
      </c>
      <c r="B753" s="193" t="s">
        <v>779</v>
      </c>
      <c r="C753" s="193" t="s">
        <v>55</v>
      </c>
      <c r="D753" s="226">
        <f>+ROUNDUP(SUMIFS('MEMORIA CANTIDADES'!E:E,'MEMORIA CANTIDADES'!B:B,Table28[[#This Row],[DESCRIPCIÓN ]],'MEMORIA CANTIDADES'!C:C,Table28[[#This Row],[UNIDAD]]),0)</f>
        <v>0</v>
      </c>
      <c r="E753" s="225">
        <f>+VLOOKUP(Table28[[#This Row],[DESCRIPCIÓN ]],INSUMOS!A:D,3,FALSE)</f>
        <v>182068.32</v>
      </c>
      <c r="F753" s="225">
        <f>+Table28[[#This Row],[CANTIDAD]]*Table28[[#This Row],[VALOR UNITARIO]]</f>
        <v>0</v>
      </c>
    </row>
    <row r="754" spans="1:6" s="193" customFormat="1" ht="28.8" hidden="1" x14ac:dyDescent="0.3">
      <c r="A754" s="193">
        <v>864</v>
      </c>
      <c r="B754" s="193" t="s">
        <v>780</v>
      </c>
      <c r="C754" s="193" t="s">
        <v>55</v>
      </c>
      <c r="D754" s="226">
        <f>+ROUNDUP(SUMIFS('MEMORIA CANTIDADES'!E:E,'MEMORIA CANTIDADES'!B:B,Table28[[#This Row],[DESCRIPCIÓN ]],'MEMORIA CANTIDADES'!C:C,Table28[[#This Row],[UNIDAD]]),0)</f>
        <v>0</v>
      </c>
      <c r="E754" s="225">
        <f>+VLOOKUP(Table28[[#This Row],[DESCRIPCIÓN ]],INSUMOS!A:D,3,FALSE)</f>
        <v>250760.76</v>
      </c>
      <c r="F754" s="225">
        <f>+Table28[[#This Row],[CANTIDAD]]*Table28[[#This Row],[VALOR UNITARIO]]</f>
        <v>0</v>
      </c>
    </row>
    <row r="755" spans="1:6" s="193" customFormat="1" ht="43.2" hidden="1" x14ac:dyDescent="0.3">
      <c r="A755" s="193">
        <v>865</v>
      </c>
      <c r="B755" s="193" t="s">
        <v>2220</v>
      </c>
      <c r="C755" s="193" t="s">
        <v>55</v>
      </c>
      <c r="D755" s="226">
        <f>+ROUNDUP(SUMIFS('MEMORIA CANTIDADES'!E:E,'MEMORIA CANTIDADES'!B:B,Table28[[#This Row],[DESCRIPCIÓN ]],'MEMORIA CANTIDADES'!C:C,Table28[[#This Row],[UNIDAD]]),0)</f>
        <v>0</v>
      </c>
      <c r="E755" s="225">
        <f>+VLOOKUP(Table28[[#This Row],[DESCRIPCIÓN ]],INSUMOS!A:D,3,FALSE)</f>
        <v>402982.2</v>
      </c>
      <c r="F755" s="225">
        <f>+Table28[[#This Row],[CANTIDAD]]*Table28[[#This Row],[VALOR UNITARIO]]</f>
        <v>0</v>
      </c>
    </row>
    <row r="756" spans="1:6" s="193" customFormat="1" ht="28.8" hidden="1" x14ac:dyDescent="0.3">
      <c r="A756" s="193">
        <v>866</v>
      </c>
      <c r="B756" s="193" t="s">
        <v>781</v>
      </c>
      <c r="C756" s="193" t="s">
        <v>55</v>
      </c>
      <c r="D756" s="226">
        <f>+ROUNDUP(SUMIFS('MEMORIA CANTIDADES'!E:E,'MEMORIA CANTIDADES'!B:B,Table28[[#This Row],[DESCRIPCIÓN ]],'MEMORIA CANTIDADES'!C:C,Table28[[#This Row],[UNIDAD]]),0)</f>
        <v>0</v>
      </c>
      <c r="E756" s="225">
        <f>+VLOOKUP(Table28[[#This Row],[DESCRIPCIÓN ]],INSUMOS!A:D,3,FALSE)</f>
        <v>308558.45</v>
      </c>
      <c r="F756" s="225">
        <f>+Table28[[#This Row],[CANTIDAD]]*Table28[[#This Row],[VALOR UNITARIO]]</f>
        <v>0</v>
      </c>
    </row>
    <row r="757" spans="1:6" s="193" customFormat="1" ht="28.8" hidden="1" x14ac:dyDescent="0.3">
      <c r="A757" s="193">
        <v>867</v>
      </c>
      <c r="B757" s="193" t="s">
        <v>2221</v>
      </c>
      <c r="C757" s="193" t="s">
        <v>55</v>
      </c>
      <c r="D757" s="226">
        <f>+ROUNDUP(SUMIFS('MEMORIA CANTIDADES'!E:E,'MEMORIA CANTIDADES'!B:B,Table28[[#This Row],[DESCRIPCIÓN ]],'MEMORIA CANTIDADES'!C:C,Table28[[#This Row],[UNIDAD]]),0)</f>
        <v>0</v>
      </c>
      <c r="E757" s="225">
        <f>+VLOOKUP(Table28[[#This Row],[DESCRIPCIÓN ]],INSUMOS!A:D,3,FALSE)</f>
        <v>117587.01</v>
      </c>
      <c r="F757" s="225">
        <f>+Table28[[#This Row],[CANTIDAD]]*Table28[[#This Row],[VALOR UNITARIO]]</f>
        <v>0</v>
      </c>
    </row>
    <row r="758" spans="1:6" s="193" customFormat="1" ht="28.8" hidden="1" x14ac:dyDescent="0.3">
      <c r="A758" s="193">
        <v>868</v>
      </c>
      <c r="B758" s="193" t="s">
        <v>2222</v>
      </c>
      <c r="C758" s="193" t="s">
        <v>55</v>
      </c>
      <c r="D758" s="226">
        <f>+ROUNDUP(SUMIFS('MEMORIA CANTIDADES'!E:E,'MEMORIA CANTIDADES'!B:B,Table28[[#This Row],[DESCRIPCIÓN ]],'MEMORIA CANTIDADES'!C:C,Table28[[#This Row],[UNIDAD]]),0)</f>
        <v>0</v>
      </c>
      <c r="E758" s="225">
        <f>+VLOOKUP(Table28[[#This Row],[DESCRIPCIÓN ]],INSUMOS!A:D,3,FALSE)</f>
        <v>141533.06</v>
      </c>
      <c r="F758" s="225">
        <f>+Table28[[#This Row],[CANTIDAD]]*Table28[[#This Row],[VALOR UNITARIO]]</f>
        <v>0</v>
      </c>
    </row>
    <row r="759" spans="1:6" s="193" customFormat="1" ht="28.8" hidden="1" x14ac:dyDescent="0.3">
      <c r="A759" s="193">
        <v>869</v>
      </c>
      <c r="B759" s="193" t="s">
        <v>782</v>
      </c>
      <c r="C759" s="193" t="s">
        <v>55</v>
      </c>
      <c r="D759" s="226">
        <f>+ROUNDUP(SUMIFS('MEMORIA CANTIDADES'!E:E,'MEMORIA CANTIDADES'!B:B,Table28[[#This Row],[DESCRIPCIÓN ]],'MEMORIA CANTIDADES'!C:C,Table28[[#This Row],[UNIDAD]]),0)</f>
        <v>0</v>
      </c>
      <c r="E759" s="225">
        <f>+VLOOKUP(Table28[[#This Row],[DESCRIPCIÓN ]],INSUMOS!A:D,3,FALSE)</f>
        <v>128045.82</v>
      </c>
      <c r="F759" s="225">
        <f>+Table28[[#This Row],[CANTIDAD]]*Table28[[#This Row],[VALOR UNITARIO]]</f>
        <v>0</v>
      </c>
    </row>
    <row r="760" spans="1:6" s="193" customFormat="1" ht="43.2" hidden="1" x14ac:dyDescent="0.3">
      <c r="A760" s="193">
        <v>870</v>
      </c>
      <c r="B760" s="193" t="s">
        <v>783</v>
      </c>
      <c r="C760" s="193" t="s">
        <v>55</v>
      </c>
      <c r="D760" s="226">
        <f>+ROUNDUP(SUMIFS('MEMORIA CANTIDADES'!E:E,'MEMORIA CANTIDADES'!B:B,Table28[[#This Row],[DESCRIPCIÓN ]],'MEMORIA CANTIDADES'!C:C,Table28[[#This Row],[UNIDAD]]),0)</f>
        <v>0</v>
      </c>
      <c r="E760" s="225" t="e">
        <f>+VLOOKUP(Table28[[#This Row],[DESCRIPCIÓN ]],INSUMOS!A:D,3,FALSE)</f>
        <v>#N/A</v>
      </c>
      <c r="F760" s="225" t="e">
        <f>+Table28[[#This Row],[CANTIDAD]]*Table28[[#This Row],[VALOR UNITARIO]]</f>
        <v>#N/A</v>
      </c>
    </row>
    <row r="761" spans="1:6" s="193" customFormat="1" hidden="1" x14ac:dyDescent="0.3">
      <c r="A761" s="193">
        <v>825</v>
      </c>
      <c r="B761" s="193" t="s">
        <v>784</v>
      </c>
      <c r="C761" s="193" t="s">
        <v>55</v>
      </c>
      <c r="D761" s="226">
        <f>+ROUNDUP(SUMIFS('MEMORIA CANTIDADES'!E:E,'MEMORIA CANTIDADES'!B:B,Table28[[#This Row],[DESCRIPCIÓN ]],'MEMORIA CANTIDADES'!C:C,Table28[[#This Row],[UNIDAD]]),0)</f>
        <v>0</v>
      </c>
      <c r="E761" s="225">
        <f>+VLOOKUP(Table28[[#This Row],[DESCRIPCIÓN ]],INSUMOS!A:D,3,FALSE)</f>
        <v>29014.880000000001</v>
      </c>
      <c r="F761" s="225">
        <f>+Table28[[#This Row],[CANTIDAD]]*Table28[[#This Row],[VALOR UNITARIO]]</f>
        <v>0</v>
      </c>
    </row>
    <row r="762" spans="1:6" s="193" customFormat="1" hidden="1" x14ac:dyDescent="0.3">
      <c r="A762" s="193">
        <v>826</v>
      </c>
      <c r="B762" s="193" t="s">
        <v>785</v>
      </c>
      <c r="C762" s="193" t="s">
        <v>55</v>
      </c>
      <c r="D762" s="226">
        <f>+ROUNDUP(SUMIFS('MEMORIA CANTIDADES'!E:E,'MEMORIA CANTIDADES'!B:B,Table28[[#This Row],[DESCRIPCIÓN ]],'MEMORIA CANTIDADES'!C:C,Table28[[#This Row],[UNIDAD]]),0)</f>
        <v>0</v>
      </c>
      <c r="E762" s="225">
        <f>+VLOOKUP(Table28[[#This Row],[DESCRIPCIÓN ]],INSUMOS!A:D,3,FALSE)</f>
        <v>17303.5</v>
      </c>
      <c r="F762" s="225">
        <f>+Table28[[#This Row],[CANTIDAD]]*Table28[[#This Row],[VALOR UNITARIO]]</f>
        <v>0</v>
      </c>
    </row>
    <row r="763" spans="1:6" s="193" customFormat="1" hidden="1" x14ac:dyDescent="0.3">
      <c r="A763" s="193">
        <v>827</v>
      </c>
      <c r="B763" s="193" t="s">
        <v>786</v>
      </c>
      <c r="C763" s="193" t="s">
        <v>55</v>
      </c>
      <c r="D763" s="226">
        <f>+ROUNDUP(SUMIFS('MEMORIA CANTIDADES'!E:E,'MEMORIA CANTIDADES'!B:B,Table28[[#This Row],[DESCRIPCIÓN ]],'MEMORIA CANTIDADES'!C:C,Table28[[#This Row],[UNIDAD]]),0)</f>
        <v>0</v>
      </c>
      <c r="E763" s="225">
        <f>+VLOOKUP(Table28[[#This Row],[DESCRIPCIÓN ]],INSUMOS!A:D,3,FALSE)</f>
        <v>13019.54</v>
      </c>
      <c r="F763" s="225">
        <f>+Table28[[#This Row],[CANTIDAD]]*Table28[[#This Row],[VALOR UNITARIO]]</f>
        <v>0</v>
      </c>
    </row>
    <row r="764" spans="1:6" s="193" customFormat="1" hidden="1" x14ac:dyDescent="0.3">
      <c r="A764" s="193">
        <v>165</v>
      </c>
      <c r="B764" s="193" t="s">
        <v>787</v>
      </c>
      <c r="C764" s="193" t="s">
        <v>55</v>
      </c>
      <c r="D764" s="226">
        <f>+ROUNDUP(SUMIFS('MEMORIA CANTIDADES'!E:E,'MEMORIA CANTIDADES'!B:B,Table28[[#This Row],[DESCRIPCIÓN ]],'MEMORIA CANTIDADES'!C:C,Table28[[#This Row],[UNIDAD]]),0)</f>
        <v>0</v>
      </c>
      <c r="E764" s="225">
        <f>+VLOOKUP(Table28[[#This Row],[DESCRIPCIÓN ]],INSUMOS!A:D,3,FALSE)</f>
        <v>6072.45</v>
      </c>
      <c r="F764" s="225">
        <f>+Table28[[#This Row],[CANTIDAD]]*Table28[[#This Row],[VALOR UNITARIO]]</f>
        <v>0</v>
      </c>
    </row>
    <row r="765" spans="1:6" s="193" customFormat="1" hidden="1" x14ac:dyDescent="0.3">
      <c r="A765" s="193">
        <v>166</v>
      </c>
      <c r="B765" s="193" t="s">
        <v>788</v>
      </c>
      <c r="C765" s="193" t="s">
        <v>55</v>
      </c>
      <c r="D765" s="226">
        <f>+ROUNDUP(SUMIFS('MEMORIA CANTIDADES'!E:E,'MEMORIA CANTIDADES'!B:B,Table28[[#This Row],[DESCRIPCIÓN ]],'MEMORIA CANTIDADES'!C:C,Table28[[#This Row],[UNIDAD]]),0)</f>
        <v>0</v>
      </c>
      <c r="E765" s="225">
        <f>+VLOOKUP(Table28[[#This Row],[DESCRIPCIÓN ]],INSUMOS!A:D,3,FALSE)</f>
        <v>4854.32</v>
      </c>
      <c r="F765" s="225">
        <f>+Table28[[#This Row],[CANTIDAD]]*Table28[[#This Row],[VALOR UNITARIO]]</f>
        <v>0</v>
      </c>
    </row>
    <row r="766" spans="1:6" s="193" customFormat="1" hidden="1" x14ac:dyDescent="0.3">
      <c r="A766" s="193">
        <v>167</v>
      </c>
      <c r="B766" s="193" t="s">
        <v>789</v>
      </c>
      <c r="C766" s="193" t="s">
        <v>55</v>
      </c>
      <c r="D766" s="226">
        <f>+ROUNDUP(SUMIFS('MEMORIA CANTIDADES'!E:E,'MEMORIA CANTIDADES'!B:B,Table28[[#This Row],[DESCRIPCIÓN ]],'MEMORIA CANTIDADES'!C:C,Table28[[#This Row],[UNIDAD]]),0)</f>
        <v>0</v>
      </c>
      <c r="E766" s="225">
        <f>+VLOOKUP(Table28[[#This Row],[DESCRIPCIÓN ]],INSUMOS!A:D,3,FALSE)</f>
        <v>4440.0200000000004</v>
      </c>
      <c r="F766" s="225">
        <f>+Table28[[#This Row],[CANTIDAD]]*Table28[[#This Row],[VALOR UNITARIO]]</f>
        <v>0</v>
      </c>
    </row>
    <row r="767" spans="1:6" s="193" customFormat="1" hidden="1" x14ac:dyDescent="0.3">
      <c r="A767" s="193">
        <v>73</v>
      </c>
      <c r="B767" s="193" t="s">
        <v>790</v>
      </c>
      <c r="C767" s="193" t="s">
        <v>1268</v>
      </c>
      <c r="D767" s="226">
        <f>+ROUNDUP(SUMIFS('MEMORIA CANTIDADES'!E:E,'MEMORIA CANTIDADES'!B:B,Table28[[#This Row],[DESCRIPCIÓN ]],'MEMORIA CANTIDADES'!C:C,Table28[[#This Row],[UNIDAD]]),0)</f>
        <v>0</v>
      </c>
      <c r="E767" s="225">
        <f>+VLOOKUP(Table28[[#This Row],[DESCRIPCIÓN ]],INSUMOS!A:D,3,FALSE)</f>
        <v>1073.97</v>
      </c>
      <c r="F767" s="225">
        <f>+Table28[[#This Row],[CANTIDAD]]*Table28[[#This Row],[VALOR UNITARIO]]</f>
        <v>0</v>
      </c>
    </row>
    <row r="768" spans="1:6" s="193" customFormat="1" hidden="1" x14ac:dyDescent="0.3">
      <c r="A768" s="193">
        <v>74</v>
      </c>
      <c r="B768" s="193" t="s">
        <v>791</v>
      </c>
      <c r="C768" s="193" t="s">
        <v>1268</v>
      </c>
      <c r="D768" s="226">
        <f>+ROUNDUP(SUMIFS('MEMORIA CANTIDADES'!E:E,'MEMORIA CANTIDADES'!B:B,Table28[[#This Row],[DESCRIPCIÓN ]],'MEMORIA CANTIDADES'!C:C,Table28[[#This Row],[UNIDAD]]),0)</f>
        <v>0</v>
      </c>
      <c r="E768" s="225">
        <f>+VLOOKUP(Table28[[#This Row],[DESCRIPCIÓN ]],INSUMOS!A:D,3,FALSE)</f>
        <v>1073.97</v>
      </c>
      <c r="F768" s="225">
        <f>+Table28[[#This Row],[CANTIDAD]]*Table28[[#This Row],[VALOR UNITARIO]]</f>
        <v>0</v>
      </c>
    </row>
    <row r="769" spans="1:6" s="193" customFormat="1" hidden="1" x14ac:dyDescent="0.3">
      <c r="A769" s="193">
        <v>75</v>
      </c>
      <c r="B769" s="193" t="s">
        <v>792</v>
      </c>
      <c r="C769" s="193" t="s">
        <v>1268</v>
      </c>
      <c r="D769" s="226">
        <f>+ROUNDUP(SUMIFS('MEMORIA CANTIDADES'!E:E,'MEMORIA CANTIDADES'!B:B,Table28[[#This Row],[DESCRIPCIÓN ]],'MEMORIA CANTIDADES'!C:C,Table28[[#This Row],[UNIDAD]]),0)</f>
        <v>0</v>
      </c>
      <c r="E769" s="225">
        <f>+VLOOKUP(Table28[[#This Row],[DESCRIPCIÓN ]],INSUMOS!A:D,3,FALSE)</f>
        <v>1073.97</v>
      </c>
      <c r="F769" s="225">
        <f>+Table28[[#This Row],[CANTIDAD]]*Table28[[#This Row],[VALOR UNITARIO]]</f>
        <v>0</v>
      </c>
    </row>
    <row r="770" spans="1:6" s="193" customFormat="1" hidden="1" x14ac:dyDescent="0.3">
      <c r="A770" s="193">
        <v>76</v>
      </c>
      <c r="B770" s="193" t="s">
        <v>793</v>
      </c>
      <c r="C770" s="193" t="s">
        <v>1273</v>
      </c>
      <c r="D770" s="226">
        <f>+ROUNDUP(SUMIFS('MEMORIA CANTIDADES'!E:E,'MEMORIA CANTIDADES'!B:B,Table28[[#This Row],[DESCRIPCIÓN ]],'MEMORIA CANTIDADES'!C:C,Table28[[#This Row],[UNIDAD]]),0)</f>
        <v>0</v>
      </c>
      <c r="E770" s="225">
        <f>+VLOOKUP(Table28[[#This Row],[DESCRIPCIÓN ]],INSUMOS!A:D,3,FALSE)</f>
        <v>266012.12</v>
      </c>
      <c r="F770" s="225">
        <f>+Table28[[#This Row],[CANTIDAD]]*Table28[[#This Row],[VALOR UNITARIO]]</f>
        <v>0</v>
      </c>
    </row>
    <row r="771" spans="1:6" s="193" customFormat="1" x14ac:dyDescent="0.3">
      <c r="A771" s="193">
        <v>605</v>
      </c>
      <c r="B771" s="193" t="s">
        <v>72</v>
      </c>
      <c r="C771" s="193" t="s">
        <v>55</v>
      </c>
      <c r="D771" s="226">
        <f>+ROUNDUP(SUMIFS('MEMORIA CANTIDADES'!E:E,'MEMORIA CANTIDADES'!B:B,Table28[[#This Row],[DESCRIPCIÓN ]],'MEMORIA CANTIDADES'!C:C,Table28[[#This Row],[UNIDAD]]),0)</f>
        <v>10</v>
      </c>
      <c r="E771" s="225">
        <f>+VLOOKUP(Table28[[#This Row],[DESCRIPCIÓN ]],INSUMOS!A:D,3,FALSE)</f>
        <v>10330.58</v>
      </c>
      <c r="F771" s="225">
        <f>+Table28[[#This Row],[CANTIDAD]]*Table28[[#This Row],[VALOR UNITARIO]]</f>
        <v>103305.8</v>
      </c>
    </row>
    <row r="772" spans="1:6" s="193" customFormat="1" ht="28.8" hidden="1" x14ac:dyDescent="0.3">
      <c r="A772" s="193">
        <v>829</v>
      </c>
      <c r="B772" s="193" t="s">
        <v>795</v>
      </c>
      <c r="C772" s="193" t="s">
        <v>1276</v>
      </c>
      <c r="D772" s="226">
        <f>+ROUNDUP(SUMIFS('MEMORIA CANTIDADES'!E:E,'MEMORIA CANTIDADES'!B:B,Table28[[#This Row],[DESCRIPCIÓN ]],'MEMORIA CANTIDADES'!C:C,Table28[[#This Row],[UNIDAD]]),0)</f>
        <v>0</v>
      </c>
      <c r="E772" s="225">
        <f>+VLOOKUP(Table28[[#This Row],[DESCRIPCIÓN ]],INSUMOS!A:D,3,FALSE)</f>
        <v>136620.92000000001</v>
      </c>
      <c r="F772" s="225">
        <f>+Table28[[#This Row],[CANTIDAD]]*Table28[[#This Row],[VALOR UNITARIO]]</f>
        <v>0</v>
      </c>
    </row>
    <row r="773" spans="1:6" s="193" customFormat="1" ht="28.8" hidden="1" x14ac:dyDescent="0.3">
      <c r="A773" s="193">
        <v>830</v>
      </c>
      <c r="B773" s="193" t="s">
        <v>796</v>
      </c>
      <c r="C773" s="193" t="s">
        <v>1276</v>
      </c>
      <c r="D773" s="226">
        <f>+ROUNDUP(SUMIFS('MEMORIA CANTIDADES'!E:E,'MEMORIA CANTIDADES'!B:B,Table28[[#This Row],[DESCRIPCIÓN ]],'MEMORIA CANTIDADES'!C:C,Table28[[#This Row],[UNIDAD]]),0)</f>
        <v>0</v>
      </c>
      <c r="E773" s="225">
        <f>+VLOOKUP(Table28[[#This Row],[DESCRIPCIÓN ]],INSUMOS!A:D,3,FALSE)</f>
        <v>153387.79999999999</v>
      </c>
      <c r="F773" s="225">
        <f>+Table28[[#This Row],[CANTIDAD]]*Table28[[#This Row],[VALOR UNITARIO]]</f>
        <v>0</v>
      </c>
    </row>
    <row r="774" spans="1:6" s="193" customFormat="1" ht="28.8" hidden="1" x14ac:dyDescent="0.3">
      <c r="A774" s="193">
        <v>831</v>
      </c>
      <c r="B774" s="193" t="s">
        <v>796</v>
      </c>
      <c r="C774" s="193" t="s">
        <v>1280</v>
      </c>
      <c r="D774" s="226">
        <f>+ROUNDUP(SUMIFS('MEMORIA CANTIDADES'!E:E,'MEMORIA CANTIDADES'!B:B,Table28[[#This Row],[DESCRIPCIÓN ]],'MEMORIA CANTIDADES'!C:C,Table28[[#This Row],[UNIDAD]]),0)</f>
        <v>0</v>
      </c>
      <c r="E774" s="225">
        <f>+VLOOKUP(Table28[[#This Row],[DESCRIPCIÓN ]],INSUMOS!A:D,3,FALSE)</f>
        <v>153387.79999999999</v>
      </c>
      <c r="F774" s="225">
        <f>+Table28[[#This Row],[CANTIDAD]]*Table28[[#This Row],[VALOR UNITARIO]]</f>
        <v>0</v>
      </c>
    </row>
    <row r="775" spans="1:6" s="193" customFormat="1" ht="28.8" hidden="1" x14ac:dyDescent="0.3">
      <c r="A775" s="193">
        <v>832</v>
      </c>
      <c r="B775" s="193" t="s">
        <v>797</v>
      </c>
      <c r="C775" s="193" t="s">
        <v>1276</v>
      </c>
      <c r="D775" s="226">
        <f>+ROUNDUP(SUMIFS('MEMORIA CANTIDADES'!E:E,'MEMORIA CANTIDADES'!B:B,Table28[[#This Row],[DESCRIPCIÓN ]],'MEMORIA CANTIDADES'!C:C,Table28[[#This Row],[UNIDAD]]),0)</f>
        <v>0</v>
      </c>
      <c r="E775" s="225">
        <f>+VLOOKUP(Table28[[#This Row],[DESCRIPCIÓN ]],INSUMOS!A:D,3,FALSE)</f>
        <v>115067.3</v>
      </c>
      <c r="F775" s="225">
        <f>+Table28[[#This Row],[CANTIDAD]]*Table28[[#This Row],[VALOR UNITARIO]]</f>
        <v>0</v>
      </c>
    </row>
    <row r="776" spans="1:6" s="193" customFormat="1" ht="28.8" hidden="1" x14ac:dyDescent="0.3">
      <c r="A776" s="193">
        <v>833</v>
      </c>
      <c r="B776" s="193" t="s">
        <v>797</v>
      </c>
      <c r="C776" s="193" t="s">
        <v>1280</v>
      </c>
      <c r="D776" s="226">
        <f>+ROUNDUP(SUMIFS('MEMORIA CANTIDADES'!E:E,'MEMORIA CANTIDADES'!B:B,Table28[[#This Row],[DESCRIPCIÓN ]],'MEMORIA CANTIDADES'!C:C,Table28[[#This Row],[UNIDAD]]),0)</f>
        <v>0</v>
      </c>
      <c r="E776" s="225">
        <f>+VLOOKUP(Table28[[#This Row],[DESCRIPCIÓN ]],INSUMOS!A:D,3,FALSE)</f>
        <v>115067.3</v>
      </c>
      <c r="F776" s="225">
        <f>+Table28[[#This Row],[CANTIDAD]]*Table28[[#This Row],[VALOR UNITARIO]]</f>
        <v>0</v>
      </c>
    </row>
    <row r="777" spans="1:6" s="193" customFormat="1" ht="28.8" hidden="1" x14ac:dyDescent="0.3">
      <c r="A777" s="193">
        <v>834</v>
      </c>
      <c r="B777" s="193" t="s">
        <v>798</v>
      </c>
      <c r="C777" s="193" t="s">
        <v>1276</v>
      </c>
      <c r="D777" s="226">
        <f>+ROUNDUP(SUMIFS('MEMORIA CANTIDADES'!E:E,'MEMORIA CANTIDADES'!B:B,Table28[[#This Row],[DESCRIPCIÓN ]],'MEMORIA CANTIDADES'!C:C,Table28[[#This Row],[UNIDAD]]),0)</f>
        <v>0</v>
      </c>
      <c r="E777" s="225">
        <f>+VLOOKUP(Table28[[#This Row],[DESCRIPCIÓN ]],INSUMOS!A:D,3,FALSE)</f>
        <v>164872.24</v>
      </c>
      <c r="F777" s="225">
        <f>+Table28[[#This Row],[CANTIDAD]]*Table28[[#This Row],[VALOR UNITARIO]]</f>
        <v>0</v>
      </c>
    </row>
    <row r="778" spans="1:6" s="193" customFormat="1" ht="28.8" hidden="1" x14ac:dyDescent="0.3">
      <c r="A778" s="193">
        <v>835</v>
      </c>
      <c r="B778" s="193" t="s">
        <v>799</v>
      </c>
      <c r="C778" s="193" t="s">
        <v>1276</v>
      </c>
      <c r="D778" s="226">
        <f>+ROUNDUP(SUMIFS('MEMORIA CANTIDADES'!E:E,'MEMORIA CANTIDADES'!B:B,Table28[[#This Row],[DESCRIPCIÓN ]],'MEMORIA CANTIDADES'!C:C,Table28[[#This Row],[UNIDAD]]),0)</f>
        <v>0</v>
      </c>
      <c r="E778" s="225">
        <f>+VLOOKUP(Table28[[#This Row],[DESCRIPCIÓN ]],INSUMOS!A:D,3,FALSE)</f>
        <v>198792.83</v>
      </c>
      <c r="F778" s="225">
        <f>+Table28[[#This Row],[CANTIDAD]]*Table28[[#This Row],[VALOR UNITARIO]]</f>
        <v>0</v>
      </c>
    </row>
    <row r="779" spans="1:6" s="193" customFormat="1" hidden="1" x14ac:dyDescent="0.3">
      <c r="A779" s="193">
        <v>598</v>
      </c>
      <c r="B779" s="193" t="s">
        <v>800</v>
      </c>
      <c r="C779" s="193" t="s">
        <v>1270</v>
      </c>
      <c r="D779" s="226">
        <f>+ROUNDUP(SUMIFS('MEMORIA CANTIDADES'!E:E,'MEMORIA CANTIDADES'!B:B,Table28[[#This Row],[DESCRIPCIÓN ]],'MEMORIA CANTIDADES'!C:C,Table28[[#This Row],[UNIDAD]]),0)</f>
        <v>0</v>
      </c>
      <c r="E779" s="225">
        <f>+VLOOKUP(Table28[[#This Row],[DESCRIPCIÓN ]],INSUMOS!A:D,3,FALSE)</f>
        <v>251.25</v>
      </c>
      <c r="F779" s="225">
        <f>+Table28[[#This Row],[CANTIDAD]]*Table28[[#This Row],[VALOR UNITARIO]]</f>
        <v>0</v>
      </c>
    </row>
    <row r="780" spans="1:6" s="193" customFormat="1" hidden="1" x14ac:dyDescent="0.3">
      <c r="A780" s="193">
        <v>599</v>
      </c>
      <c r="B780" s="193" t="s">
        <v>801</v>
      </c>
      <c r="C780" s="193" t="s">
        <v>1270</v>
      </c>
      <c r="D780" s="226">
        <f>+ROUNDUP(SUMIFS('MEMORIA CANTIDADES'!E:E,'MEMORIA CANTIDADES'!B:B,Table28[[#This Row],[DESCRIPCIÓN ]],'MEMORIA CANTIDADES'!C:C,Table28[[#This Row],[UNIDAD]]),0)</f>
        <v>0</v>
      </c>
      <c r="E780" s="225">
        <f>+VLOOKUP(Table28[[#This Row],[DESCRIPCIÓN ]],INSUMOS!A:D,3,FALSE)</f>
        <v>285.44</v>
      </c>
      <c r="F780" s="225">
        <f>+Table28[[#This Row],[CANTIDAD]]*Table28[[#This Row],[VALOR UNITARIO]]</f>
        <v>0</v>
      </c>
    </row>
    <row r="781" spans="1:6" s="193" customFormat="1" hidden="1" x14ac:dyDescent="0.3">
      <c r="A781" s="193">
        <v>731</v>
      </c>
      <c r="B781" s="193" t="s">
        <v>802</v>
      </c>
      <c r="C781" s="193" t="s">
        <v>55</v>
      </c>
      <c r="D781" s="226">
        <f>+ROUNDUP(SUMIFS('MEMORIA CANTIDADES'!E:E,'MEMORIA CANTIDADES'!B:B,Table28[[#This Row],[DESCRIPCIÓN ]],'MEMORIA CANTIDADES'!C:C,Table28[[#This Row],[UNIDAD]]),0)</f>
        <v>0</v>
      </c>
      <c r="E781" s="225">
        <f>+VLOOKUP(Table28[[#This Row],[DESCRIPCIÓN ]],INSUMOS!A:D,3,FALSE)</f>
        <v>28735</v>
      </c>
      <c r="F781" s="225">
        <f>+Table28[[#This Row],[CANTIDAD]]*Table28[[#This Row],[VALOR UNITARIO]]</f>
        <v>0</v>
      </c>
    </row>
    <row r="782" spans="1:6" s="193" customFormat="1" hidden="1" x14ac:dyDescent="0.3">
      <c r="A782" s="193">
        <v>730</v>
      </c>
      <c r="B782" s="193" t="s">
        <v>803</v>
      </c>
      <c r="C782" s="193" t="s">
        <v>55</v>
      </c>
      <c r="D782" s="226">
        <f>+ROUNDUP(SUMIFS('MEMORIA CANTIDADES'!E:E,'MEMORIA CANTIDADES'!B:B,Table28[[#This Row],[DESCRIPCIÓN ]],'MEMORIA CANTIDADES'!C:C,Table28[[#This Row],[UNIDAD]]),0)</f>
        <v>0</v>
      </c>
      <c r="E782" s="225">
        <f>+VLOOKUP(Table28[[#This Row],[DESCRIPCIÓN ]],INSUMOS!A:D,3,FALSE)</f>
        <v>30937.21</v>
      </c>
      <c r="F782" s="225">
        <f>+Table28[[#This Row],[CANTIDAD]]*Table28[[#This Row],[VALOR UNITARIO]]</f>
        <v>0</v>
      </c>
    </row>
    <row r="783" spans="1:6" s="193" customFormat="1" ht="28.8" hidden="1" x14ac:dyDescent="0.3">
      <c r="A783" s="193">
        <v>828</v>
      </c>
      <c r="B783" s="193" t="s">
        <v>804</v>
      </c>
      <c r="C783" s="193" t="s">
        <v>55</v>
      </c>
      <c r="D783" s="226">
        <f>+ROUNDUP(SUMIFS('MEMORIA CANTIDADES'!E:E,'MEMORIA CANTIDADES'!B:B,Table28[[#This Row],[DESCRIPCIÓN ]],'MEMORIA CANTIDADES'!C:C,Table28[[#This Row],[UNIDAD]]),0)</f>
        <v>0</v>
      </c>
      <c r="E783" s="225">
        <f>+VLOOKUP(Table28[[#This Row],[DESCRIPCIÓN ]],INSUMOS!A:D,3,FALSE)</f>
        <v>155807.26</v>
      </c>
      <c r="F783" s="225">
        <f>+Table28[[#This Row],[CANTIDAD]]*Table28[[#This Row],[VALOR UNITARIO]]</f>
        <v>0</v>
      </c>
    </row>
    <row r="784" spans="1:6" s="193" customFormat="1" hidden="1" x14ac:dyDescent="0.3">
      <c r="A784" s="193">
        <v>1208</v>
      </c>
      <c r="B784" s="193" t="s">
        <v>805</v>
      </c>
      <c r="C784" s="193" t="s">
        <v>55</v>
      </c>
      <c r="D784" s="226">
        <f>+ROUNDUP(SUMIFS('MEMORIA CANTIDADES'!E:E,'MEMORIA CANTIDADES'!B:B,Table28[[#This Row],[DESCRIPCIÓN ]],'MEMORIA CANTIDADES'!C:C,Table28[[#This Row],[UNIDAD]]),0)</f>
        <v>0</v>
      </c>
      <c r="E784" s="225">
        <f>+VLOOKUP(Table28[[#This Row],[DESCRIPCIÓN ]],INSUMOS!A:D,3,FALSE)</f>
        <v>5097.24</v>
      </c>
      <c r="F784" s="225">
        <f>+Table28[[#This Row],[CANTIDAD]]*Table28[[#This Row],[VALOR UNITARIO]]</f>
        <v>0</v>
      </c>
    </row>
    <row r="785" spans="1:6" s="193" customFormat="1" ht="57.6" hidden="1" x14ac:dyDescent="0.3">
      <c r="A785" s="193">
        <v>139</v>
      </c>
      <c r="B785" s="193" t="s">
        <v>806</v>
      </c>
      <c r="C785" s="193" t="s">
        <v>55</v>
      </c>
      <c r="D785" s="226">
        <f>+ROUNDUP(SUMIFS('MEMORIA CANTIDADES'!E:E,'MEMORIA CANTIDADES'!B:B,Table28[[#This Row],[DESCRIPCIÓN ]],'MEMORIA CANTIDADES'!C:C,Table28[[#This Row],[UNIDAD]]),0)</f>
        <v>0</v>
      </c>
      <c r="E785" s="225">
        <f>+VLOOKUP(Table28[[#This Row],[DESCRIPCIÓN ]],INSUMOS!A:D,3,FALSE)</f>
        <v>771527.21</v>
      </c>
      <c r="F785" s="225">
        <f>+Table28[[#This Row],[CANTIDAD]]*Table28[[#This Row],[VALOR UNITARIO]]</f>
        <v>0</v>
      </c>
    </row>
    <row r="786" spans="1:6" s="193" customFormat="1" ht="28.8" hidden="1" x14ac:dyDescent="0.3">
      <c r="A786" s="193">
        <v>600</v>
      </c>
      <c r="B786" s="193" t="s">
        <v>807</v>
      </c>
      <c r="C786" s="193" t="s">
        <v>1272</v>
      </c>
      <c r="D786" s="226">
        <f>+ROUNDUP(SUMIFS('MEMORIA CANTIDADES'!E:E,'MEMORIA CANTIDADES'!B:B,Table28[[#This Row],[DESCRIPCIÓN ]],'MEMORIA CANTIDADES'!C:C,Table28[[#This Row],[UNIDAD]]),0)</f>
        <v>0</v>
      </c>
      <c r="E786" s="225">
        <f>+VLOOKUP(Table28[[#This Row],[DESCRIPCIÓN ]],INSUMOS!A:D,3,FALSE)</f>
        <v>28305.89</v>
      </c>
      <c r="F786" s="225">
        <f>+Table28[[#This Row],[CANTIDAD]]*Table28[[#This Row],[VALOR UNITARIO]]</f>
        <v>0</v>
      </c>
    </row>
    <row r="787" spans="1:6" s="193" customFormat="1" ht="28.8" hidden="1" x14ac:dyDescent="0.3">
      <c r="A787" s="193">
        <v>601</v>
      </c>
      <c r="B787" s="193" t="s">
        <v>808</v>
      </c>
      <c r="C787" s="193" t="s">
        <v>1272</v>
      </c>
      <c r="D787" s="226">
        <f>+ROUNDUP(SUMIFS('MEMORIA CANTIDADES'!E:E,'MEMORIA CANTIDADES'!B:B,Table28[[#This Row],[DESCRIPCIÓN ]],'MEMORIA CANTIDADES'!C:C,Table28[[#This Row],[UNIDAD]]),0)</f>
        <v>0</v>
      </c>
      <c r="E787" s="225">
        <f>+VLOOKUP(Table28[[#This Row],[DESCRIPCIÓN ]],INSUMOS!A:D,3,FALSE)</f>
        <v>22784.32</v>
      </c>
      <c r="F787" s="225">
        <f>+Table28[[#This Row],[CANTIDAD]]*Table28[[#This Row],[VALOR UNITARIO]]</f>
        <v>0</v>
      </c>
    </row>
    <row r="788" spans="1:6" s="193" customFormat="1" hidden="1" x14ac:dyDescent="0.3">
      <c r="A788" s="193">
        <v>871</v>
      </c>
      <c r="B788" s="193" t="s">
        <v>809</v>
      </c>
      <c r="C788" s="193" t="s">
        <v>1270</v>
      </c>
      <c r="D788" s="226">
        <f>+ROUNDUP(SUMIFS('MEMORIA CANTIDADES'!E:E,'MEMORIA CANTIDADES'!B:B,Table28[[#This Row],[DESCRIPCIÓN ]],'MEMORIA CANTIDADES'!C:C,Table28[[#This Row],[UNIDAD]]),0)</f>
        <v>0</v>
      </c>
      <c r="E788" s="225">
        <f>+VLOOKUP(Table28[[#This Row],[DESCRIPCIÓN ]],INSUMOS!A:D,3,FALSE)</f>
        <v>17831.8</v>
      </c>
      <c r="F788" s="225">
        <f>+Table28[[#This Row],[CANTIDAD]]*Table28[[#This Row],[VALOR UNITARIO]]</f>
        <v>0</v>
      </c>
    </row>
    <row r="789" spans="1:6" s="193" customFormat="1" hidden="1" x14ac:dyDescent="0.3">
      <c r="A789" s="193">
        <v>872</v>
      </c>
      <c r="B789" s="193" t="s">
        <v>810</v>
      </c>
      <c r="C789" s="193" t="s">
        <v>1270</v>
      </c>
      <c r="D789" s="226">
        <f>+ROUNDUP(SUMIFS('MEMORIA CANTIDADES'!E:E,'MEMORIA CANTIDADES'!B:B,Table28[[#This Row],[DESCRIPCIÓN ]],'MEMORIA CANTIDADES'!C:C,Table28[[#This Row],[UNIDAD]]),0)</f>
        <v>0</v>
      </c>
      <c r="E789" s="225">
        <f>+VLOOKUP(Table28[[#This Row],[DESCRIPCIÓN ]],INSUMOS!A:D,3,FALSE)</f>
        <v>7988.32</v>
      </c>
      <c r="F789" s="225">
        <f>+Table28[[#This Row],[CANTIDAD]]*Table28[[#This Row],[VALOR UNITARIO]]</f>
        <v>0</v>
      </c>
    </row>
    <row r="790" spans="1:6" s="193" customFormat="1" hidden="1" x14ac:dyDescent="0.3">
      <c r="A790" s="193">
        <v>873</v>
      </c>
      <c r="B790" s="193" t="s">
        <v>811</v>
      </c>
      <c r="C790" s="193" t="s">
        <v>1270</v>
      </c>
      <c r="D790" s="226">
        <f>+ROUNDUP(SUMIFS('MEMORIA CANTIDADES'!E:E,'MEMORIA CANTIDADES'!B:B,Table28[[#This Row],[DESCRIPCIÓN ]],'MEMORIA CANTIDADES'!C:C,Table28[[#This Row],[UNIDAD]]),0)</f>
        <v>0</v>
      </c>
      <c r="E790" s="225">
        <f>+VLOOKUP(Table28[[#This Row],[DESCRIPCIÓN ]],INSUMOS!A:D,3,FALSE)</f>
        <v>8661.39</v>
      </c>
      <c r="F790" s="225">
        <f>+Table28[[#This Row],[CANTIDAD]]*Table28[[#This Row],[VALOR UNITARIO]]</f>
        <v>0</v>
      </c>
    </row>
    <row r="791" spans="1:6" s="193" customFormat="1" hidden="1" x14ac:dyDescent="0.3">
      <c r="A791" s="193">
        <v>874</v>
      </c>
      <c r="B791" s="193" t="s">
        <v>812</v>
      </c>
      <c r="C791" s="193" t="s">
        <v>1270</v>
      </c>
      <c r="D791" s="226">
        <f>+ROUNDUP(SUMIFS('MEMORIA CANTIDADES'!E:E,'MEMORIA CANTIDADES'!B:B,Table28[[#This Row],[DESCRIPCIÓN ]],'MEMORIA CANTIDADES'!C:C,Table28[[#This Row],[UNIDAD]]),0)</f>
        <v>0</v>
      </c>
      <c r="E791" s="225">
        <f>+VLOOKUP(Table28[[#This Row],[DESCRIPCIÓN ]],INSUMOS!A:D,3,FALSE)</f>
        <v>5083.67</v>
      </c>
      <c r="F791" s="225">
        <f>+Table28[[#This Row],[CANTIDAD]]*Table28[[#This Row],[VALOR UNITARIO]]</f>
        <v>0</v>
      </c>
    </row>
    <row r="792" spans="1:6" s="193" customFormat="1" hidden="1" x14ac:dyDescent="0.3">
      <c r="A792" s="193">
        <v>875</v>
      </c>
      <c r="B792" s="193" t="s">
        <v>813</v>
      </c>
      <c r="C792" s="193" t="s">
        <v>1270</v>
      </c>
      <c r="D792" s="226">
        <f>+ROUNDUP(SUMIFS('MEMORIA CANTIDADES'!E:E,'MEMORIA CANTIDADES'!B:B,Table28[[#This Row],[DESCRIPCIÓN ]],'MEMORIA CANTIDADES'!C:C,Table28[[#This Row],[UNIDAD]]),0)</f>
        <v>0</v>
      </c>
      <c r="E792" s="225">
        <f>+VLOOKUP(Table28[[#This Row],[DESCRIPCIÓN ]],INSUMOS!A:D,3,FALSE)</f>
        <v>4684.8</v>
      </c>
      <c r="F792" s="225">
        <f>+Table28[[#This Row],[CANTIDAD]]*Table28[[#This Row],[VALOR UNITARIO]]</f>
        <v>0</v>
      </c>
    </row>
    <row r="793" spans="1:6" s="193" customFormat="1" hidden="1" x14ac:dyDescent="0.3">
      <c r="A793" s="193">
        <v>876</v>
      </c>
      <c r="B793" s="193" t="s">
        <v>814</v>
      </c>
      <c r="C793" s="193" t="s">
        <v>1270</v>
      </c>
      <c r="D793" s="226">
        <f>+ROUNDUP(SUMIFS('MEMORIA CANTIDADES'!E:E,'MEMORIA CANTIDADES'!B:B,Table28[[#This Row],[DESCRIPCIÓN ]],'MEMORIA CANTIDADES'!C:C,Table28[[#This Row],[UNIDAD]]),0)</f>
        <v>0</v>
      </c>
      <c r="E793" s="225">
        <f>+VLOOKUP(Table28[[#This Row],[DESCRIPCIÓN ]],INSUMOS!A:D,3,FALSE)</f>
        <v>10885.37</v>
      </c>
      <c r="F793" s="225">
        <f>+Table28[[#This Row],[CANTIDAD]]*Table28[[#This Row],[VALOR UNITARIO]]</f>
        <v>0</v>
      </c>
    </row>
    <row r="794" spans="1:6" s="193" customFormat="1" hidden="1" x14ac:dyDescent="0.3">
      <c r="A794" s="193">
        <v>877</v>
      </c>
      <c r="B794" s="193" t="s">
        <v>815</v>
      </c>
      <c r="C794" s="193" t="s">
        <v>1270</v>
      </c>
      <c r="D794" s="226">
        <f>+ROUNDUP(SUMIFS('MEMORIA CANTIDADES'!E:E,'MEMORIA CANTIDADES'!B:B,Table28[[#This Row],[DESCRIPCIÓN ]],'MEMORIA CANTIDADES'!C:C,Table28[[#This Row],[UNIDAD]]),0)</f>
        <v>0</v>
      </c>
      <c r="E794" s="225">
        <f>+VLOOKUP(Table28[[#This Row],[DESCRIPCIÓN ]],INSUMOS!A:D,3,FALSE)</f>
        <v>9524.9699999999993</v>
      </c>
      <c r="F794" s="225">
        <f>+Table28[[#This Row],[CANTIDAD]]*Table28[[#This Row],[VALOR UNITARIO]]</f>
        <v>0</v>
      </c>
    </row>
    <row r="795" spans="1:6" s="193" customFormat="1" hidden="1" x14ac:dyDescent="0.3">
      <c r="A795" s="193">
        <v>878</v>
      </c>
      <c r="B795" s="193" t="s">
        <v>816</v>
      </c>
      <c r="C795" s="193" t="s">
        <v>1270</v>
      </c>
      <c r="D795" s="226">
        <f>+ROUNDUP(SUMIFS('MEMORIA CANTIDADES'!E:E,'MEMORIA CANTIDADES'!B:B,Table28[[#This Row],[DESCRIPCIÓN ]],'MEMORIA CANTIDADES'!C:C,Table28[[#This Row],[UNIDAD]]),0)</f>
        <v>0</v>
      </c>
      <c r="E795" s="225">
        <f>+VLOOKUP(Table28[[#This Row],[DESCRIPCIÓN ]],INSUMOS!A:D,3,FALSE)</f>
        <v>7952.86</v>
      </c>
      <c r="F795" s="225">
        <f>+Table28[[#This Row],[CANTIDAD]]*Table28[[#This Row],[VALOR UNITARIO]]</f>
        <v>0</v>
      </c>
    </row>
    <row r="796" spans="1:6" s="193" customFormat="1" hidden="1" x14ac:dyDescent="0.3">
      <c r="A796" s="193">
        <v>879</v>
      </c>
      <c r="B796" s="193" t="s">
        <v>817</v>
      </c>
      <c r="C796" s="193" t="s">
        <v>1270</v>
      </c>
      <c r="D796" s="226">
        <f>+ROUNDUP(SUMIFS('MEMORIA CANTIDADES'!E:E,'MEMORIA CANTIDADES'!B:B,Table28[[#This Row],[DESCRIPCIÓN ]],'MEMORIA CANTIDADES'!C:C,Table28[[#This Row],[UNIDAD]]),0)</f>
        <v>0</v>
      </c>
      <c r="E796" s="225">
        <f>+VLOOKUP(Table28[[#This Row],[DESCRIPCIÓN ]],INSUMOS!A:D,3,FALSE)</f>
        <v>2832.09</v>
      </c>
      <c r="F796" s="225">
        <f>+Table28[[#This Row],[CANTIDAD]]*Table28[[#This Row],[VALOR UNITARIO]]</f>
        <v>0</v>
      </c>
    </row>
    <row r="797" spans="1:6" s="193" customFormat="1" hidden="1" x14ac:dyDescent="0.3">
      <c r="A797" s="193">
        <v>880</v>
      </c>
      <c r="B797" s="193" t="s">
        <v>818</v>
      </c>
      <c r="C797" s="193" t="s">
        <v>1270</v>
      </c>
      <c r="D797" s="226">
        <f>+ROUNDUP(SUMIFS('MEMORIA CANTIDADES'!E:E,'MEMORIA CANTIDADES'!B:B,Table28[[#This Row],[DESCRIPCIÓN ]],'MEMORIA CANTIDADES'!C:C,Table28[[#This Row],[UNIDAD]]),0)</f>
        <v>0</v>
      </c>
      <c r="E797" s="225">
        <f>+VLOOKUP(Table28[[#This Row],[DESCRIPCIÓN ]],INSUMOS!A:D,3,FALSE)</f>
        <v>16636.39</v>
      </c>
      <c r="F797" s="225">
        <f>+Table28[[#This Row],[CANTIDAD]]*Table28[[#This Row],[VALOR UNITARIO]]</f>
        <v>0</v>
      </c>
    </row>
    <row r="798" spans="1:6" s="193" customFormat="1" hidden="1" x14ac:dyDescent="0.3">
      <c r="A798" s="193">
        <v>881</v>
      </c>
      <c r="B798" s="193" t="s">
        <v>819</v>
      </c>
      <c r="C798" s="193" t="s">
        <v>1270</v>
      </c>
      <c r="D798" s="226">
        <f>+ROUNDUP(SUMIFS('MEMORIA CANTIDADES'!E:E,'MEMORIA CANTIDADES'!B:B,Table28[[#This Row],[DESCRIPCIÓN ]],'MEMORIA CANTIDADES'!C:C,Table28[[#This Row],[UNIDAD]]),0)</f>
        <v>0</v>
      </c>
      <c r="E798" s="225">
        <f>+VLOOKUP(Table28[[#This Row],[DESCRIPCIÓN ]],INSUMOS!A:D,3,FALSE)</f>
        <v>5307.75</v>
      </c>
      <c r="F798" s="225">
        <f>+Table28[[#This Row],[CANTIDAD]]*Table28[[#This Row],[VALOR UNITARIO]]</f>
        <v>0</v>
      </c>
    </row>
    <row r="799" spans="1:6" s="193" customFormat="1" ht="28.8" hidden="1" x14ac:dyDescent="0.3">
      <c r="A799" s="193">
        <v>836</v>
      </c>
      <c r="B799" s="193" t="s">
        <v>820</v>
      </c>
      <c r="C799" s="193" t="s">
        <v>1272</v>
      </c>
      <c r="D799" s="226">
        <f>+ROUNDUP(SUMIFS('MEMORIA CANTIDADES'!E:E,'MEMORIA CANTIDADES'!B:B,Table28[[#This Row],[DESCRIPCIÓN ]],'MEMORIA CANTIDADES'!C:C,Table28[[#This Row],[UNIDAD]]),0)</f>
        <v>0</v>
      </c>
      <c r="E799" s="225">
        <f>+VLOOKUP(Table28[[#This Row],[DESCRIPCIÓN ]],INSUMOS!A:D,3,FALSE)</f>
        <v>106527.13</v>
      </c>
      <c r="F799" s="225">
        <f>+Table28[[#This Row],[CANTIDAD]]*Table28[[#This Row],[VALOR UNITARIO]]</f>
        <v>0</v>
      </c>
    </row>
    <row r="800" spans="1:6" s="193" customFormat="1" ht="28.8" hidden="1" x14ac:dyDescent="0.3">
      <c r="A800" s="193">
        <v>837</v>
      </c>
      <c r="B800" s="193" t="s">
        <v>821</v>
      </c>
      <c r="C800" s="193" t="s">
        <v>1272</v>
      </c>
      <c r="D800" s="226">
        <f>+ROUNDUP(SUMIFS('MEMORIA CANTIDADES'!E:E,'MEMORIA CANTIDADES'!B:B,Table28[[#This Row],[DESCRIPCIÓN ]],'MEMORIA CANTIDADES'!C:C,Table28[[#This Row],[UNIDAD]]),0)</f>
        <v>0</v>
      </c>
      <c r="E800" s="225">
        <f>+VLOOKUP(Table28[[#This Row],[DESCRIPCIÓN ]],INSUMOS!A:D,3,FALSE)</f>
        <v>239341.74</v>
      </c>
      <c r="F800" s="225">
        <f>+Table28[[#This Row],[CANTIDAD]]*Table28[[#This Row],[VALOR UNITARIO]]</f>
        <v>0</v>
      </c>
    </row>
    <row r="801" spans="1:6" s="193" customFormat="1" ht="28.8" hidden="1" x14ac:dyDescent="0.3">
      <c r="A801" s="193">
        <v>838</v>
      </c>
      <c r="B801" s="193" t="s">
        <v>822</v>
      </c>
      <c r="C801" s="193" t="s">
        <v>1272</v>
      </c>
      <c r="D801" s="226">
        <f>+ROUNDUP(SUMIFS('MEMORIA CANTIDADES'!E:E,'MEMORIA CANTIDADES'!B:B,Table28[[#This Row],[DESCRIPCIÓN ]],'MEMORIA CANTIDADES'!C:C,Table28[[#This Row],[UNIDAD]]),0)</f>
        <v>0</v>
      </c>
      <c r="E801" s="225">
        <f>+VLOOKUP(Table28[[#This Row],[DESCRIPCIÓN ]],INSUMOS!A:D,3,FALSE)</f>
        <v>160705.62</v>
      </c>
      <c r="F801" s="225">
        <f>+Table28[[#This Row],[CANTIDAD]]*Table28[[#This Row],[VALOR UNITARIO]]</f>
        <v>0</v>
      </c>
    </row>
    <row r="802" spans="1:6" s="193" customFormat="1" ht="28.8" hidden="1" x14ac:dyDescent="0.3">
      <c r="A802" s="193">
        <v>839</v>
      </c>
      <c r="B802" s="193" t="s">
        <v>823</v>
      </c>
      <c r="C802" s="193" t="s">
        <v>1272</v>
      </c>
      <c r="D802" s="226">
        <f>+ROUNDUP(SUMIFS('MEMORIA CANTIDADES'!E:E,'MEMORIA CANTIDADES'!B:B,Table28[[#This Row],[DESCRIPCIÓN ]],'MEMORIA CANTIDADES'!C:C,Table28[[#This Row],[UNIDAD]]),0)</f>
        <v>0</v>
      </c>
      <c r="E802" s="225">
        <f>+VLOOKUP(Table28[[#This Row],[DESCRIPCIÓN ]],INSUMOS!A:D,3,FALSE)</f>
        <v>97469.19</v>
      </c>
      <c r="F802" s="225">
        <f>+Table28[[#This Row],[CANTIDAD]]*Table28[[#This Row],[VALOR UNITARIO]]</f>
        <v>0</v>
      </c>
    </row>
    <row r="803" spans="1:6" s="193" customFormat="1" ht="28.8" hidden="1" x14ac:dyDescent="0.3">
      <c r="A803" s="193">
        <v>840</v>
      </c>
      <c r="B803" s="193" t="s">
        <v>824</v>
      </c>
      <c r="C803" s="193" t="s">
        <v>1272</v>
      </c>
      <c r="D803" s="226">
        <f>+ROUNDUP(SUMIFS('MEMORIA CANTIDADES'!E:E,'MEMORIA CANTIDADES'!B:B,Table28[[#This Row],[DESCRIPCIÓN ]],'MEMORIA CANTIDADES'!C:C,Table28[[#This Row],[UNIDAD]]),0)</f>
        <v>0</v>
      </c>
      <c r="E803" s="225">
        <f>+VLOOKUP(Table28[[#This Row],[DESCRIPCIÓN ]],INSUMOS!A:D,3,FALSE)</f>
        <v>108992.53</v>
      </c>
      <c r="F803" s="225">
        <f>+Table28[[#This Row],[CANTIDAD]]*Table28[[#This Row],[VALOR UNITARIO]]</f>
        <v>0</v>
      </c>
    </row>
    <row r="804" spans="1:6" s="193" customFormat="1" ht="43.2" hidden="1" x14ac:dyDescent="0.3">
      <c r="A804" s="193">
        <v>1260</v>
      </c>
      <c r="B804" s="193" t="s">
        <v>825</v>
      </c>
      <c r="C804" s="193" t="s">
        <v>55</v>
      </c>
      <c r="D804" s="226">
        <f>+ROUNDUP(SUMIFS('MEMORIA CANTIDADES'!E:E,'MEMORIA CANTIDADES'!B:B,Table28[[#This Row],[DESCRIPCIÓN ]],'MEMORIA CANTIDADES'!C:C,Table28[[#This Row],[UNIDAD]]),0)</f>
        <v>0</v>
      </c>
      <c r="E804" s="225">
        <f>+VLOOKUP(Table28[[#This Row],[DESCRIPCIÓN ]],INSUMOS!A:D,3,FALSE)</f>
        <v>11629605.859999999</v>
      </c>
      <c r="F804" s="225">
        <f>+Table28[[#This Row],[CANTIDAD]]*Table28[[#This Row],[VALOR UNITARIO]]</f>
        <v>0</v>
      </c>
    </row>
    <row r="805" spans="1:6" s="193" customFormat="1" ht="43.2" hidden="1" x14ac:dyDescent="0.3">
      <c r="A805" s="193">
        <v>1261</v>
      </c>
      <c r="B805" s="193" t="s">
        <v>826</v>
      </c>
      <c r="C805" s="193" t="s">
        <v>55</v>
      </c>
      <c r="D805" s="226">
        <f>+ROUNDUP(SUMIFS('MEMORIA CANTIDADES'!E:E,'MEMORIA CANTIDADES'!B:B,Table28[[#This Row],[DESCRIPCIÓN ]],'MEMORIA CANTIDADES'!C:C,Table28[[#This Row],[UNIDAD]]),0)</f>
        <v>0</v>
      </c>
      <c r="E805" s="225">
        <f>+VLOOKUP(Table28[[#This Row],[DESCRIPCIÓN ]],INSUMOS!A:D,3,FALSE)</f>
        <v>11423270.59</v>
      </c>
      <c r="F805" s="225">
        <f>+Table28[[#This Row],[CANTIDAD]]*Table28[[#This Row],[VALOR UNITARIO]]</f>
        <v>0</v>
      </c>
    </row>
    <row r="806" spans="1:6" s="193" customFormat="1" ht="28.8" hidden="1" x14ac:dyDescent="0.3">
      <c r="A806" s="193">
        <v>140</v>
      </c>
      <c r="B806" s="193" t="s">
        <v>827</v>
      </c>
      <c r="C806" s="193" t="s">
        <v>1272</v>
      </c>
      <c r="D806" s="226">
        <f>+ROUNDUP(SUMIFS('MEMORIA CANTIDADES'!E:E,'MEMORIA CANTIDADES'!B:B,Table28[[#This Row],[DESCRIPCIÓN ]],'MEMORIA CANTIDADES'!C:C,Table28[[#This Row],[UNIDAD]]),0)</f>
        <v>0</v>
      </c>
      <c r="E806" s="225">
        <f>+VLOOKUP(Table28[[#This Row],[DESCRIPCIÓN ]],INSUMOS!A:D,3,FALSE)</f>
        <v>474132.55</v>
      </c>
      <c r="F806" s="225">
        <f>+Table28[[#This Row],[CANTIDAD]]*Table28[[#This Row],[VALOR UNITARIO]]</f>
        <v>0</v>
      </c>
    </row>
    <row r="807" spans="1:6" s="193" customFormat="1" ht="43.2" hidden="1" x14ac:dyDescent="0.3">
      <c r="A807" s="193">
        <v>306</v>
      </c>
      <c r="B807" s="193" t="s">
        <v>828</v>
      </c>
      <c r="C807" s="193" t="s">
        <v>55</v>
      </c>
      <c r="D807" s="226">
        <f>+ROUNDUP(SUMIFS('MEMORIA CANTIDADES'!E:E,'MEMORIA CANTIDADES'!B:B,Table28[[#This Row],[DESCRIPCIÓN ]],'MEMORIA CANTIDADES'!C:C,Table28[[#This Row],[UNIDAD]]),0)</f>
        <v>4</v>
      </c>
      <c r="E807" s="225">
        <f>+VLOOKUP(Table28[[#This Row],[DESCRIPCIÓN ]],INSUMOS!A:D,3,FALSE)</f>
        <v>1269058.6399999999</v>
      </c>
      <c r="F807" s="225">
        <f>+Table28[[#This Row],[CANTIDAD]]*Table28[[#This Row],[VALOR UNITARIO]]</f>
        <v>5076234.5599999996</v>
      </c>
    </row>
    <row r="808" spans="1:6" s="193" customFormat="1" ht="43.2" hidden="1" x14ac:dyDescent="0.3">
      <c r="A808" s="193">
        <v>307</v>
      </c>
      <c r="B808" s="193" t="s">
        <v>829</v>
      </c>
      <c r="C808" s="193" t="s">
        <v>55</v>
      </c>
      <c r="D808" s="226">
        <f>+ROUNDUP(SUMIFS('MEMORIA CANTIDADES'!E:E,'MEMORIA CANTIDADES'!B:B,Table28[[#This Row],[DESCRIPCIÓN ]],'MEMORIA CANTIDADES'!C:C,Table28[[#This Row],[UNIDAD]]),0)</f>
        <v>0</v>
      </c>
      <c r="E808" s="225" t="e">
        <f>+VLOOKUP(Table28[[#This Row],[DESCRIPCIÓN ]],INSUMOS!A:D,3,FALSE)</f>
        <v>#N/A</v>
      </c>
      <c r="F808" s="225" t="e">
        <f>+Table28[[#This Row],[CANTIDAD]]*Table28[[#This Row],[VALOR UNITARIO]]</f>
        <v>#N/A</v>
      </c>
    </row>
    <row r="809" spans="1:6" s="193" customFormat="1" ht="43.2" hidden="1" x14ac:dyDescent="0.3">
      <c r="A809" s="193">
        <v>141</v>
      </c>
      <c r="B809" s="193" t="s">
        <v>830</v>
      </c>
      <c r="C809" s="193" t="s">
        <v>1272</v>
      </c>
      <c r="D809" s="226">
        <f>+ROUNDUP(SUMIFS('MEMORIA CANTIDADES'!E:E,'MEMORIA CANTIDADES'!B:B,Table28[[#This Row],[DESCRIPCIÓN ]],'MEMORIA CANTIDADES'!C:C,Table28[[#This Row],[UNIDAD]]),0)</f>
        <v>0</v>
      </c>
      <c r="E809" s="225">
        <f>+VLOOKUP(Table28[[#This Row],[DESCRIPCIÓN ]],INSUMOS!A:D,3,FALSE)</f>
        <v>537061.74</v>
      </c>
      <c r="F809" s="225">
        <f>+Table28[[#This Row],[CANTIDAD]]*Table28[[#This Row],[VALOR UNITARIO]]</f>
        <v>0</v>
      </c>
    </row>
    <row r="810" spans="1:6" s="193" customFormat="1" ht="43.2" hidden="1" x14ac:dyDescent="0.3">
      <c r="A810" s="193">
        <v>142</v>
      </c>
      <c r="B810" s="193" t="s">
        <v>2178</v>
      </c>
      <c r="C810" s="193" t="s">
        <v>1272</v>
      </c>
      <c r="D810" s="226">
        <f>+ROUNDUP(SUMIFS('MEMORIA CANTIDADES'!E:E,'MEMORIA CANTIDADES'!B:B,Table28[[#This Row],[DESCRIPCIÓN ]],'MEMORIA CANTIDADES'!C:C,Table28[[#This Row],[UNIDAD]]),0)</f>
        <v>0</v>
      </c>
      <c r="E810" s="225">
        <f>+VLOOKUP(Table28[[#This Row],[DESCRIPCIÓN ]],INSUMOS!A:D,3,FALSE)</f>
        <v>775908.94</v>
      </c>
      <c r="F810" s="225">
        <f>+Table28[[#This Row],[CANTIDAD]]*Table28[[#This Row],[VALOR UNITARIO]]</f>
        <v>0</v>
      </c>
    </row>
    <row r="811" spans="1:6" s="193" customFormat="1" ht="28.8" hidden="1" x14ac:dyDescent="0.3">
      <c r="A811" s="193">
        <v>133</v>
      </c>
      <c r="B811" s="193" t="s">
        <v>831</v>
      </c>
      <c r="C811" s="193" t="s">
        <v>1272</v>
      </c>
      <c r="D811" s="226">
        <f>+ROUNDUP(SUMIFS('MEMORIA CANTIDADES'!E:E,'MEMORIA CANTIDADES'!B:B,Table28[[#This Row],[DESCRIPCIÓN ]],'MEMORIA CANTIDADES'!C:C,Table28[[#This Row],[UNIDAD]]),0)</f>
        <v>0</v>
      </c>
      <c r="E811" s="225">
        <f>+VLOOKUP(Table28[[#This Row],[DESCRIPCIÓN ]],INSUMOS!A:D,3,FALSE)</f>
        <v>564320.93999999994</v>
      </c>
      <c r="F811" s="225">
        <f>+Table28[[#This Row],[CANTIDAD]]*Table28[[#This Row],[VALOR UNITARIO]]</f>
        <v>0</v>
      </c>
    </row>
    <row r="812" spans="1:6" s="193" customFormat="1" ht="28.8" hidden="1" x14ac:dyDescent="0.3">
      <c r="A812" s="193">
        <v>134</v>
      </c>
      <c r="B812" s="193" t="s">
        <v>832</v>
      </c>
      <c r="C812" s="193" t="s">
        <v>1272</v>
      </c>
      <c r="D812" s="226">
        <f>+ROUNDUP(SUMIFS('MEMORIA CANTIDADES'!E:E,'MEMORIA CANTIDADES'!B:B,Table28[[#This Row],[DESCRIPCIÓN ]],'MEMORIA CANTIDADES'!C:C,Table28[[#This Row],[UNIDAD]]),0)</f>
        <v>0</v>
      </c>
      <c r="E812" s="225">
        <f>+VLOOKUP(Table28[[#This Row],[DESCRIPCIÓN ]],INSUMOS!A:D,3,FALSE)</f>
        <v>441713.5</v>
      </c>
      <c r="F812" s="225">
        <f>+Table28[[#This Row],[CANTIDAD]]*Table28[[#This Row],[VALOR UNITARIO]]</f>
        <v>0</v>
      </c>
    </row>
    <row r="813" spans="1:6" s="193" customFormat="1" ht="28.8" hidden="1" x14ac:dyDescent="0.3">
      <c r="A813" s="193">
        <v>602</v>
      </c>
      <c r="B813" s="193" t="s">
        <v>833</v>
      </c>
      <c r="C813" s="193" t="s">
        <v>55</v>
      </c>
      <c r="D813" s="226">
        <f>+ROUNDUP(SUMIFS('MEMORIA CANTIDADES'!E:E,'MEMORIA CANTIDADES'!B:B,Table28[[#This Row],[DESCRIPCIÓN ]],'MEMORIA CANTIDADES'!C:C,Table28[[#This Row],[UNIDAD]]),0)</f>
        <v>0</v>
      </c>
      <c r="E813" s="225">
        <f>+VLOOKUP(Table28[[#This Row],[DESCRIPCIÓN ]],INSUMOS!A:D,3,FALSE)</f>
        <v>13435.36</v>
      </c>
      <c r="F813" s="225">
        <f>+Table28[[#This Row],[CANTIDAD]]*Table28[[#This Row],[VALOR UNITARIO]]</f>
        <v>0</v>
      </c>
    </row>
    <row r="814" spans="1:6" s="193" customFormat="1" ht="28.8" hidden="1" x14ac:dyDescent="0.3">
      <c r="A814" s="193">
        <v>603</v>
      </c>
      <c r="B814" s="193" t="s">
        <v>834</v>
      </c>
      <c r="C814" s="193" t="s">
        <v>55</v>
      </c>
      <c r="D814" s="226">
        <f>+ROUNDUP(SUMIFS('MEMORIA CANTIDADES'!E:E,'MEMORIA CANTIDADES'!B:B,Table28[[#This Row],[DESCRIPCIÓN ]],'MEMORIA CANTIDADES'!C:C,Table28[[#This Row],[UNIDAD]]),0)</f>
        <v>0</v>
      </c>
      <c r="E814" s="225">
        <f>+VLOOKUP(Table28[[#This Row],[DESCRIPCIÓN ]],INSUMOS!A:D,3,FALSE)</f>
        <v>8609.1200000000008</v>
      </c>
      <c r="F814" s="225">
        <f>+Table28[[#This Row],[CANTIDAD]]*Table28[[#This Row],[VALOR UNITARIO]]</f>
        <v>0</v>
      </c>
    </row>
    <row r="815" spans="1:6" s="193" customFormat="1" hidden="1" x14ac:dyDescent="0.3">
      <c r="A815" s="193">
        <v>604</v>
      </c>
      <c r="B815" s="193" t="s">
        <v>835</v>
      </c>
      <c r="C815" s="193" t="s">
        <v>55</v>
      </c>
      <c r="D815" s="226">
        <f>+ROUNDUP(SUMIFS('MEMORIA CANTIDADES'!E:E,'MEMORIA CANTIDADES'!B:B,Table28[[#This Row],[DESCRIPCIÓN ]],'MEMORIA CANTIDADES'!C:C,Table28[[#This Row],[UNIDAD]]),0)</f>
        <v>0</v>
      </c>
      <c r="E815" s="225">
        <f>+VLOOKUP(Table28[[#This Row],[DESCRIPCIÓN ]],INSUMOS!A:D,3,FALSE)</f>
        <v>10633.37</v>
      </c>
      <c r="F815" s="225">
        <f>+Table28[[#This Row],[CANTIDAD]]*Table28[[#This Row],[VALOR UNITARIO]]</f>
        <v>0</v>
      </c>
    </row>
    <row r="816" spans="1:6" s="193" customFormat="1" ht="43.2" x14ac:dyDescent="0.3">
      <c r="A816" s="193">
        <v>645</v>
      </c>
      <c r="B816" s="193" t="s">
        <v>1050</v>
      </c>
      <c r="C816" s="193" t="s">
        <v>1270</v>
      </c>
      <c r="D816" s="226">
        <f>+ROUNDUP(SUMIFS('MEMORIA CANTIDADES'!E:E,'MEMORIA CANTIDADES'!B:B,Table28[[#This Row],[DESCRIPCIÓN ]],'MEMORIA CANTIDADES'!C:C,Table28[[#This Row],[UNIDAD]]),0)</f>
        <v>281</v>
      </c>
      <c r="E816" s="225">
        <f>+VLOOKUP(Table28[[#This Row],[DESCRIPCIÓN ]],INSUMOS!A:D,3,FALSE)</f>
        <v>9322.89</v>
      </c>
      <c r="F816" s="225">
        <f>+Table28[[#This Row],[CANTIDAD]]*Table28[[#This Row],[VALOR UNITARIO]]</f>
        <v>2619732.09</v>
      </c>
    </row>
    <row r="817" spans="1:6" s="193" customFormat="1" ht="28.8" hidden="1" x14ac:dyDescent="0.3">
      <c r="A817" s="193">
        <v>606</v>
      </c>
      <c r="B817" s="193" t="s">
        <v>836</v>
      </c>
      <c r="C817" s="193" t="s">
        <v>55</v>
      </c>
      <c r="D817" s="226">
        <f>+ROUNDUP(SUMIFS('MEMORIA CANTIDADES'!E:E,'MEMORIA CANTIDADES'!B:B,Table28[[#This Row],[DESCRIPCIÓN ]],'MEMORIA CANTIDADES'!C:C,Table28[[#This Row],[UNIDAD]]),0)</f>
        <v>0</v>
      </c>
      <c r="E817" s="225">
        <f>+VLOOKUP(Table28[[#This Row],[DESCRIPCIÓN ]],INSUMOS!A:D,3,FALSE)</f>
        <v>7720.38</v>
      </c>
      <c r="F817" s="225">
        <f>+Table28[[#This Row],[CANTIDAD]]*Table28[[#This Row],[VALOR UNITARIO]]</f>
        <v>0</v>
      </c>
    </row>
    <row r="818" spans="1:6" s="193" customFormat="1" hidden="1" x14ac:dyDescent="0.3">
      <c r="A818" s="193">
        <v>607</v>
      </c>
      <c r="B818" s="193" t="s">
        <v>837</v>
      </c>
      <c r="C818" s="193" t="s">
        <v>55</v>
      </c>
      <c r="D818" s="226">
        <f>+ROUNDUP(SUMIFS('MEMORIA CANTIDADES'!E:E,'MEMORIA CANTIDADES'!B:B,Table28[[#This Row],[DESCRIPCIÓN ]],'MEMORIA CANTIDADES'!C:C,Table28[[#This Row],[UNIDAD]]),0)</f>
        <v>0</v>
      </c>
      <c r="E818" s="225">
        <f>+VLOOKUP(Table28[[#This Row],[DESCRIPCIÓN ]],INSUMOS!A:D,3,FALSE)</f>
        <v>10847.72</v>
      </c>
      <c r="F818" s="225">
        <f>+Table28[[#This Row],[CANTIDAD]]*Table28[[#This Row],[VALOR UNITARIO]]</f>
        <v>0</v>
      </c>
    </row>
    <row r="819" spans="1:6" s="193" customFormat="1" hidden="1" x14ac:dyDescent="0.3">
      <c r="A819" s="193">
        <v>608</v>
      </c>
      <c r="B819" s="193" t="s">
        <v>838</v>
      </c>
      <c r="C819" s="193" t="s">
        <v>55</v>
      </c>
      <c r="D819" s="226">
        <f>+ROUNDUP(SUMIFS('MEMORIA CANTIDADES'!E:E,'MEMORIA CANTIDADES'!B:B,Table28[[#This Row],[DESCRIPCIÓN ]],'MEMORIA CANTIDADES'!C:C,Table28[[#This Row],[UNIDAD]]),0)</f>
        <v>0</v>
      </c>
      <c r="E819" s="225">
        <f>+VLOOKUP(Table28[[#This Row],[DESCRIPCIÓN ]],INSUMOS!A:D,3,FALSE)</f>
        <v>11150.17</v>
      </c>
      <c r="F819" s="225">
        <f>+Table28[[#This Row],[CANTIDAD]]*Table28[[#This Row],[VALOR UNITARIO]]</f>
        <v>0</v>
      </c>
    </row>
    <row r="820" spans="1:6" s="193" customFormat="1" hidden="1" x14ac:dyDescent="0.3">
      <c r="A820" s="193">
        <v>609</v>
      </c>
      <c r="B820" s="193" t="s">
        <v>839</v>
      </c>
      <c r="C820" s="193" t="s">
        <v>55</v>
      </c>
      <c r="D820" s="226">
        <f>+ROUNDUP(SUMIFS('MEMORIA CANTIDADES'!E:E,'MEMORIA CANTIDADES'!B:B,Table28[[#This Row],[DESCRIPCIÓN ]],'MEMORIA CANTIDADES'!C:C,Table28[[#This Row],[UNIDAD]]),0)</f>
        <v>0</v>
      </c>
      <c r="E820" s="225">
        <f>+VLOOKUP(Table28[[#This Row],[DESCRIPCIÓN ]],INSUMOS!A:D,3,FALSE)</f>
        <v>8845.19</v>
      </c>
      <c r="F820" s="225">
        <f>+Table28[[#This Row],[CANTIDAD]]*Table28[[#This Row],[VALOR UNITARIO]]</f>
        <v>0</v>
      </c>
    </row>
    <row r="821" spans="1:6" s="193" customFormat="1" hidden="1" x14ac:dyDescent="0.3">
      <c r="A821" s="193">
        <v>610</v>
      </c>
      <c r="B821" s="193" t="s">
        <v>840</v>
      </c>
      <c r="C821" s="193" t="s">
        <v>55</v>
      </c>
      <c r="D821" s="226">
        <f>+ROUNDUP(SUMIFS('MEMORIA CANTIDADES'!E:E,'MEMORIA CANTIDADES'!B:B,Table28[[#This Row],[DESCRIPCIÓN ]],'MEMORIA CANTIDADES'!C:C,Table28[[#This Row],[UNIDAD]]),0)</f>
        <v>0</v>
      </c>
      <c r="E821" s="225">
        <f>+VLOOKUP(Table28[[#This Row],[DESCRIPCIÓN ]],INSUMOS!A:D,3,FALSE)</f>
        <v>15243.28</v>
      </c>
      <c r="F821" s="225">
        <f>+Table28[[#This Row],[CANTIDAD]]*Table28[[#This Row],[VALOR UNITARIO]]</f>
        <v>0</v>
      </c>
    </row>
    <row r="822" spans="1:6" s="193" customFormat="1" ht="28.8" hidden="1" x14ac:dyDescent="0.3">
      <c r="A822" s="193">
        <v>611</v>
      </c>
      <c r="B822" s="193" t="s">
        <v>841</v>
      </c>
      <c r="C822" s="193" t="s">
        <v>55</v>
      </c>
      <c r="D822" s="226">
        <f>+ROUNDUP(SUMIFS('MEMORIA CANTIDADES'!E:E,'MEMORIA CANTIDADES'!B:B,Table28[[#This Row],[DESCRIPCIÓN ]],'MEMORIA CANTIDADES'!C:C,Table28[[#This Row],[UNIDAD]]),0)</f>
        <v>0</v>
      </c>
      <c r="E822" s="225">
        <f>+VLOOKUP(Table28[[#This Row],[DESCRIPCIÓN ]],INSUMOS!A:D,3,FALSE)</f>
        <v>9447.7900000000009</v>
      </c>
      <c r="F822" s="225">
        <f>+Table28[[#This Row],[CANTIDAD]]*Table28[[#This Row],[VALOR UNITARIO]]</f>
        <v>0</v>
      </c>
    </row>
    <row r="823" spans="1:6" s="193" customFormat="1" ht="28.8" hidden="1" x14ac:dyDescent="0.3">
      <c r="A823" s="193">
        <v>612</v>
      </c>
      <c r="B823" s="193" t="s">
        <v>842</v>
      </c>
      <c r="C823" s="193" t="s">
        <v>55</v>
      </c>
      <c r="D823" s="226">
        <f>+ROUNDUP(SUMIFS('MEMORIA CANTIDADES'!E:E,'MEMORIA CANTIDADES'!B:B,Table28[[#This Row],[DESCRIPCIÓN ]],'MEMORIA CANTIDADES'!C:C,Table28[[#This Row],[UNIDAD]]),0)</f>
        <v>0</v>
      </c>
      <c r="E823" s="225">
        <f>+VLOOKUP(Table28[[#This Row],[DESCRIPCIÓN ]],INSUMOS!A:D,3,FALSE)</f>
        <v>13515.93</v>
      </c>
      <c r="F823" s="225">
        <f>+Table28[[#This Row],[CANTIDAD]]*Table28[[#This Row],[VALOR UNITARIO]]</f>
        <v>0</v>
      </c>
    </row>
    <row r="824" spans="1:6" s="193" customFormat="1" hidden="1" x14ac:dyDescent="0.3">
      <c r="A824" s="193">
        <v>613</v>
      </c>
      <c r="B824" s="193" t="s">
        <v>843</v>
      </c>
      <c r="C824" s="193" t="s">
        <v>55</v>
      </c>
      <c r="D824" s="226">
        <f>+ROUNDUP(SUMIFS('MEMORIA CANTIDADES'!E:E,'MEMORIA CANTIDADES'!B:B,Table28[[#This Row],[DESCRIPCIÓN ]],'MEMORIA CANTIDADES'!C:C,Table28[[#This Row],[UNIDAD]]),0)</f>
        <v>0</v>
      </c>
      <c r="E824" s="225">
        <f>+VLOOKUP(Table28[[#This Row],[DESCRIPCIÓN ]],INSUMOS!A:D,3,FALSE)</f>
        <v>16426.490000000002</v>
      </c>
      <c r="F824" s="225">
        <f>+Table28[[#This Row],[CANTIDAD]]*Table28[[#This Row],[VALOR UNITARIO]]</f>
        <v>0</v>
      </c>
    </row>
    <row r="825" spans="1:6" s="193" customFormat="1" hidden="1" x14ac:dyDescent="0.3">
      <c r="A825" s="193">
        <v>614</v>
      </c>
      <c r="B825" s="193" t="s">
        <v>844</v>
      </c>
      <c r="C825" s="193" t="s">
        <v>55</v>
      </c>
      <c r="D825" s="226">
        <f>+ROUNDUP(SUMIFS('MEMORIA CANTIDADES'!E:E,'MEMORIA CANTIDADES'!B:B,Table28[[#This Row],[DESCRIPCIÓN ]],'MEMORIA CANTIDADES'!C:C,Table28[[#This Row],[UNIDAD]]),0)</f>
        <v>0</v>
      </c>
      <c r="E825" s="225">
        <f>+VLOOKUP(Table28[[#This Row],[DESCRIPCIÓN ]],INSUMOS!A:D,3,FALSE)</f>
        <v>8402.5400000000009</v>
      </c>
      <c r="F825" s="225">
        <f>+Table28[[#This Row],[CANTIDAD]]*Table28[[#This Row],[VALOR UNITARIO]]</f>
        <v>0</v>
      </c>
    </row>
    <row r="826" spans="1:6" s="193" customFormat="1" hidden="1" x14ac:dyDescent="0.3">
      <c r="A826" s="193">
        <v>615</v>
      </c>
      <c r="B826" s="193" t="s">
        <v>845</v>
      </c>
      <c r="C826" s="193" t="s">
        <v>55</v>
      </c>
      <c r="D826" s="226">
        <f>+ROUNDUP(SUMIFS('MEMORIA CANTIDADES'!E:E,'MEMORIA CANTIDADES'!B:B,Table28[[#This Row],[DESCRIPCIÓN ]],'MEMORIA CANTIDADES'!C:C,Table28[[#This Row],[UNIDAD]]),0)</f>
        <v>0</v>
      </c>
      <c r="E826" s="225">
        <f>+VLOOKUP(Table28[[#This Row],[DESCRIPCIÓN ]],INSUMOS!A:D,3,FALSE)</f>
        <v>10821.69</v>
      </c>
      <c r="F826" s="225">
        <f>+Table28[[#This Row],[CANTIDAD]]*Table28[[#This Row],[VALOR UNITARIO]]</f>
        <v>0</v>
      </c>
    </row>
    <row r="827" spans="1:6" s="193" customFormat="1" hidden="1" x14ac:dyDescent="0.3">
      <c r="A827" s="193">
        <v>77</v>
      </c>
      <c r="B827" s="193" t="s">
        <v>846</v>
      </c>
      <c r="C827" s="193" t="s">
        <v>1273</v>
      </c>
      <c r="D827" s="226">
        <f>+ROUNDUP(SUMIFS('MEMORIA CANTIDADES'!E:E,'MEMORIA CANTIDADES'!B:B,Table28[[#This Row],[DESCRIPCIÓN ]],'MEMORIA CANTIDADES'!C:C,Table28[[#This Row],[UNIDAD]]),0)</f>
        <v>0</v>
      </c>
      <c r="E827" s="225">
        <f>+VLOOKUP(Table28[[#This Row],[DESCRIPCIÓN ]],INSUMOS!A:D,3,FALSE)</f>
        <v>212961.22</v>
      </c>
      <c r="F827" s="225">
        <f>+Table28[[#This Row],[CANTIDAD]]*Table28[[#This Row],[VALOR UNITARIO]]</f>
        <v>0</v>
      </c>
    </row>
    <row r="828" spans="1:6" s="193" customFormat="1" ht="28.8" hidden="1" x14ac:dyDescent="0.3">
      <c r="A828" s="193">
        <v>8</v>
      </c>
      <c r="B828" s="193" t="s">
        <v>2147</v>
      </c>
      <c r="C828" s="193" t="s">
        <v>55</v>
      </c>
      <c r="D828" s="226">
        <f>+ROUNDUP(SUMIFS('MEMORIA CANTIDADES'!E:E,'MEMORIA CANTIDADES'!B:B,Table28[[#This Row],[DESCRIPCIÓN ]],'MEMORIA CANTIDADES'!C:C,Table28[[#This Row],[UNIDAD]]),0)</f>
        <v>0</v>
      </c>
      <c r="E828" s="225">
        <f>+VLOOKUP(Table28[[#This Row],[DESCRIPCIÓN ]],INSUMOS!A:D,3,FALSE)</f>
        <v>24679.439999999999</v>
      </c>
      <c r="F828" s="225">
        <f>+Table28[[#This Row],[CANTIDAD]]*Table28[[#This Row],[VALOR UNITARIO]]</f>
        <v>0</v>
      </c>
    </row>
    <row r="829" spans="1:6" s="193" customFormat="1" ht="28.8" hidden="1" x14ac:dyDescent="0.3">
      <c r="A829" s="193">
        <v>9</v>
      </c>
      <c r="B829" s="193" t="s">
        <v>2148</v>
      </c>
      <c r="C829" s="193" t="s">
        <v>55</v>
      </c>
      <c r="D829" s="226">
        <f>+ROUNDUP(SUMIFS('MEMORIA CANTIDADES'!E:E,'MEMORIA CANTIDADES'!B:B,Table28[[#This Row],[DESCRIPCIÓN ]],'MEMORIA CANTIDADES'!C:C,Table28[[#This Row],[UNIDAD]]),0)</f>
        <v>0</v>
      </c>
      <c r="E829" s="225">
        <f>+VLOOKUP(Table28[[#This Row],[DESCRIPCIÓN ]],INSUMOS!A:D,3,FALSE)</f>
        <v>209441.37</v>
      </c>
      <c r="F829" s="225">
        <f>+Table28[[#This Row],[CANTIDAD]]*Table28[[#This Row],[VALOR UNITARIO]]</f>
        <v>0</v>
      </c>
    </row>
    <row r="830" spans="1:6" s="193" customFormat="1" ht="28.8" hidden="1" x14ac:dyDescent="0.3">
      <c r="A830" s="193">
        <v>32</v>
      </c>
      <c r="B830" s="193" t="s">
        <v>2154</v>
      </c>
      <c r="C830" s="193" t="s">
        <v>55</v>
      </c>
      <c r="D830" s="226">
        <f>+ROUNDUP(SUMIFS('MEMORIA CANTIDADES'!E:E,'MEMORIA CANTIDADES'!B:B,Table28[[#This Row],[DESCRIPCIÓN ]],'MEMORIA CANTIDADES'!C:C,Table28[[#This Row],[UNIDAD]]),0)</f>
        <v>0</v>
      </c>
      <c r="E830" s="225">
        <f>+VLOOKUP(Table28[[#This Row],[DESCRIPCIÓN ]],INSUMOS!A:D,3,FALSE)</f>
        <v>1521837.96</v>
      </c>
      <c r="F830" s="225">
        <f>+Table28[[#This Row],[CANTIDAD]]*Table28[[#This Row],[VALOR UNITARIO]]</f>
        <v>0</v>
      </c>
    </row>
    <row r="831" spans="1:6" s="193" customFormat="1" ht="28.8" hidden="1" x14ac:dyDescent="0.3">
      <c r="A831" s="193">
        <v>33</v>
      </c>
      <c r="B831" s="193" t="s">
        <v>2155</v>
      </c>
      <c r="C831" s="193" t="s">
        <v>55</v>
      </c>
      <c r="D831" s="226">
        <f>+ROUNDUP(SUMIFS('MEMORIA CANTIDADES'!E:E,'MEMORIA CANTIDADES'!B:B,Table28[[#This Row],[DESCRIPCIÓN ]],'MEMORIA CANTIDADES'!C:C,Table28[[#This Row],[UNIDAD]]),0)</f>
        <v>0</v>
      </c>
      <c r="E831" s="225">
        <f>+VLOOKUP(Table28[[#This Row],[DESCRIPCIÓN ]],INSUMOS!A:D,3,FALSE)</f>
        <v>217158.42</v>
      </c>
      <c r="F831" s="225">
        <f>+Table28[[#This Row],[CANTIDAD]]*Table28[[#This Row],[VALOR UNITARIO]]</f>
        <v>0</v>
      </c>
    </row>
    <row r="832" spans="1:6" s="193" customFormat="1" ht="28.8" hidden="1" x14ac:dyDescent="0.3">
      <c r="A832" s="193">
        <v>1198</v>
      </c>
      <c r="B832" s="193" t="s">
        <v>847</v>
      </c>
      <c r="C832" s="193" t="s">
        <v>55</v>
      </c>
      <c r="D832" s="226">
        <f>+ROUNDUP(SUMIFS('MEMORIA CANTIDADES'!E:E,'MEMORIA CANTIDADES'!B:B,Table28[[#This Row],[DESCRIPCIÓN ]],'MEMORIA CANTIDADES'!C:C,Table28[[#This Row],[UNIDAD]]),0)</f>
        <v>0</v>
      </c>
      <c r="E832" s="225">
        <f>+VLOOKUP(Table28[[#This Row],[DESCRIPCIÓN ]],INSUMOS!A:D,3,FALSE)</f>
        <v>31781.35</v>
      </c>
      <c r="F832" s="225">
        <f>+Table28[[#This Row],[CANTIDAD]]*Table28[[#This Row],[VALOR UNITARIO]]</f>
        <v>0</v>
      </c>
    </row>
    <row r="833" spans="1:6" s="193" customFormat="1" ht="28.8" hidden="1" x14ac:dyDescent="0.3">
      <c r="A833" s="193">
        <v>1199</v>
      </c>
      <c r="B833" s="193" t="s">
        <v>848</v>
      </c>
      <c r="C833" s="193" t="s">
        <v>55</v>
      </c>
      <c r="D833" s="226">
        <f>+ROUNDUP(SUMIFS('MEMORIA CANTIDADES'!E:E,'MEMORIA CANTIDADES'!B:B,Table28[[#This Row],[DESCRIPCIÓN ]],'MEMORIA CANTIDADES'!C:C,Table28[[#This Row],[UNIDAD]]),0)</f>
        <v>0</v>
      </c>
      <c r="E833" s="225">
        <f>+VLOOKUP(Table28[[#This Row],[DESCRIPCIÓN ]],INSUMOS!A:D,3,FALSE)</f>
        <v>16938.55</v>
      </c>
      <c r="F833" s="225">
        <f>+Table28[[#This Row],[CANTIDAD]]*Table28[[#This Row],[VALOR UNITARIO]]</f>
        <v>0</v>
      </c>
    </row>
    <row r="834" spans="1:6" s="193" customFormat="1" x14ac:dyDescent="0.3">
      <c r="A834" s="193">
        <v>741</v>
      </c>
      <c r="B834" s="193" t="s">
        <v>75</v>
      </c>
      <c r="C834" s="193" t="s">
        <v>1274</v>
      </c>
      <c r="D834" s="226">
        <f>+ROUNDUP(SUMIFS('MEMORIA CANTIDADES'!E:E,'MEMORIA CANTIDADES'!B:B,Table28[[#This Row],[DESCRIPCIÓN ]],'MEMORIA CANTIDADES'!C:C,Table28[[#This Row],[UNIDAD]]),0)</f>
        <v>6</v>
      </c>
      <c r="E834" s="225">
        <f>+VLOOKUP(Table28[[#This Row],[DESCRIPCIÓN ]],INSUMOS!A:D,3,FALSE)</f>
        <v>45829.21</v>
      </c>
      <c r="F834" s="225">
        <f>+Table28[[#This Row],[CANTIDAD]]*Table28[[#This Row],[VALOR UNITARIO]]</f>
        <v>274975.26</v>
      </c>
    </row>
    <row r="835" spans="1:6" s="193" customFormat="1" hidden="1" x14ac:dyDescent="0.3">
      <c r="A835" s="193">
        <v>309</v>
      </c>
      <c r="B835" s="193" t="s">
        <v>850</v>
      </c>
      <c r="C835" s="193" t="s">
        <v>55</v>
      </c>
      <c r="D835" s="226">
        <f>+ROUNDUP(SUMIFS('MEMORIA CANTIDADES'!E:E,'MEMORIA CANTIDADES'!B:B,Table28[[#This Row],[DESCRIPCIÓN ]],'MEMORIA CANTIDADES'!C:C,Table28[[#This Row],[UNIDAD]]),0)</f>
        <v>0</v>
      </c>
      <c r="E835" s="225">
        <f>+VLOOKUP(Table28[[#This Row],[DESCRIPCIÓN ]],INSUMOS!A:D,3,FALSE)</f>
        <v>87542.49</v>
      </c>
      <c r="F835" s="225">
        <f>+Table28[[#This Row],[CANTIDAD]]*Table28[[#This Row],[VALOR UNITARIO]]</f>
        <v>0</v>
      </c>
    </row>
    <row r="836" spans="1:6" s="193" customFormat="1" hidden="1" x14ac:dyDescent="0.3">
      <c r="A836" s="193">
        <v>616</v>
      </c>
      <c r="B836" s="193" t="s">
        <v>851</v>
      </c>
      <c r="C836" s="193" t="s">
        <v>55</v>
      </c>
      <c r="D836" s="226">
        <f>+ROUNDUP(SUMIFS('MEMORIA CANTIDADES'!E:E,'MEMORIA CANTIDADES'!B:B,Table28[[#This Row],[DESCRIPCIÓN ]],'MEMORIA CANTIDADES'!C:C,Table28[[#This Row],[UNIDAD]]),0)</f>
        <v>0</v>
      </c>
      <c r="E836" s="225">
        <f>+VLOOKUP(Table28[[#This Row],[DESCRIPCIÓN ]],INSUMOS!A:D,3,FALSE)</f>
        <v>13868.55</v>
      </c>
      <c r="F836" s="225">
        <f>+Table28[[#This Row],[CANTIDAD]]*Table28[[#This Row],[VALOR UNITARIO]]</f>
        <v>0</v>
      </c>
    </row>
    <row r="837" spans="1:6" s="193" customFormat="1" hidden="1" x14ac:dyDescent="0.3">
      <c r="A837" s="193">
        <v>617</v>
      </c>
      <c r="B837" s="193" t="s">
        <v>852</v>
      </c>
      <c r="C837" s="193" t="s">
        <v>55</v>
      </c>
      <c r="D837" s="226">
        <f>+ROUNDUP(SUMIFS('MEMORIA CANTIDADES'!E:E,'MEMORIA CANTIDADES'!B:B,Table28[[#This Row],[DESCRIPCIÓN ]],'MEMORIA CANTIDADES'!C:C,Table28[[#This Row],[UNIDAD]]),0)</f>
        <v>0</v>
      </c>
      <c r="E837" s="225">
        <f>+VLOOKUP(Table28[[#This Row],[DESCRIPCIÓN ]],INSUMOS!A:D,3,FALSE)</f>
        <v>22652.55</v>
      </c>
      <c r="F837" s="225">
        <f>+Table28[[#This Row],[CANTIDAD]]*Table28[[#This Row],[VALOR UNITARIO]]</f>
        <v>0</v>
      </c>
    </row>
    <row r="838" spans="1:6" s="193" customFormat="1" hidden="1" x14ac:dyDescent="0.3">
      <c r="A838" s="193">
        <v>618</v>
      </c>
      <c r="B838" s="193" t="s">
        <v>853</v>
      </c>
      <c r="C838" s="193" t="s">
        <v>55</v>
      </c>
      <c r="D838" s="226">
        <f>+ROUNDUP(SUMIFS('MEMORIA CANTIDADES'!E:E,'MEMORIA CANTIDADES'!B:B,Table28[[#This Row],[DESCRIPCIÓN ]],'MEMORIA CANTIDADES'!C:C,Table28[[#This Row],[UNIDAD]]),0)</f>
        <v>0</v>
      </c>
      <c r="E838" s="225">
        <f>+VLOOKUP(Table28[[#This Row],[DESCRIPCIÓN ]],INSUMOS!A:D,3,FALSE)</f>
        <v>48498.89</v>
      </c>
      <c r="F838" s="225">
        <f>+Table28[[#This Row],[CANTIDAD]]*Table28[[#This Row],[VALOR UNITARIO]]</f>
        <v>0</v>
      </c>
    </row>
    <row r="839" spans="1:6" s="193" customFormat="1" hidden="1" x14ac:dyDescent="0.3">
      <c r="A839" s="193">
        <v>619</v>
      </c>
      <c r="B839" s="193" t="s">
        <v>854</v>
      </c>
      <c r="C839" s="193" t="s">
        <v>55</v>
      </c>
      <c r="D839" s="226">
        <f>+ROUNDUP(SUMIFS('MEMORIA CANTIDADES'!E:E,'MEMORIA CANTIDADES'!B:B,Table28[[#This Row],[DESCRIPCIÓN ]],'MEMORIA CANTIDADES'!C:C,Table28[[#This Row],[UNIDAD]]),0)</f>
        <v>0</v>
      </c>
      <c r="E839" s="225">
        <f>+VLOOKUP(Table28[[#This Row],[DESCRIPCIÓN ]],INSUMOS!A:D,3,FALSE)</f>
        <v>51812.2</v>
      </c>
      <c r="F839" s="225">
        <f>+Table28[[#This Row],[CANTIDAD]]*Table28[[#This Row],[VALOR UNITARIO]]</f>
        <v>0</v>
      </c>
    </row>
    <row r="840" spans="1:6" s="193" customFormat="1" hidden="1" x14ac:dyDescent="0.3">
      <c r="A840" s="193">
        <v>620</v>
      </c>
      <c r="B840" s="193" t="s">
        <v>855</v>
      </c>
      <c r="C840" s="193" t="s">
        <v>55</v>
      </c>
      <c r="D840" s="226">
        <f>+ROUNDUP(SUMIFS('MEMORIA CANTIDADES'!E:E,'MEMORIA CANTIDADES'!B:B,Table28[[#This Row],[DESCRIPCIÓN ]],'MEMORIA CANTIDADES'!C:C,Table28[[#This Row],[UNIDAD]]),0)</f>
        <v>0</v>
      </c>
      <c r="E840" s="225">
        <f>+VLOOKUP(Table28[[#This Row],[DESCRIPCIÓN ]],INSUMOS!A:D,3,FALSE)</f>
        <v>4250.78</v>
      </c>
      <c r="F840" s="225">
        <f>+Table28[[#This Row],[CANTIDAD]]*Table28[[#This Row],[VALOR UNITARIO]]</f>
        <v>0</v>
      </c>
    </row>
    <row r="841" spans="1:6" s="193" customFormat="1" hidden="1" x14ac:dyDescent="0.3">
      <c r="A841" s="193">
        <v>621</v>
      </c>
      <c r="B841" s="193" t="s">
        <v>856</v>
      </c>
      <c r="C841" s="193" t="s">
        <v>55</v>
      </c>
      <c r="D841" s="226">
        <f>+ROUNDUP(SUMIFS('MEMORIA CANTIDADES'!E:E,'MEMORIA CANTIDADES'!B:B,Table28[[#This Row],[DESCRIPCIÓN ]],'MEMORIA CANTIDADES'!C:C,Table28[[#This Row],[UNIDAD]]),0)</f>
        <v>0</v>
      </c>
      <c r="E841" s="225">
        <f>+VLOOKUP(Table28[[#This Row],[DESCRIPCIÓN ]],INSUMOS!A:D,3,FALSE)</f>
        <v>6962.72</v>
      </c>
      <c r="F841" s="225">
        <f>+Table28[[#This Row],[CANTIDAD]]*Table28[[#This Row],[VALOR UNITARIO]]</f>
        <v>0</v>
      </c>
    </row>
    <row r="842" spans="1:6" s="193" customFormat="1" ht="28.8" hidden="1" x14ac:dyDescent="0.3">
      <c r="A842" s="193">
        <v>622</v>
      </c>
      <c r="B842" s="193" t="s">
        <v>857</v>
      </c>
      <c r="C842" s="193" t="s">
        <v>55</v>
      </c>
      <c r="D842" s="226">
        <f>+ROUNDUP(SUMIFS('MEMORIA CANTIDADES'!E:E,'MEMORIA CANTIDADES'!B:B,Table28[[#This Row],[DESCRIPCIÓN ]],'MEMORIA CANTIDADES'!C:C,Table28[[#This Row],[UNIDAD]]),0)</f>
        <v>0</v>
      </c>
      <c r="E842" s="225">
        <f>+VLOOKUP(Table28[[#This Row],[DESCRIPCIÓN ]],INSUMOS!A:D,3,FALSE)</f>
        <v>7143.64</v>
      </c>
      <c r="F842" s="225">
        <f>+Table28[[#This Row],[CANTIDAD]]*Table28[[#This Row],[VALOR UNITARIO]]</f>
        <v>0</v>
      </c>
    </row>
    <row r="843" spans="1:6" s="193" customFormat="1" hidden="1" x14ac:dyDescent="0.3">
      <c r="A843" s="193">
        <v>623</v>
      </c>
      <c r="B843" s="193" t="s">
        <v>858</v>
      </c>
      <c r="C843" s="193" t="s">
        <v>55</v>
      </c>
      <c r="D843" s="226">
        <f>+ROUNDUP(SUMIFS('MEMORIA CANTIDADES'!E:E,'MEMORIA CANTIDADES'!B:B,Table28[[#This Row],[DESCRIPCIÓN ]],'MEMORIA CANTIDADES'!C:C,Table28[[#This Row],[UNIDAD]]),0)</f>
        <v>0</v>
      </c>
      <c r="E843" s="225">
        <f>+VLOOKUP(Table28[[#This Row],[DESCRIPCIÓN ]],INSUMOS!A:D,3,FALSE)</f>
        <v>33466.480000000003</v>
      </c>
      <c r="F843" s="225">
        <f>+Table28[[#This Row],[CANTIDAD]]*Table28[[#This Row],[VALOR UNITARIO]]</f>
        <v>0</v>
      </c>
    </row>
    <row r="844" spans="1:6" s="193" customFormat="1" hidden="1" x14ac:dyDescent="0.3">
      <c r="A844" s="193">
        <v>624</v>
      </c>
      <c r="B844" s="193" t="s">
        <v>859</v>
      </c>
      <c r="C844" s="193" t="s">
        <v>55</v>
      </c>
      <c r="D844" s="226">
        <f>+ROUNDUP(SUMIFS('MEMORIA CANTIDADES'!E:E,'MEMORIA CANTIDADES'!B:B,Table28[[#This Row],[DESCRIPCIÓN ]],'MEMORIA CANTIDADES'!C:C,Table28[[#This Row],[UNIDAD]]),0)</f>
        <v>0</v>
      </c>
      <c r="E844" s="225">
        <f>+VLOOKUP(Table28[[#This Row],[DESCRIPCIÓN ]],INSUMOS!A:D,3,FALSE)</f>
        <v>50511.46</v>
      </c>
      <c r="F844" s="225">
        <f>+Table28[[#This Row],[CANTIDAD]]*Table28[[#This Row],[VALOR UNITARIO]]</f>
        <v>0</v>
      </c>
    </row>
    <row r="845" spans="1:6" s="193" customFormat="1" hidden="1" x14ac:dyDescent="0.3">
      <c r="A845" s="193">
        <v>625</v>
      </c>
      <c r="B845" s="193" t="s">
        <v>860</v>
      </c>
      <c r="C845" s="193" t="s">
        <v>55</v>
      </c>
      <c r="D845" s="226">
        <f>+ROUNDUP(SUMIFS('MEMORIA CANTIDADES'!E:E,'MEMORIA CANTIDADES'!B:B,Table28[[#This Row],[DESCRIPCIÓN ]],'MEMORIA CANTIDADES'!C:C,Table28[[#This Row],[UNIDAD]]),0)</f>
        <v>0</v>
      </c>
      <c r="E845" s="225">
        <f>+VLOOKUP(Table28[[#This Row],[DESCRIPCIÓN ]],INSUMOS!A:D,3,FALSE)</f>
        <v>78383.77</v>
      </c>
      <c r="F845" s="225">
        <f>+Table28[[#This Row],[CANTIDAD]]*Table28[[#This Row],[VALOR UNITARIO]]</f>
        <v>0</v>
      </c>
    </row>
    <row r="846" spans="1:6" s="193" customFormat="1" hidden="1" x14ac:dyDescent="0.3">
      <c r="A846" s="193">
        <v>626</v>
      </c>
      <c r="B846" s="193" t="s">
        <v>861</v>
      </c>
      <c r="C846" s="193" t="s">
        <v>55</v>
      </c>
      <c r="D846" s="226">
        <f>+ROUNDUP(SUMIFS('MEMORIA CANTIDADES'!E:E,'MEMORIA CANTIDADES'!B:B,Table28[[#This Row],[DESCRIPCIÓN ]],'MEMORIA CANTIDADES'!C:C,Table28[[#This Row],[UNIDAD]]),0)</f>
        <v>0</v>
      </c>
      <c r="E846" s="225">
        <f>+VLOOKUP(Table28[[#This Row],[DESCRIPCIÓN ]],INSUMOS!A:D,3,FALSE)</f>
        <v>21369.75</v>
      </c>
      <c r="F846" s="225">
        <f>+Table28[[#This Row],[CANTIDAD]]*Table28[[#This Row],[VALOR UNITARIO]]</f>
        <v>0</v>
      </c>
    </row>
    <row r="847" spans="1:6" s="193" customFormat="1" hidden="1" x14ac:dyDescent="0.3">
      <c r="A847" s="193">
        <v>627</v>
      </c>
      <c r="B847" s="193" t="s">
        <v>862</v>
      </c>
      <c r="C847" s="193" t="s">
        <v>55</v>
      </c>
      <c r="D847" s="226">
        <f>+ROUNDUP(SUMIFS('MEMORIA CANTIDADES'!E:E,'MEMORIA CANTIDADES'!B:B,Table28[[#This Row],[DESCRIPCIÓN ]],'MEMORIA CANTIDADES'!C:C,Table28[[#This Row],[UNIDAD]]),0)</f>
        <v>0</v>
      </c>
      <c r="E847" s="225">
        <f>+VLOOKUP(Table28[[#This Row],[DESCRIPCIÓN ]],INSUMOS!A:D,3,FALSE)</f>
        <v>23737.4</v>
      </c>
      <c r="F847" s="225">
        <f>+Table28[[#This Row],[CANTIDAD]]*Table28[[#This Row],[VALOR UNITARIO]]</f>
        <v>0</v>
      </c>
    </row>
    <row r="848" spans="1:6" s="193" customFormat="1" ht="28.8" hidden="1" x14ac:dyDescent="0.3">
      <c r="A848" s="193">
        <v>628</v>
      </c>
      <c r="B848" s="193" t="s">
        <v>863</v>
      </c>
      <c r="C848" s="193" t="s">
        <v>55</v>
      </c>
      <c r="D848" s="226">
        <f>+ROUNDUP(SUMIFS('MEMORIA CANTIDADES'!E:E,'MEMORIA CANTIDADES'!B:B,Table28[[#This Row],[DESCRIPCIÓN ]],'MEMORIA CANTIDADES'!C:C,Table28[[#This Row],[UNIDAD]]),0)</f>
        <v>0</v>
      </c>
      <c r="E848" s="225">
        <f>+VLOOKUP(Table28[[#This Row],[DESCRIPCIÓN ]],INSUMOS!A:D,3,FALSE)</f>
        <v>12592.07</v>
      </c>
      <c r="F848" s="225">
        <f>+Table28[[#This Row],[CANTIDAD]]*Table28[[#This Row],[VALOR UNITARIO]]</f>
        <v>0</v>
      </c>
    </row>
    <row r="849" spans="1:6" s="193" customFormat="1" ht="28.8" hidden="1" x14ac:dyDescent="0.3">
      <c r="A849" s="193">
        <v>629</v>
      </c>
      <c r="B849" s="193" t="s">
        <v>864</v>
      </c>
      <c r="C849" s="193" t="s">
        <v>55</v>
      </c>
      <c r="D849" s="226">
        <f>+ROUNDUP(SUMIFS('MEMORIA CANTIDADES'!E:E,'MEMORIA CANTIDADES'!B:B,Table28[[#This Row],[DESCRIPCIÓN ]],'MEMORIA CANTIDADES'!C:C,Table28[[#This Row],[UNIDAD]]),0)</f>
        <v>0</v>
      </c>
      <c r="E849" s="225">
        <f>+VLOOKUP(Table28[[#This Row],[DESCRIPCIÓN ]],INSUMOS!A:D,3,FALSE)</f>
        <v>13710.72</v>
      </c>
      <c r="F849" s="225">
        <f>+Table28[[#This Row],[CANTIDAD]]*Table28[[#This Row],[VALOR UNITARIO]]</f>
        <v>0</v>
      </c>
    </row>
    <row r="850" spans="1:6" s="193" customFormat="1" hidden="1" x14ac:dyDescent="0.3">
      <c r="A850" s="193">
        <v>168</v>
      </c>
      <c r="B850" s="193" t="s">
        <v>865</v>
      </c>
      <c r="C850" s="193" t="s">
        <v>55</v>
      </c>
      <c r="D850" s="226">
        <f>+ROUNDUP(SUMIFS('MEMORIA CANTIDADES'!E:E,'MEMORIA CANTIDADES'!B:B,Table28[[#This Row],[DESCRIPCIÓN ]],'MEMORIA CANTIDADES'!C:C,Table28[[#This Row],[UNIDAD]]),0)</f>
        <v>0</v>
      </c>
      <c r="E850" s="225">
        <f>+VLOOKUP(Table28[[#This Row],[DESCRIPCIÓN ]],INSUMOS!A:D,3,FALSE)</f>
        <v>30071.03</v>
      </c>
      <c r="F850" s="225">
        <f>+Table28[[#This Row],[CANTIDAD]]*Table28[[#This Row],[VALOR UNITARIO]]</f>
        <v>0</v>
      </c>
    </row>
    <row r="851" spans="1:6" s="193" customFormat="1" hidden="1" x14ac:dyDescent="0.3">
      <c r="A851" s="193">
        <v>630</v>
      </c>
      <c r="B851" s="193" t="s">
        <v>866</v>
      </c>
      <c r="C851" s="193" t="s">
        <v>55</v>
      </c>
      <c r="D851" s="226">
        <f>+ROUNDUP(SUMIFS('MEMORIA CANTIDADES'!E:E,'MEMORIA CANTIDADES'!B:B,Table28[[#This Row],[DESCRIPCIÓN ]],'MEMORIA CANTIDADES'!C:C,Table28[[#This Row],[UNIDAD]]),0)</f>
        <v>0</v>
      </c>
      <c r="E851" s="225">
        <f>+VLOOKUP(Table28[[#This Row],[DESCRIPCIÓN ]],INSUMOS!A:D,3,FALSE)</f>
        <v>19600.419999999998</v>
      </c>
      <c r="F851" s="225">
        <f>+Table28[[#This Row],[CANTIDAD]]*Table28[[#This Row],[VALOR UNITARIO]]</f>
        <v>0</v>
      </c>
    </row>
    <row r="852" spans="1:6" s="193" customFormat="1" hidden="1" x14ac:dyDescent="0.3">
      <c r="A852" s="193">
        <v>631</v>
      </c>
      <c r="B852" s="193" t="s">
        <v>867</v>
      </c>
      <c r="C852" s="193" t="s">
        <v>55</v>
      </c>
      <c r="D852" s="226">
        <f>+ROUNDUP(SUMIFS('MEMORIA CANTIDADES'!E:E,'MEMORIA CANTIDADES'!B:B,Table28[[#This Row],[DESCRIPCIÓN ]],'MEMORIA CANTIDADES'!C:C,Table28[[#This Row],[UNIDAD]]),0)</f>
        <v>0</v>
      </c>
      <c r="E852" s="225">
        <f>+VLOOKUP(Table28[[#This Row],[DESCRIPCIÓN ]],INSUMOS!A:D,3,FALSE)</f>
        <v>20079.34</v>
      </c>
      <c r="F852" s="225">
        <f>+Table28[[#This Row],[CANTIDAD]]*Table28[[#This Row],[VALOR UNITARIO]]</f>
        <v>0</v>
      </c>
    </row>
    <row r="853" spans="1:6" s="193" customFormat="1" ht="28.8" hidden="1" x14ac:dyDescent="0.3">
      <c r="A853" s="193">
        <v>1232</v>
      </c>
      <c r="B853" s="193" t="s">
        <v>868</v>
      </c>
      <c r="C853" s="193" t="s">
        <v>55</v>
      </c>
      <c r="D853" s="226">
        <f>+ROUNDUP(SUMIFS('MEMORIA CANTIDADES'!E:E,'MEMORIA CANTIDADES'!B:B,Table28[[#This Row],[DESCRIPCIÓN ]],'MEMORIA CANTIDADES'!C:C,Table28[[#This Row],[UNIDAD]]),0)</f>
        <v>0</v>
      </c>
      <c r="E853" s="225">
        <f>+VLOOKUP(Table28[[#This Row],[DESCRIPCIÓN ]],INSUMOS!A:D,3,FALSE)</f>
        <v>54421.81</v>
      </c>
      <c r="F853" s="225">
        <f>+Table28[[#This Row],[CANTIDAD]]*Table28[[#This Row],[VALOR UNITARIO]]</f>
        <v>0</v>
      </c>
    </row>
    <row r="854" spans="1:6" s="193" customFormat="1" ht="28.8" hidden="1" x14ac:dyDescent="0.3">
      <c r="A854" s="193">
        <v>1231</v>
      </c>
      <c r="B854" s="193" t="s">
        <v>869</v>
      </c>
      <c r="C854" s="193" t="s">
        <v>55</v>
      </c>
      <c r="D854" s="226">
        <f>+ROUNDUP(SUMIFS('MEMORIA CANTIDADES'!E:E,'MEMORIA CANTIDADES'!B:B,Table28[[#This Row],[DESCRIPCIÓN ]],'MEMORIA CANTIDADES'!C:C,Table28[[#This Row],[UNIDAD]]),0)</f>
        <v>0</v>
      </c>
      <c r="E854" s="225">
        <f>+VLOOKUP(Table28[[#This Row],[DESCRIPCIÓN ]],INSUMOS!A:D,3,FALSE)</f>
        <v>62021.67</v>
      </c>
      <c r="F854" s="225">
        <f>+Table28[[#This Row],[CANTIDAD]]*Table28[[#This Row],[VALOR UNITARIO]]</f>
        <v>0</v>
      </c>
    </row>
    <row r="855" spans="1:6" s="193" customFormat="1" ht="28.8" hidden="1" x14ac:dyDescent="0.3">
      <c r="A855" s="193">
        <v>1233</v>
      </c>
      <c r="B855" s="193" t="s">
        <v>2233</v>
      </c>
      <c r="C855" s="193" t="s">
        <v>55</v>
      </c>
      <c r="D855" s="226">
        <f>+ROUNDUP(SUMIFS('MEMORIA CANTIDADES'!E:E,'MEMORIA CANTIDADES'!B:B,Table28[[#This Row],[DESCRIPCIÓN ]],'MEMORIA CANTIDADES'!C:C,Table28[[#This Row],[UNIDAD]]),0)</f>
        <v>0</v>
      </c>
      <c r="E855" s="225">
        <f>+VLOOKUP(Table28[[#This Row],[DESCRIPCIÓN ]],INSUMOS!A:D,3,FALSE)</f>
        <v>69779.78</v>
      </c>
      <c r="F855" s="225">
        <f>+Table28[[#This Row],[CANTIDAD]]*Table28[[#This Row],[VALOR UNITARIO]]</f>
        <v>0</v>
      </c>
    </row>
    <row r="856" spans="1:6" s="193" customFormat="1" ht="28.8" hidden="1" x14ac:dyDescent="0.3">
      <c r="A856" s="193">
        <v>632</v>
      </c>
      <c r="B856" s="193" t="s">
        <v>870</v>
      </c>
      <c r="C856" s="193" t="s">
        <v>1276</v>
      </c>
      <c r="D856" s="226">
        <f>+ROUNDUP(SUMIFS('MEMORIA CANTIDADES'!E:E,'MEMORIA CANTIDADES'!B:B,Table28[[#This Row],[DESCRIPCIÓN ]],'MEMORIA CANTIDADES'!C:C,Table28[[#This Row],[UNIDAD]]),0)</f>
        <v>0</v>
      </c>
      <c r="E856" s="225">
        <f>+VLOOKUP(Table28[[#This Row],[DESCRIPCIÓN ]],INSUMOS!A:D,3,FALSE)</f>
        <v>34206.239999999998</v>
      </c>
      <c r="F856" s="225">
        <f>+Table28[[#This Row],[CANTIDAD]]*Table28[[#This Row],[VALOR UNITARIO]]</f>
        <v>0</v>
      </c>
    </row>
    <row r="857" spans="1:6" s="193" customFormat="1" hidden="1" x14ac:dyDescent="0.3">
      <c r="A857" s="193">
        <v>11</v>
      </c>
      <c r="B857" s="193" t="s">
        <v>871</v>
      </c>
      <c r="C857" s="193" t="s">
        <v>55</v>
      </c>
      <c r="D857" s="226">
        <f>+ROUNDUP(SUMIFS('MEMORIA CANTIDADES'!E:E,'MEMORIA CANTIDADES'!B:B,Table28[[#This Row],[DESCRIPCIÓN ]],'MEMORIA CANTIDADES'!C:C,Table28[[#This Row],[UNIDAD]]),0)</f>
        <v>0</v>
      </c>
      <c r="E857" s="225">
        <f>+VLOOKUP(Table28[[#This Row],[DESCRIPCIÓN ]],INSUMOS!A:D,3,FALSE)</f>
        <v>68151.25</v>
      </c>
      <c r="F857" s="225">
        <f>+Table28[[#This Row],[CANTIDAD]]*Table28[[#This Row],[VALOR UNITARIO]]</f>
        <v>0</v>
      </c>
    </row>
    <row r="858" spans="1:6" s="193" customFormat="1" ht="28.8" hidden="1" x14ac:dyDescent="0.3">
      <c r="A858" s="193">
        <v>37</v>
      </c>
      <c r="B858" s="193" t="s">
        <v>2156</v>
      </c>
      <c r="C858" s="193" t="s">
        <v>55</v>
      </c>
      <c r="D858" s="226">
        <f>+ROUNDUP(SUMIFS('MEMORIA CANTIDADES'!E:E,'MEMORIA CANTIDADES'!B:B,Table28[[#This Row],[DESCRIPCIÓN ]],'MEMORIA CANTIDADES'!C:C,Table28[[#This Row],[UNIDAD]]),0)</f>
        <v>0</v>
      </c>
      <c r="E858" s="225">
        <f>+VLOOKUP(Table28[[#This Row],[DESCRIPCIÓN ]],INSUMOS!A:D,3,FALSE)</f>
        <v>57292</v>
      </c>
      <c r="F858" s="225">
        <f>+Table28[[#This Row],[CANTIDAD]]*Table28[[#This Row],[VALOR UNITARIO]]</f>
        <v>0</v>
      </c>
    </row>
    <row r="859" spans="1:6" s="193" customFormat="1" hidden="1" x14ac:dyDescent="0.3">
      <c r="A859" s="193">
        <v>12</v>
      </c>
      <c r="B859" s="193" t="s">
        <v>872</v>
      </c>
      <c r="C859" s="193" t="s">
        <v>55</v>
      </c>
      <c r="D859" s="226">
        <f>+ROUNDUP(SUMIFS('MEMORIA CANTIDADES'!E:E,'MEMORIA CANTIDADES'!B:B,Table28[[#This Row],[DESCRIPCIÓN ]],'MEMORIA CANTIDADES'!C:C,Table28[[#This Row],[UNIDAD]]),0)</f>
        <v>0</v>
      </c>
      <c r="E859" s="225">
        <f>+VLOOKUP(Table28[[#This Row],[DESCRIPCIÓN ]],INSUMOS!A:D,3,FALSE)</f>
        <v>57657.67</v>
      </c>
      <c r="F859" s="225">
        <f>+Table28[[#This Row],[CANTIDAD]]*Table28[[#This Row],[VALOR UNITARIO]]</f>
        <v>0</v>
      </c>
    </row>
    <row r="860" spans="1:6" s="193" customFormat="1" hidden="1" x14ac:dyDescent="0.3">
      <c r="A860" s="193">
        <v>13</v>
      </c>
      <c r="B860" s="193" t="s">
        <v>873</v>
      </c>
      <c r="C860" s="193" t="s">
        <v>55</v>
      </c>
      <c r="D860" s="226">
        <f>+ROUNDUP(SUMIFS('MEMORIA CANTIDADES'!E:E,'MEMORIA CANTIDADES'!B:B,Table28[[#This Row],[DESCRIPCIÓN ]],'MEMORIA CANTIDADES'!C:C,Table28[[#This Row],[UNIDAD]]),0)</f>
        <v>0</v>
      </c>
      <c r="E860" s="225">
        <f>+VLOOKUP(Table28[[#This Row],[DESCRIPCIÓN ]],INSUMOS!A:D,3,FALSE)</f>
        <v>60643.71</v>
      </c>
      <c r="F860" s="225">
        <f>+Table28[[#This Row],[CANTIDAD]]*Table28[[#This Row],[VALOR UNITARIO]]</f>
        <v>0</v>
      </c>
    </row>
    <row r="861" spans="1:6" s="193" customFormat="1" hidden="1" x14ac:dyDescent="0.3">
      <c r="A861" s="193">
        <v>1041</v>
      </c>
      <c r="B861" s="193" t="s">
        <v>874</v>
      </c>
      <c r="C861" s="193" t="s">
        <v>55</v>
      </c>
      <c r="D861" s="226">
        <f>+ROUNDUP(SUMIFS('MEMORIA CANTIDADES'!E:E,'MEMORIA CANTIDADES'!B:B,Table28[[#This Row],[DESCRIPCIÓN ]],'MEMORIA CANTIDADES'!C:C,Table28[[#This Row],[UNIDAD]]),0)</f>
        <v>0</v>
      </c>
      <c r="E861" s="225">
        <f>+VLOOKUP(Table28[[#This Row],[DESCRIPCIÓN ]],INSUMOS!A:D,3,FALSE)</f>
        <v>14814.97</v>
      </c>
      <c r="F861" s="225">
        <f>+Table28[[#This Row],[CANTIDAD]]*Table28[[#This Row],[VALOR UNITARIO]]</f>
        <v>0</v>
      </c>
    </row>
    <row r="862" spans="1:6" s="193" customFormat="1" hidden="1" x14ac:dyDescent="0.3">
      <c r="A862" s="193">
        <v>1042</v>
      </c>
      <c r="B862" s="193" t="s">
        <v>875</v>
      </c>
      <c r="C862" s="193" t="s">
        <v>55</v>
      </c>
      <c r="D862" s="226">
        <f>+ROUNDUP(SUMIFS('MEMORIA CANTIDADES'!E:E,'MEMORIA CANTIDADES'!B:B,Table28[[#This Row],[DESCRIPCIÓN ]],'MEMORIA CANTIDADES'!C:C,Table28[[#This Row],[UNIDAD]]),0)</f>
        <v>0</v>
      </c>
      <c r="E862" s="225">
        <f>+VLOOKUP(Table28[[#This Row],[DESCRIPCIÓN ]],INSUMOS!A:D,3,FALSE)</f>
        <v>33112.71</v>
      </c>
      <c r="F862" s="225">
        <f>+Table28[[#This Row],[CANTIDAD]]*Table28[[#This Row],[VALOR UNITARIO]]</f>
        <v>0</v>
      </c>
    </row>
    <row r="863" spans="1:6" s="193" customFormat="1" hidden="1" x14ac:dyDescent="0.3">
      <c r="A863" s="193">
        <v>1043</v>
      </c>
      <c r="B863" s="193" t="s">
        <v>876</v>
      </c>
      <c r="C863" s="193" t="s">
        <v>55</v>
      </c>
      <c r="D863" s="226">
        <f>+ROUNDUP(SUMIFS('MEMORIA CANTIDADES'!E:E,'MEMORIA CANTIDADES'!B:B,Table28[[#This Row],[DESCRIPCIÓN ]],'MEMORIA CANTIDADES'!C:C,Table28[[#This Row],[UNIDAD]]),0)</f>
        <v>0</v>
      </c>
      <c r="E863" s="225">
        <f>+VLOOKUP(Table28[[#This Row],[DESCRIPCIÓN ]],INSUMOS!A:D,3,FALSE)</f>
        <v>7582.54</v>
      </c>
      <c r="F863" s="225">
        <f>+Table28[[#This Row],[CANTIDAD]]*Table28[[#This Row],[VALOR UNITARIO]]</f>
        <v>0</v>
      </c>
    </row>
    <row r="864" spans="1:6" s="193" customFormat="1" hidden="1" x14ac:dyDescent="0.3">
      <c r="A864" s="193">
        <v>1044</v>
      </c>
      <c r="B864" s="193" t="s">
        <v>877</v>
      </c>
      <c r="C864" s="193" t="s">
        <v>55</v>
      </c>
      <c r="D864" s="226">
        <f>+ROUNDUP(SUMIFS('MEMORIA CANTIDADES'!E:E,'MEMORIA CANTIDADES'!B:B,Table28[[#This Row],[DESCRIPCIÓN ]],'MEMORIA CANTIDADES'!C:C,Table28[[#This Row],[UNIDAD]]),0)</f>
        <v>0</v>
      </c>
      <c r="E864" s="225">
        <f>+VLOOKUP(Table28[[#This Row],[DESCRIPCIÓN ]],INSUMOS!A:D,3,FALSE)</f>
        <v>20154.59</v>
      </c>
      <c r="F864" s="225">
        <f>+Table28[[#This Row],[CANTIDAD]]*Table28[[#This Row],[VALOR UNITARIO]]</f>
        <v>0</v>
      </c>
    </row>
    <row r="865" spans="1:6" s="193" customFormat="1" hidden="1" x14ac:dyDescent="0.3">
      <c r="A865" s="193">
        <v>1045</v>
      </c>
      <c r="B865" s="193" t="s">
        <v>878</v>
      </c>
      <c r="C865" s="193" t="s">
        <v>55</v>
      </c>
      <c r="D865" s="226">
        <f>+ROUNDUP(SUMIFS('MEMORIA CANTIDADES'!E:E,'MEMORIA CANTIDADES'!B:B,Table28[[#This Row],[DESCRIPCIÓN ]],'MEMORIA CANTIDADES'!C:C,Table28[[#This Row],[UNIDAD]]),0)</f>
        <v>0</v>
      </c>
      <c r="E865" s="225">
        <f>+VLOOKUP(Table28[[#This Row],[DESCRIPCIÓN ]],INSUMOS!A:D,3,FALSE)</f>
        <v>42134.14</v>
      </c>
      <c r="F865" s="225">
        <f>+Table28[[#This Row],[CANTIDAD]]*Table28[[#This Row],[VALOR UNITARIO]]</f>
        <v>0</v>
      </c>
    </row>
    <row r="866" spans="1:6" s="193" customFormat="1" hidden="1" x14ac:dyDescent="0.3">
      <c r="A866" s="193">
        <v>1046</v>
      </c>
      <c r="B866" s="193" t="s">
        <v>879</v>
      </c>
      <c r="C866" s="193" t="s">
        <v>55</v>
      </c>
      <c r="D866" s="226">
        <f>+ROUNDUP(SUMIFS('MEMORIA CANTIDADES'!E:E,'MEMORIA CANTIDADES'!B:B,Table28[[#This Row],[DESCRIPCIÓN ]],'MEMORIA CANTIDADES'!C:C,Table28[[#This Row],[UNIDAD]]),0)</f>
        <v>0</v>
      </c>
      <c r="E866" s="225">
        <f>+VLOOKUP(Table28[[#This Row],[DESCRIPCIÓN ]],INSUMOS!A:D,3,FALSE)</f>
        <v>6930.61</v>
      </c>
      <c r="F866" s="225">
        <f>+Table28[[#This Row],[CANTIDAD]]*Table28[[#This Row],[VALOR UNITARIO]]</f>
        <v>0</v>
      </c>
    </row>
    <row r="867" spans="1:6" s="193" customFormat="1" hidden="1" x14ac:dyDescent="0.3">
      <c r="A867" s="193">
        <v>1047</v>
      </c>
      <c r="B867" s="193" t="s">
        <v>880</v>
      </c>
      <c r="C867" s="193" t="s">
        <v>55</v>
      </c>
      <c r="D867" s="226">
        <f>+ROUNDUP(SUMIFS('MEMORIA CANTIDADES'!E:E,'MEMORIA CANTIDADES'!B:B,Table28[[#This Row],[DESCRIPCIÓN ]],'MEMORIA CANTIDADES'!C:C,Table28[[#This Row],[UNIDAD]]),0)</f>
        <v>0</v>
      </c>
      <c r="E867" s="225">
        <f>+VLOOKUP(Table28[[#This Row],[DESCRIPCIÓN ]],INSUMOS!A:D,3,FALSE)</f>
        <v>6603.89</v>
      </c>
      <c r="F867" s="225">
        <f>+Table28[[#This Row],[CANTIDAD]]*Table28[[#This Row],[VALOR UNITARIO]]</f>
        <v>0</v>
      </c>
    </row>
    <row r="868" spans="1:6" s="193" customFormat="1" hidden="1" x14ac:dyDescent="0.3">
      <c r="A868" s="193">
        <v>1048</v>
      </c>
      <c r="B868" s="193" t="s">
        <v>881</v>
      </c>
      <c r="C868" s="193" t="s">
        <v>55</v>
      </c>
      <c r="D868" s="226">
        <f>+ROUNDUP(SUMIFS('MEMORIA CANTIDADES'!E:E,'MEMORIA CANTIDADES'!B:B,Table28[[#This Row],[DESCRIPCIÓN ]],'MEMORIA CANTIDADES'!C:C,Table28[[#This Row],[UNIDAD]]),0)</f>
        <v>0</v>
      </c>
      <c r="E868" s="225">
        <f>+VLOOKUP(Table28[[#This Row],[DESCRIPCIÓN ]],INSUMOS!A:D,3,FALSE)</f>
        <v>15540.47</v>
      </c>
      <c r="F868" s="225">
        <f>+Table28[[#This Row],[CANTIDAD]]*Table28[[#This Row],[VALOR UNITARIO]]</f>
        <v>0</v>
      </c>
    </row>
    <row r="869" spans="1:6" s="193" customFormat="1" hidden="1" x14ac:dyDescent="0.3">
      <c r="A869" s="193">
        <v>1049</v>
      </c>
      <c r="B869" s="193" t="s">
        <v>882</v>
      </c>
      <c r="C869" s="193" t="s">
        <v>55</v>
      </c>
      <c r="D869" s="226">
        <f>+ROUNDUP(SUMIFS('MEMORIA CANTIDADES'!E:E,'MEMORIA CANTIDADES'!B:B,Table28[[#This Row],[DESCRIPCIÓN ]],'MEMORIA CANTIDADES'!C:C,Table28[[#This Row],[UNIDAD]]),0)</f>
        <v>0</v>
      </c>
      <c r="E869" s="225">
        <f>+VLOOKUP(Table28[[#This Row],[DESCRIPCIÓN ]],INSUMOS!A:D,3,FALSE)</f>
        <v>32815.949999999997</v>
      </c>
      <c r="F869" s="225">
        <f>+Table28[[#This Row],[CANTIDAD]]*Table28[[#This Row],[VALOR UNITARIO]]</f>
        <v>0</v>
      </c>
    </row>
    <row r="870" spans="1:6" s="193" customFormat="1" hidden="1" x14ac:dyDescent="0.3">
      <c r="A870" s="193">
        <v>633</v>
      </c>
      <c r="B870" s="193" t="s">
        <v>883</v>
      </c>
      <c r="C870" s="193" t="s">
        <v>55</v>
      </c>
      <c r="D870" s="226">
        <f>+ROUNDUP(SUMIFS('MEMORIA CANTIDADES'!E:E,'MEMORIA CANTIDADES'!B:B,Table28[[#This Row],[DESCRIPCIÓN ]],'MEMORIA CANTIDADES'!C:C,Table28[[#This Row],[UNIDAD]]),0)</f>
        <v>0</v>
      </c>
      <c r="E870" s="225">
        <f>+VLOOKUP(Table28[[#This Row],[DESCRIPCIÓN ]],INSUMOS!A:D,3,FALSE)</f>
        <v>21789.71</v>
      </c>
      <c r="F870" s="225">
        <f>+Table28[[#This Row],[CANTIDAD]]*Table28[[#This Row],[VALOR UNITARIO]]</f>
        <v>0</v>
      </c>
    </row>
    <row r="871" spans="1:6" s="193" customFormat="1" hidden="1" x14ac:dyDescent="0.3">
      <c r="A871" s="193">
        <v>634</v>
      </c>
      <c r="B871" s="193" t="s">
        <v>884</v>
      </c>
      <c r="C871" s="193" t="s">
        <v>55</v>
      </c>
      <c r="D871" s="226">
        <f>+ROUNDUP(SUMIFS('MEMORIA CANTIDADES'!E:E,'MEMORIA CANTIDADES'!B:B,Table28[[#This Row],[DESCRIPCIÓN ]],'MEMORIA CANTIDADES'!C:C,Table28[[#This Row],[UNIDAD]]),0)</f>
        <v>0</v>
      </c>
      <c r="E871" s="225" t="e">
        <f>+VLOOKUP(Table28[[#This Row],[DESCRIPCIÓN ]],INSUMOS!A:D,3,FALSE)</f>
        <v>#N/A</v>
      </c>
      <c r="F871" s="225" t="e">
        <f>+Table28[[#This Row],[CANTIDAD]]*Table28[[#This Row],[VALOR UNITARIO]]</f>
        <v>#N/A</v>
      </c>
    </row>
    <row r="872" spans="1:6" s="193" customFormat="1" hidden="1" x14ac:dyDescent="0.3">
      <c r="A872" s="193">
        <v>1257</v>
      </c>
      <c r="B872" s="193" t="s">
        <v>885</v>
      </c>
      <c r="C872" s="193" t="s">
        <v>55</v>
      </c>
      <c r="D872" s="226">
        <f>+ROUNDUP(SUMIFS('MEMORIA CANTIDADES'!E:E,'MEMORIA CANTIDADES'!B:B,Table28[[#This Row],[DESCRIPCIÓN ]],'MEMORIA CANTIDADES'!C:C,Table28[[#This Row],[UNIDAD]]),0)</f>
        <v>0</v>
      </c>
      <c r="E872" s="225" t="e">
        <f>+VLOOKUP(Table28[[#This Row],[DESCRIPCIÓN ]],INSUMOS!A:D,3,FALSE)</f>
        <v>#N/A</v>
      </c>
      <c r="F872" s="225" t="e">
        <f>+Table28[[#This Row],[CANTIDAD]]*Table28[[#This Row],[VALOR UNITARIO]]</f>
        <v>#N/A</v>
      </c>
    </row>
    <row r="873" spans="1:6" s="193" customFormat="1" x14ac:dyDescent="0.3">
      <c r="A873" s="193">
        <v>782</v>
      </c>
      <c r="B873" s="193" t="s">
        <v>570</v>
      </c>
      <c r="C873" s="193" t="s">
        <v>1276</v>
      </c>
      <c r="D873" s="226">
        <f>+ROUNDUP(SUMIFS('MEMORIA CANTIDADES'!E:E,'MEMORIA CANTIDADES'!B:B,Table28[[#This Row],[DESCRIPCIÓN ]],'MEMORIA CANTIDADES'!C:C,Table28[[#This Row],[UNIDAD]]),0)</f>
        <v>19</v>
      </c>
      <c r="E873" s="225">
        <f>+VLOOKUP(Table28[[#This Row],[DESCRIPCIÓN ]],INSUMOS!A:D,3,FALSE)</f>
        <v>105211.44</v>
      </c>
      <c r="F873" s="225">
        <f>+Table28[[#This Row],[CANTIDAD]]*Table28[[#This Row],[VALOR UNITARIO]]</f>
        <v>1999017.36</v>
      </c>
    </row>
    <row r="874" spans="1:6" s="193" customFormat="1" hidden="1" x14ac:dyDescent="0.3">
      <c r="A874" s="193">
        <v>1255</v>
      </c>
      <c r="B874" s="193" t="s">
        <v>887</v>
      </c>
      <c r="C874" s="193" t="s">
        <v>55</v>
      </c>
      <c r="D874" s="226">
        <f>+ROUNDUP(SUMIFS('MEMORIA CANTIDADES'!E:E,'MEMORIA CANTIDADES'!B:B,Table28[[#This Row],[DESCRIPCIÓN ]],'MEMORIA CANTIDADES'!C:C,Table28[[#This Row],[UNIDAD]]),0)</f>
        <v>0</v>
      </c>
      <c r="E874" s="225" t="e">
        <f>+VLOOKUP(Table28[[#This Row],[DESCRIPCIÓN ]],INSUMOS!A:D,3,FALSE)</f>
        <v>#N/A</v>
      </c>
      <c r="F874" s="225" t="e">
        <f>+Table28[[#This Row],[CANTIDAD]]*Table28[[#This Row],[VALOR UNITARIO]]</f>
        <v>#N/A</v>
      </c>
    </row>
    <row r="875" spans="1:6" s="193" customFormat="1" hidden="1" x14ac:dyDescent="0.3">
      <c r="A875" s="193">
        <v>1256</v>
      </c>
      <c r="B875" s="193" t="s">
        <v>888</v>
      </c>
      <c r="C875" s="193" t="s">
        <v>55</v>
      </c>
      <c r="D875" s="226">
        <f>+ROUNDUP(SUMIFS('MEMORIA CANTIDADES'!E:E,'MEMORIA CANTIDADES'!B:B,Table28[[#This Row],[DESCRIPCIÓN ]],'MEMORIA CANTIDADES'!C:C,Table28[[#This Row],[UNIDAD]]),0)</f>
        <v>0</v>
      </c>
      <c r="E875" s="225" t="e">
        <f>+VLOOKUP(Table28[[#This Row],[DESCRIPCIÓN ]],INSUMOS!A:D,3,FALSE)</f>
        <v>#N/A</v>
      </c>
      <c r="F875" s="225" t="e">
        <f>+Table28[[#This Row],[CANTIDAD]]*Table28[[#This Row],[VALOR UNITARIO]]</f>
        <v>#N/A</v>
      </c>
    </row>
    <row r="876" spans="1:6" s="193" customFormat="1" hidden="1" x14ac:dyDescent="0.3">
      <c r="A876" s="193">
        <v>732</v>
      </c>
      <c r="B876" s="193" t="s">
        <v>889</v>
      </c>
      <c r="C876" s="193" t="s">
        <v>2145</v>
      </c>
      <c r="D876" s="226">
        <f>+ROUNDUP(SUMIFS('MEMORIA CANTIDADES'!E:E,'MEMORIA CANTIDADES'!B:B,Table28[[#This Row],[DESCRIPCIÓN ]],'MEMORIA CANTIDADES'!C:C,Table28[[#This Row],[UNIDAD]]),0)</f>
        <v>0</v>
      </c>
      <c r="E876" s="225">
        <f>+VLOOKUP(Table28[[#This Row],[DESCRIPCIÓN ]],INSUMOS!A:D,3,FALSE)</f>
        <v>31609.72</v>
      </c>
      <c r="F876" s="225">
        <f>+Table28[[#This Row],[CANTIDAD]]*Table28[[#This Row],[VALOR UNITARIO]]</f>
        <v>0</v>
      </c>
    </row>
    <row r="877" spans="1:6" s="193" customFormat="1" hidden="1" x14ac:dyDescent="0.3">
      <c r="A877" s="193">
        <v>733</v>
      </c>
      <c r="B877" s="193" t="s">
        <v>890</v>
      </c>
      <c r="C877" s="193" t="s">
        <v>2145</v>
      </c>
      <c r="D877" s="226">
        <f>+ROUNDUP(SUMIFS('MEMORIA CANTIDADES'!E:E,'MEMORIA CANTIDADES'!B:B,Table28[[#This Row],[DESCRIPCIÓN ]],'MEMORIA CANTIDADES'!C:C,Table28[[#This Row],[UNIDAD]]),0)</f>
        <v>0</v>
      </c>
      <c r="E877" s="225">
        <f>+VLOOKUP(Table28[[#This Row],[DESCRIPCIÓN ]],INSUMOS!A:D,3,FALSE)</f>
        <v>38951.11</v>
      </c>
      <c r="F877" s="225">
        <f>+Table28[[#This Row],[CANTIDAD]]*Table28[[#This Row],[VALOR UNITARIO]]</f>
        <v>0</v>
      </c>
    </row>
    <row r="878" spans="1:6" s="193" customFormat="1" hidden="1" x14ac:dyDescent="0.3">
      <c r="A878" s="193">
        <v>635</v>
      </c>
      <c r="B878" s="193" t="s">
        <v>891</v>
      </c>
      <c r="C878" s="193" t="s">
        <v>55</v>
      </c>
      <c r="D878" s="226">
        <f>+ROUNDUP(SUMIFS('MEMORIA CANTIDADES'!E:E,'MEMORIA CANTIDADES'!B:B,Table28[[#This Row],[DESCRIPCIÓN ]],'MEMORIA CANTIDADES'!C:C,Table28[[#This Row],[UNIDAD]]),0)</f>
        <v>0</v>
      </c>
      <c r="E878" s="225">
        <f>+VLOOKUP(Table28[[#This Row],[DESCRIPCIÓN ]],INSUMOS!A:D,3,FALSE)</f>
        <v>126500.29</v>
      </c>
      <c r="F878" s="225">
        <f>+Table28[[#This Row],[CANTIDAD]]*Table28[[#This Row],[VALOR UNITARIO]]</f>
        <v>0</v>
      </c>
    </row>
    <row r="879" spans="1:6" s="193" customFormat="1" hidden="1" x14ac:dyDescent="0.3">
      <c r="A879" s="193">
        <v>636</v>
      </c>
      <c r="B879" s="193" t="s">
        <v>892</v>
      </c>
      <c r="C879" s="193" t="s">
        <v>55</v>
      </c>
      <c r="D879" s="226">
        <f>+ROUNDUP(SUMIFS('MEMORIA CANTIDADES'!E:E,'MEMORIA CANTIDADES'!B:B,Table28[[#This Row],[DESCRIPCIÓN ]],'MEMORIA CANTIDADES'!C:C,Table28[[#This Row],[UNIDAD]]),0)</f>
        <v>0</v>
      </c>
      <c r="E879" s="225">
        <f>+VLOOKUP(Table28[[#This Row],[DESCRIPCIÓN ]],INSUMOS!A:D,3,FALSE)</f>
        <v>76003.77</v>
      </c>
      <c r="F879" s="225">
        <f>+Table28[[#This Row],[CANTIDAD]]*Table28[[#This Row],[VALOR UNITARIO]]</f>
        <v>0</v>
      </c>
    </row>
    <row r="880" spans="1:6" s="193" customFormat="1" hidden="1" x14ac:dyDescent="0.3">
      <c r="A880" s="193">
        <v>169</v>
      </c>
      <c r="B880" s="193" t="s">
        <v>893</v>
      </c>
      <c r="C880" s="193" t="s">
        <v>55</v>
      </c>
      <c r="D880" s="226">
        <f>+ROUNDUP(SUMIFS('MEMORIA CANTIDADES'!E:E,'MEMORIA CANTIDADES'!B:B,Table28[[#This Row],[DESCRIPCIÓN ]],'MEMORIA CANTIDADES'!C:C,Table28[[#This Row],[UNIDAD]]),0)</f>
        <v>0</v>
      </c>
      <c r="E880" s="225">
        <f>+VLOOKUP(Table28[[#This Row],[DESCRIPCIÓN ]],INSUMOS!A:D,3,FALSE)</f>
        <v>280820.55</v>
      </c>
      <c r="F880" s="225">
        <f>+Table28[[#This Row],[CANTIDAD]]*Table28[[#This Row],[VALOR UNITARIO]]</f>
        <v>0</v>
      </c>
    </row>
    <row r="881" spans="1:6" s="193" customFormat="1" hidden="1" x14ac:dyDescent="0.3">
      <c r="A881" s="193">
        <v>1050</v>
      </c>
      <c r="B881" s="193" t="s">
        <v>894</v>
      </c>
      <c r="C881" s="193" t="s">
        <v>55</v>
      </c>
      <c r="D881" s="226">
        <f>+ROUNDUP(SUMIFS('MEMORIA CANTIDADES'!E:E,'MEMORIA CANTIDADES'!B:B,Table28[[#This Row],[DESCRIPCIÓN ]],'MEMORIA CANTIDADES'!C:C,Table28[[#This Row],[UNIDAD]]),0)</f>
        <v>0</v>
      </c>
      <c r="E881" s="225">
        <f>+VLOOKUP(Table28[[#This Row],[DESCRIPCIÓN ]],INSUMOS!A:D,3,FALSE)</f>
        <v>5208.87</v>
      </c>
      <c r="F881" s="225">
        <f>+Table28[[#This Row],[CANTIDAD]]*Table28[[#This Row],[VALOR UNITARIO]]</f>
        <v>0</v>
      </c>
    </row>
    <row r="882" spans="1:6" s="193" customFormat="1" hidden="1" x14ac:dyDescent="0.3">
      <c r="A882" s="193">
        <v>1051</v>
      </c>
      <c r="B882" s="193" t="s">
        <v>895</v>
      </c>
      <c r="C882" s="193" t="s">
        <v>55</v>
      </c>
      <c r="D882" s="226">
        <f>+ROUNDUP(SUMIFS('MEMORIA CANTIDADES'!E:E,'MEMORIA CANTIDADES'!B:B,Table28[[#This Row],[DESCRIPCIÓN ]],'MEMORIA CANTIDADES'!C:C,Table28[[#This Row],[UNIDAD]]),0)</f>
        <v>0</v>
      </c>
      <c r="E882" s="225">
        <f>+VLOOKUP(Table28[[#This Row],[DESCRIPCIÓN ]],INSUMOS!A:D,3,FALSE)</f>
        <v>5782.32</v>
      </c>
      <c r="F882" s="225">
        <f>+Table28[[#This Row],[CANTIDAD]]*Table28[[#This Row],[VALOR UNITARIO]]</f>
        <v>0</v>
      </c>
    </row>
    <row r="883" spans="1:6" s="193" customFormat="1" hidden="1" x14ac:dyDescent="0.3">
      <c r="A883" s="193">
        <v>170</v>
      </c>
      <c r="B883" s="193" t="s">
        <v>896</v>
      </c>
      <c r="C883" s="193" t="s">
        <v>55</v>
      </c>
      <c r="D883" s="226">
        <f>+ROUNDUP(SUMIFS('MEMORIA CANTIDADES'!E:E,'MEMORIA CANTIDADES'!B:B,Table28[[#This Row],[DESCRIPCIÓN ]],'MEMORIA CANTIDADES'!C:C,Table28[[#This Row],[UNIDAD]]),0)</f>
        <v>0</v>
      </c>
      <c r="E883" s="225">
        <f>+VLOOKUP(Table28[[#This Row],[DESCRIPCIÓN ]],INSUMOS!A:D,3,FALSE)</f>
        <v>228828.62</v>
      </c>
      <c r="F883" s="225">
        <f>+Table28[[#This Row],[CANTIDAD]]*Table28[[#This Row],[VALOR UNITARIO]]</f>
        <v>0</v>
      </c>
    </row>
    <row r="884" spans="1:6" s="193" customFormat="1" ht="28.8" hidden="1" x14ac:dyDescent="0.3">
      <c r="A884" s="193">
        <v>171</v>
      </c>
      <c r="B884" s="193" t="s">
        <v>897</v>
      </c>
      <c r="C884" s="193" t="s">
        <v>55</v>
      </c>
      <c r="D884" s="226">
        <f>+ROUNDUP(SUMIFS('MEMORIA CANTIDADES'!E:E,'MEMORIA CANTIDADES'!B:B,Table28[[#This Row],[DESCRIPCIÓN ]],'MEMORIA CANTIDADES'!C:C,Table28[[#This Row],[UNIDAD]]),0)</f>
        <v>0</v>
      </c>
      <c r="E884" s="225">
        <f>+VLOOKUP(Table28[[#This Row],[DESCRIPCIÓN ]],INSUMOS!A:D,3,FALSE)</f>
        <v>16127.55</v>
      </c>
      <c r="F884" s="225">
        <f>+Table28[[#This Row],[CANTIDAD]]*Table28[[#This Row],[VALOR UNITARIO]]</f>
        <v>0</v>
      </c>
    </row>
    <row r="885" spans="1:6" s="193" customFormat="1" hidden="1" x14ac:dyDescent="0.3">
      <c r="A885" s="193">
        <v>172</v>
      </c>
      <c r="B885" s="193" t="s">
        <v>898</v>
      </c>
      <c r="C885" s="193" t="s">
        <v>55</v>
      </c>
      <c r="D885" s="226">
        <f>+ROUNDUP(SUMIFS('MEMORIA CANTIDADES'!E:E,'MEMORIA CANTIDADES'!B:B,Table28[[#This Row],[DESCRIPCIÓN ]],'MEMORIA CANTIDADES'!C:C,Table28[[#This Row],[UNIDAD]]),0)</f>
        <v>0</v>
      </c>
      <c r="E885" s="225">
        <f>+VLOOKUP(Table28[[#This Row],[DESCRIPCIÓN ]],INSUMOS!A:D,3,FALSE)</f>
        <v>14817.88</v>
      </c>
      <c r="F885" s="225">
        <f>+Table28[[#This Row],[CANTIDAD]]*Table28[[#This Row],[VALOR UNITARIO]]</f>
        <v>0</v>
      </c>
    </row>
    <row r="886" spans="1:6" s="193" customFormat="1" hidden="1" x14ac:dyDescent="0.3">
      <c r="A886" s="193">
        <v>173</v>
      </c>
      <c r="B886" s="193" t="s">
        <v>899</v>
      </c>
      <c r="C886" s="193" t="s">
        <v>55</v>
      </c>
      <c r="D886" s="226">
        <f>+ROUNDUP(SUMIFS('MEMORIA CANTIDADES'!E:E,'MEMORIA CANTIDADES'!B:B,Table28[[#This Row],[DESCRIPCIÓN ]],'MEMORIA CANTIDADES'!C:C,Table28[[#This Row],[UNIDAD]]),0)</f>
        <v>0</v>
      </c>
      <c r="E886" s="225">
        <f>+VLOOKUP(Table28[[#This Row],[DESCRIPCIÓN ]],INSUMOS!A:D,3,FALSE)</f>
        <v>5179.74</v>
      </c>
      <c r="F886" s="225">
        <f>+Table28[[#This Row],[CANTIDAD]]*Table28[[#This Row],[VALOR UNITARIO]]</f>
        <v>0</v>
      </c>
    </row>
    <row r="887" spans="1:6" s="193" customFormat="1" hidden="1" x14ac:dyDescent="0.3">
      <c r="A887" s="193">
        <v>174</v>
      </c>
      <c r="B887" s="193" t="s">
        <v>900</v>
      </c>
      <c r="C887" s="193" t="s">
        <v>55</v>
      </c>
      <c r="D887" s="226">
        <f>+ROUNDUP(SUMIFS('MEMORIA CANTIDADES'!E:E,'MEMORIA CANTIDADES'!B:B,Table28[[#This Row],[DESCRIPCIÓN ]],'MEMORIA CANTIDADES'!C:C,Table28[[#This Row],[UNIDAD]]),0)</f>
        <v>0</v>
      </c>
      <c r="E887" s="225">
        <f>+VLOOKUP(Table28[[#This Row],[DESCRIPCIÓN ]],INSUMOS!A:D,3,FALSE)</f>
        <v>6122.06</v>
      </c>
      <c r="F887" s="225">
        <f>+Table28[[#This Row],[CANTIDAD]]*Table28[[#This Row],[VALOR UNITARIO]]</f>
        <v>0</v>
      </c>
    </row>
    <row r="888" spans="1:6" s="193" customFormat="1" hidden="1" x14ac:dyDescent="0.3">
      <c r="A888" s="193">
        <v>175</v>
      </c>
      <c r="B888" s="193" t="s">
        <v>901</v>
      </c>
      <c r="C888" s="193" t="s">
        <v>55</v>
      </c>
      <c r="D888" s="226">
        <f>+ROUNDUP(SUMIFS('MEMORIA CANTIDADES'!E:E,'MEMORIA CANTIDADES'!B:B,Table28[[#This Row],[DESCRIPCIÓN ]],'MEMORIA CANTIDADES'!C:C,Table28[[#This Row],[UNIDAD]]),0)</f>
        <v>0</v>
      </c>
      <c r="E888" s="225">
        <f>+VLOOKUP(Table28[[#This Row],[DESCRIPCIÓN ]],INSUMOS!A:D,3,FALSE)</f>
        <v>4656.1899999999996</v>
      </c>
      <c r="F888" s="225">
        <f>+Table28[[#This Row],[CANTIDAD]]*Table28[[#This Row],[VALOR UNITARIO]]</f>
        <v>0</v>
      </c>
    </row>
    <row r="889" spans="1:6" s="193" customFormat="1" ht="28.8" hidden="1" x14ac:dyDescent="0.3">
      <c r="A889" s="193">
        <v>310</v>
      </c>
      <c r="B889" s="193" t="s">
        <v>902</v>
      </c>
      <c r="C889" s="193" t="s">
        <v>55</v>
      </c>
      <c r="D889" s="226">
        <f>+ROUNDUP(SUMIFS('MEMORIA CANTIDADES'!E:E,'MEMORIA CANTIDADES'!B:B,Table28[[#This Row],[DESCRIPCIÓN ]],'MEMORIA CANTIDADES'!C:C,Table28[[#This Row],[UNIDAD]]),0)</f>
        <v>0</v>
      </c>
      <c r="E889" s="225">
        <f>+VLOOKUP(Table28[[#This Row],[DESCRIPCIÓN ]],INSUMOS!A:D,3,FALSE)</f>
        <v>2459.5300000000002</v>
      </c>
      <c r="F889" s="225">
        <f>+Table28[[#This Row],[CANTIDAD]]*Table28[[#This Row],[VALOR UNITARIO]]</f>
        <v>0</v>
      </c>
    </row>
    <row r="890" spans="1:6" s="193" customFormat="1" hidden="1" x14ac:dyDescent="0.3">
      <c r="A890" s="193">
        <v>409</v>
      </c>
      <c r="B890" s="193" t="s">
        <v>903</v>
      </c>
      <c r="C890" s="193" t="s">
        <v>55</v>
      </c>
      <c r="D890" s="226">
        <f>+ROUNDUP(SUMIFS('MEMORIA CANTIDADES'!E:E,'MEMORIA CANTIDADES'!B:B,Table28[[#This Row],[DESCRIPCIÓN ]],'MEMORIA CANTIDADES'!C:C,Table28[[#This Row],[UNIDAD]]),0)</f>
        <v>0</v>
      </c>
      <c r="E890" s="225">
        <f>+VLOOKUP(Table28[[#This Row],[DESCRIPCIÓN ]],INSUMOS!A:D,3,FALSE)</f>
        <v>37272.75</v>
      </c>
      <c r="F890" s="225">
        <f>+Table28[[#This Row],[CANTIDAD]]*Table28[[#This Row],[VALOR UNITARIO]]</f>
        <v>0</v>
      </c>
    </row>
    <row r="891" spans="1:6" s="193" customFormat="1" ht="28.8" x14ac:dyDescent="0.3">
      <c r="A891" s="193">
        <v>1251</v>
      </c>
      <c r="B891" s="193" t="s">
        <v>1096</v>
      </c>
      <c r="C891" s="193" t="s">
        <v>55</v>
      </c>
      <c r="D891" s="226">
        <f>+ROUNDUP(SUMIFS('MEMORIA CANTIDADES'!E:E,'MEMORIA CANTIDADES'!B:B,Table28[[#This Row],[DESCRIPCIÓN ]],'MEMORIA CANTIDADES'!C:C,Table28[[#This Row],[UNIDAD]]),0)</f>
        <v>65</v>
      </c>
      <c r="E891" s="225">
        <f>+VLOOKUP(Table28[[#This Row],[DESCRIPCIÓN ]],INSUMOS!A:D,3,FALSE)</f>
        <v>139820.54999999999</v>
      </c>
      <c r="F891" s="225">
        <f>+Table28[[#This Row],[CANTIDAD]]*Table28[[#This Row],[VALOR UNITARIO]]</f>
        <v>9088335.75</v>
      </c>
    </row>
    <row r="892" spans="1:6" s="193" customFormat="1" ht="28.8" hidden="1" x14ac:dyDescent="0.3">
      <c r="A892" s="193">
        <v>411</v>
      </c>
      <c r="B892" s="193" t="s">
        <v>2201</v>
      </c>
      <c r="C892" s="193" t="s">
        <v>1270</v>
      </c>
      <c r="D892" s="226">
        <f>+ROUNDUP(SUMIFS('MEMORIA CANTIDADES'!E:E,'MEMORIA CANTIDADES'!B:B,Table28[[#This Row],[DESCRIPCIÓN ]],'MEMORIA CANTIDADES'!C:C,Table28[[#This Row],[UNIDAD]]),0)</f>
        <v>0</v>
      </c>
      <c r="E892" s="225">
        <f>+VLOOKUP(Table28[[#This Row],[DESCRIPCIÓN ]],INSUMOS!A:D,3,FALSE)</f>
        <v>17797.73</v>
      </c>
      <c r="F892" s="225">
        <f>+Table28[[#This Row],[CANTIDAD]]*Table28[[#This Row],[VALOR UNITARIO]]</f>
        <v>0</v>
      </c>
    </row>
    <row r="893" spans="1:6" s="193" customFormat="1" hidden="1" x14ac:dyDescent="0.3">
      <c r="A893" s="193">
        <v>412</v>
      </c>
      <c r="B893" s="193" t="s">
        <v>905</v>
      </c>
      <c r="C893" s="193" t="s">
        <v>1270</v>
      </c>
      <c r="D893" s="226">
        <f>+ROUNDUP(SUMIFS('MEMORIA CANTIDADES'!E:E,'MEMORIA CANTIDADES'!B:B,Table28[[#This Row],[DESCRIPCIÓN ]],'MEMORIA CANTIDADES'!C:C,Table28[[#This Row],[UNIDAD]]),0)</f>
        <v>0</v>
      </c>
      <c r="E893" s="225">
        <f>+VLOOKUP(Table28[[#This Row],[DESCRIPCIÓN ]],INSUMOS!A:D,3,FALSE)</f>
        <v>17830.39</v>
      </c>
      <c r="F893" s="225">
        <f>+Table28[[#This Row],[CANTIDAD]]*Table28[[#This Row],[VALOR UNITARIO]]</f>
        <v>0</v>
      </c>
    </row>
    <row r="894" spans="1:6" s="193" customFormat="1" hidden="1" x14ac:dyDescent="0.3">
      <c r="A894" s="193">
        <v>413</v>
      </c>
      <c r="B894" s="193" t="s">
        <v>906</v>
      </c>
      <c r="C894" s="193" t="s">
        <v>1270</v>
      </c>
      <c r="D894" s="226">
        <f>+ROUNDUP(SUMIFS('MEMORIA CANTIDADES'!E:E,'MEMORIA CANTIDADES'!B:B,Table28[[#This Row],[DESCRIPCIÓN ]],'MEMORIA CANTIDADES'!C:C,Table28[[#This Row],[UNIDAD]]),0)</f>
        <v>0</v>
      </c>
      <c r="E894" s="225">
        <f>+VLOOKUP(Table28[[#This Row],[DESCRIPCIÓN ]],INSUMOS!A:D,3,FALSE)</f>
        <v>31157.86</v>
      </c>
      <c r="F894" s="225">
        <f>+Table28[[#This Row],[CANTIDAD]]*Table28[[#This Row],[VALOR UNITARIO]]</f>
        <v>0</v>
      </c>
    </row>
    <row r="895" spans="1:6" s="193" customFormat="1" hidden="1" x14ac:dyDescent="0.3">
      <c r="A895" s="193">
        <v>414</v>
      </c>
      <c r="B895" s="193" t="s">
        <v>907</v>
      </c>
      <c r="C895" s="193" t="s">
        <v>1270</v>
      </c>
      <c r="D895" s="226">
        <f>+ROUNDUP(SUMIFS('MEMORIA CANTIDADES'!E:E,'MEMORIA CANTIDADES'!B:B,Table28[[#This Row],[DESCRIPCIÓN ]],'MEMORIA CANTIDADES'!C:C,Table28[[#This Row],[UNIDAD]]),0)</f>
        <v>0</v>
      </c>
      <c r="E895" s="225">
        <f>+VLOOKUP(Table28[[#This Row],[DESCRIPCIÓN ]],INSUMOS!A:D,3,FALSE)</f>
        <v>15714.08</v>
      </c>
      <c r="F895" s="225">
        <f>+Table28[[#This Row],[CANTIDAD]]*Table28[[#This Row],[VALOR UNITARIO]]</f>
        <v>0</v>
      </c>
    </row>
    <row r="896" spans="1:6" s="193" customFormat="1" hidden="1" x14ac:dyDescent="0.3">
      <c r="A896" s="193">
        <v>415</v>
      </c>
      <c r="B896" s="193" t="s">
        <v>908</v>
      </c>
      <c r="C896" s="193" t="s">
        <v>1270</v>
      </c>
      <c r="D896" s="226">
        <f>+ROUNDUP(SUMIFS('MEMORIA CANTIDADES'!E:E,'MEMORIA CANTIDADES'!B:B,Table28[[#This Row],[DESCRIPCIÓN ]],'MEMORIA CANTIDADES'!C:C,Table28[[#This Row],[UNIDAD]]),0)</f>
        <v>0</v>
      </c>
      <c r="E896" s="225">
        <f>+VLOOKUP(Table28[[#This Row],[DESCRIPCIÓN ]],INSUMOS!A:D,3,FALSE)</f>
        <v>17909.810000000001</v>
      </c>
      <c r="F896" s="225">
        <f>+Table28[[#This Row],[CANTIDAD]]*Table28[[#This Row],[VALOR UNITARIO]]</f>
        <v>0</v>
      </c>
    </row>
    <row r="897" spans="1:6" s="193" customFormat="1" hidden="1" x14ac:dyDescent="0.3">
      <c r="A897" s="193">
        <v>416</v>
      </c>
      <c r="B897" s="193" t="s">
        <v>909</v>
      </c>
      <c r="C897" s="193" t="s">
        <v>1270</v>
      </c>
      <c r="D897" s="226">
        <f>+ROUNDUP(SUMIFS('MEMORIA CANTIDADES'!E:E,'MEMORIA CANTIDADES'!B:B,Table28[[#This Row],[DESCRIPCIÓN ]],'MEMORIA CANTIDADES'!C:C,Table28[[#This Row],[UNIDAD]]),0)</f>
        <v>0</v>
      </c>
      <c r="E897" s="225">
        <f>+VLOOKUP(Table28[[#This Row],[DESCRIPCIÓN ]],INSUMOS!A:D,3,FALSE)</f>
        <v>17463.13</v>
      </c>
      <c r="F897" s="225">
        <f>+Table28[[#This Row],[CANTIDAD]]*Table28[[#This Row],[VALOR UNITARIO]]</f>
        <v>0</v>
      </c>
    </row>
    <row r="898" spans="1:6" s="193" customFormat="1" hidden="1" x14ac:dyDescent="0.3">
      <c r="A898" s="193">
        <v>417</v>
      </c>
      <c r="B898" s="193" t="s">
        <v>910</v>
      </c>
      <c r="C898" s="193" t="s">
        <v>1270</v>
      </c>
      <c r="D898" s="226">
        <f>+ROUNDUP(SUMIFS('MEMORIA CANTIDADES'!E:E,'MEMORIA CANTIDADES'!B:B,Table28[[#This Row],[DESCRIPCIÓN ]],'MEMORIA CANTIDADES'!C:C,Table28[[#This Row],[UNIDAD]]),0)</f>
        <v>0</v>
      </c>
      <c r="E898" s="225">
        <f>+VLOOKUP(Table28[[#This Row],[DESCRIPCIÓN ]],INSUMOS!A:D,3,FALSE)</f>
        <v>56903.67</v>
      </c>
      <c r="F898" s="225">
        <f>+Table28[[#This Row],[CANTIDAD]]*Table28[[#This Row],[VALOR UNITARIO]]</f>
        <v>0</v>
      </c>
    </row>
    <row r="899" spans="1:6" s="193" customFormat="1" hidden="1" x14ac:dyDescent="0.3">
      <c r="A899" s="193">
        <v>311</v>
      </c>
      <c r="B899" s="193" t="s">
        <v>911</v>
      </c>
      <c r="C899" s="193" t="s">
        <v>55</v>
      </c>
      <c r="D899" s="226">
        <f>+ROUNDUP(SUMIFS('MEMORIA CANTIDADES'!E:E,'MEMORIA CANTIDADES'!B:B,Table28[[#This Row],[DESCRIPCIÓN ]],'MEMORIA CANTIDADES'!C:C,Table28[[#This Row],[UNIDAD]]),0)</f>
        <v>0</v>
      </c>
      <c r="E899" s="225">
        <f>+VLOOKUP(Table28[[#This Row],[DESCRIPCIÓN ]],INSUMOS!A:D,3,FALSE)</f>
        <v>357864.12</v>
      </c>
      <c r="F899" s="225">
        <f>+Table28[[#This Row],[CANTIDAD]]*Table28[[#This Row],[VALOR UNITARIO]]</f>
        <v>0</v>
      </c>
    </row>
    <row r="900" spans="1:6" s="193" customFormat="1" hidden="1" x14ac:dyDescent="0.3">
      <c r="A900" s="193">
        <v>312</v>
      </c>
      <c r="B900" s="193" t="s">
        <v>912</v>
      </c>
      <c r="C900" s="193" t="s">
        <v>55</v>
      </c>
      <c r="D900" s="226">
        <f>+ROUNDUP(SUMIFS('MEMORIA CANTIDADES'!E:E,'MEMORIA CANTIDADES'!B:B,Table28[[#This Row],[DESCRIPCIÓN ]],'MEMORIA CANTIDADES'!C:C,Table28[[#This Row],[UNIDAD]]),0)</f>
        <v>0</v>
      </c>
      <c r="E900" s="225">
        <f>+VLOOKUP(Table28[[#This Row],[DESCRIPCIÓN ]],INSUMOS!A:D,3,FALSE)</f>
        <v>66153.399999999994</v>
      </c>
      <c r="F900" s="225">
        <f>+Table28[[#This Row],[CANTIDAD]]*Table28[[#This Row],[VALOR UNITARIO]]</f>
        <v>0</v>
      </c>
    </row>
    <row r="901" spans="1:6" s="193" customFormat="1" hidden="1" x14ac:dyDescent="0.3">
      <c r="A901" s="193">
        <v>313</v>
      </c>
      <c r="B901" s="193" t="s">
        <v>913</v>
      </c>
      <c r="C901" s="193" t="s">
        <v>55</v>
      </c>
      <c r="D901" s="226">
        <f>+ROUNDUP(SUMIFS('MEMORIA CANTIDADES'!E:E,'MEMORIA CANTIDADES'!B:B,Table28[[#This Row],[DESCRIPCIÓN ]],'MEMORIA CANTIDADES'!C:C,Table28[[#This Row],[UNIDAD]]),0)</f>
        <v>0</v>
      </c>
      <c r="E901" s="225">
        <f>+VLOOKUP(Table28[[#This Row],[DESCRIPCIÓN ]],INSUMOS!A:D,3,FALSE)</f>
        <v>107949.2</v>
      </c>
      <c r="F901" s="225">
        <f>+Table28[[#This Row],[CANTIDAD]]*Table28[[#This Row],[VALOR UNITARIO]]</f>
        <v>0</v>
      </c>
    </row>
    <row r="902" spans="1:6" s="193" customFormat="1" hidden="1" x14ac:dyDescent="0.3">
      <c r="A902" s="193">
        <v>314</v>
      </c>
      <c r="B902" s="193" t="s">
        <v>914</v>
      </c>
      <c r="C902" s="193" t="s">
        <v>55</v>
      </c>
      <c r="D902" s="226">
        <f>+ROUNDUP(SUMIFS('MEMORIA CANTIDADES'!E:E,'MEMORIA CANTIDADES'!B:B,Table28[[#This Row],[DESCRIPCIÓN ]],'MEMORIA CANTIDADES'!C:C,Table28[[#This Row],[UNIDAD]]),0)</f>
        <v>0</v>
      </c>
      <c r="E902" s="225">
        <f>+VLOOKUP(Table28[[#This Row],[DESCRIPCIÓN ]],INSUMOS!A:D,3,FALSE)</f>
        <v>251305.03</v>
      </c>
      <c r="F902" s="225">
        <f>+Table28[[#This Row],[CANTIDAD]]*Table28[[#This Row],[VALOR UNITARIO]]</f>
        <v>0</v>
      </c>
    </row>
    <row r="903" spans="1:6" s="193" customFormat="1" hidden="1" x14ac:dyDescent="0.3">
      <c r="A903" s="193">
        <v>315</v>
      </c>
      <c r="B903" s="193" t="s">
        <v>915</v>
      </c>
      <c r="C903" s="193" t="s">
        <v>55</v>
      </c>
      <c r="D903" s="226">
        <f>+ROUNDUP(SUMIFS('MEMORIA CANTIDADES'!E:E,'MEMORIA CANTIDADES'!B:B,Table28[[#This Row],[DESCRIPCIÓN ]],'MEMORIA CANTIDADES'!C:C,Table28[[#This Row],[UNIDAD]]),0)</f>
        <v>0</v>
      </c>
      <c r="E903" s="225">
        <f>+VLOOKUP(Table28[[#This Row],[DESCRIPCIÓN ]],INSUMOS!A:D,3,FALSE)</f>
        <v>187963.8</v>
      </c>
      <c r="F903" s="225">
        <f>+Table28[[#This Row],[CANTIDAD]]*Table28[[#This Row],[VALOR UNITARIO]]</f>
        <v>0</v>
      </c>
    </row>
    <row r="904" spans="1:6" s="193" customFormat="1" hidden="1" x14ac:dyDescent="0.3">
      <c r="A904" s="193">
        <v>316</v>
      </c>
      <c r="B904" s="193" t="s">
        <v>916</v>
      </c>
      <c r="C904" s="193" t="s">
        <v>55</v>
      </c>
      <c r="D904" s="226">
        <f>+ROUNDUP(SUMIFS('MEMORIA CANTIDADES'!E:E,'MEMORIA CANTIDADES'!B:B,Table28[[#This Row],[DESCRIPCIÓN ]],'MEMORIA CANTIDADES'!C:C,Table28[[#This Row],[UNIDAD]]),0)</f>
        <v>0</v>
      </c>
      <c r="E904" s="225">
        <f>+VLOOKUP(Table28[[#This Row],[DESCRIPCIÓN ]],INSUMOS!A:D,3,FALSE)</f>
        <v>93455.37</v>
      </c>
      <c r="F904" s="225">
        <f>+Table28[[#This Row],[CANTIDAD]]*Table28[[#This Row],[VALOR UNITARIO]]</f>
        <v>0</v>
      </c>
    </row>
    <row r="905" spans="1:6" s="193" customFormat="1" ht="28.8" hidden="1" x14ac:dyDescent="0.3">
      <c r="A905" s="193">
        <v>377</v>
      </c>
      <c r="B905" s="193" t="s">
        <v>2199</v>
      </c>
      <c r="C905" s="193" t="s">
        <v>55</v>
      </c>
      <c r="D905" s="226">
        <f>+ROUNDUP(SUMIFS('MEMORIA CANTIDADES'!E:E,'MEMORIA CANTIDADES'!B:B,Table28[[#This Row],[DESCRIPCIÓN ]],'MEMORIA CANTIDADES'!C:C,Table28[[#This Row],[UNIDAD]]),0)</f>
        <v>0</v>
      </c>
      <c r="E905" s="225">
        <f>+VLOOKUP(Table28[[#This Row],[DESCRIPCIÓN ]],INSUMOS!A:D,3,FALSE)</f>
        <v>214832.64000000001</v>
      </c>
      <c r="F905" s="225">
        <f>+Table28[[#This Row],[CANTIDAD]]*Table28[[#This Row],[VALOR UNITARIO]]</f>
        <v>0</v>
      </c>
    </row>
    <row r="906" spans="1:6" s="193" customFormat="1" ht="28.8" hidden="1" x14ac:dyDescent="0.3">
      <c r="A906" s="193">
        <v>378</v>
      </c>
      <c r="B906" s="193" t="s">
        <v>2200</v>
      </c>
      <c r="C906" s="193" t="s">
        <v>55</v>
      </c>
      <c r="D906" s="226">
        <f>+ROUNDUP(SUMIFS('MEMORIA CANTIDADES'!E:E,'MEMORIA CANTIDADES'!B:B,Table28[[#This Row],[DESCRIPCIÓN ]],'MEMORIA CANTIDADES'!C:C,Table28[[#This Row],[UNIDAD]]),0)</f>
        <v>0</v>
      </c>
      <c r="E906" s="225">
        <f>+VLOOKUP(Table28[[#This Row],[DESCRIPCIÓN ]],INSUMOS!A:D,3,FALSE)</f>
        <v>347509.87</v>
      </c>
      <c r="F906" s="225">
        <f>+Table28[[#This Row],[CANTIDAD]]*Table28[[#This Row],[VALOR UNITARIO]]</f>
        <v>0</v>
      </c>
    </row>
    <row r="907" spans="1:6" s="193" customFormat="1" hidden="1" x14ac:dyDescent="0.3">
      <c r="A907" s="193">
        <v>317</v>
      </c>
      <c r="B907" s="193" t="s">
        <v>917</v>
      </c>
      <c r="C907" s="193" t="s">
        <v>55</v>
      </c>
      <c r="D907" s="226">
        <f>+ROUNDUP(SUMIFS('MEMORIA CANTIDADES'!E:E,'MEMORIA CANTIDADES'!B:B,Table28[[#This Row],[DESCRIPCIÓN ]],'MEMORIA CANTIDADES'!C:C,Table28[[#This Row],[UNIDAD]]),0)</f>
        <v>0</v>
      </c>
      <c r="E907" s="225">
        <f>+VLOOKUP(Table28[[#This Row],[DESCRIPCIÓN ]],INSUMOS!A:D,3,FALSE)</f>
        <v>158718.63</v>
      </c>
      <c r="F907" s="225">
        <f>+Table28[[#This Row],[CANTIDAD]]*Table28[[#This Row],[VALOR UNITARIO]]</f>
        <v>0</v>
      </c>
    </row>
    <row r="908" spans="1:6" s="193" customFormat="1" hidden="1" x14ac:dyDescent="0.3">
      <c r="A908" s="193">
        <v>318</v>
      </c>
      <c r="B908" s="193" t="s">
        <v>918</v>
      </c>
      <c r="C908" s="193" t="s">
        <v>55</v>
      </c>
      <c r="D908" s="226">
        <f>+ROUNDUP(SUMIFS('MEMORIA CANTIDADES'!E:E,'MEMORIA CANTIDADES'!B:B,Table28[[#This Row],[DESCRIPCIÓN ]],'MEMORIA CANTIDADES'!C:C,Table28[[#This Row],[UNIDAD]]),0)</f>
        <v>0</v>
      </c>
      <c r="E908" s="225">
        <f>+VLOOKUP(Table28[[#This Row],[DESCRIPCIÓN ]],INSUMOS!A:D,3,FALSE)</f>
        <v>45228.83</v>
      </c>
      <c r="F908" s="225">
        <f>+Table28[[#This Row],[CANTIDAD]]*Table28[[#This Row],[VALOR UNITARIO]]</f>
        <v>0</v>
      </c>
    </row>
    <row r="909" spans="1:6" s="193" customFormat="1" hidden="1" x14ac:dyDescent="0.3">
      <c r="A909" s="193">
        <v>319</v>
      </c>
      <c r="B909" s="193" t="s">
        <v>919</v>
      </c>
      <c r="C909" s="193" t="s">
        <v>55</v>
      </c>
      <c r="D909" s="226">
        <f>+ROUNDUP(SUMIFS('MEMORIA CANTIDADES'!E:E,'MEMORIA CANTIDADES'!B:B,Table28[[#This Row],[DESCRIPCIÓN ]],'MEMORIA CANTIDADES'!C:C,Table28[[#This Row],[UNIDAD]]),0)</f>
        <v>0</v>
      </c>
      <c r="E909" s="225">
        <f>+VLOOKUP(Table28[[#This Row],[DESCRIPCIÓN ]],INSUMOS!A:D,3,FALSE)</f>
        <v>37104.800000000003</v>
      </c>
      <c r="F909" s="225">
        <f>+Table28[[#This Row],[CANTIDAD]]*Table28[[#This Row],[VALOR UNITARIO]]</f>
        <v>0</v>
      </c>
    </row>
    <row r="910" spans="1:6" s="193" customFormat="1" hidden="1" x14ac:dyDescent="0.3">
      <c r="A910" s="193">
        <v>320</v>
      </c>
      <c r="B910" s="193" t="s">
        <v>920</v>
      </c>
      <c r="C910" s="193" t="s">
        <v>55</v>
      </c>
      <c r="D910" s="226">
        <f>+ROUNDUP(SUMIFS('MEMORIA CANTIDADES'!E:E,'MEMORIA CANTIDADES'!B:B,Table28[[#This Row],[DESCRIPCIÓN ]],'MEMORIA CANTIDADES'!C:C,Table28[[#This Row],[UNIDAD]]),0)</f>
        <v>0</v>
      </c>
      <c r="E910" s="225">
        <f>+VLOOKUP(Table28[[#This Row],[DESCRIPCIÓN ]],INSUMOS!A:D,3,FALSE)</f>
        <v>61068.44</v>
      </c>
      <c r="F910" s="225">
        <f>+Table28[[#This Row],[CANTIDAD]]*Table28[[#This Row],[VALOR UNITARIO]]</f>
        <v>0</v>
      </c>
    </row>
    <row r="911" spans="1:6" s="193" customFormat="1" hidden="1" x14ac:dyDescent="0.3">
      <c r="A911" s="193">
        <v>321</v>
      </c>
      <c r="B911" s="193" t="s">
        <v>921</v>
      </c>
      <c r="C911" s="193" t="s">
        <v>55</v>
      </c>
      <c r="D911" s="226">
        <f>+ROUNDUP(SUMIFS('MEMORIA CANTIDADES'!E:E,'MEMORIA CANTIDADES'!B:B,Table28[[#This Row],[DESCRIPCIÓN ]],'MEMORIA CANTIDADES'!C:C,Table28[[#This Row],[UNIDAD]]),0)</f>
        <v>0</v>
      </c>
      <c r="E911" s="225">
        <f>+VLOOKUP(Table28[[#This Row],[DESCRIPCIÓN ]],INSUMOS!A:D,3,FALSE)</f>
        <v>113579.2</v>
      </c>
      <c r="F911" s="225">
        <f>+Table28[[#This Row],[CANTIDAD]]*Table28[[#This Row],[VALOR UNITARIO]]</f>
        <v>0</v>
      </c>
    </row>
    <row r="912" spans="1:6" s="193" customFormat="1" hidden="1" x14ac:dyDescent="0.3">
      <c r="A912" s="193">
        <v>322</v>
      </c>
      <c r="B912" s="193" t="s">
        <v>922</v>
      </c>
      <c r="C912" s="193" t="s">
        <v>55</v>
      </c>
      <c r="D912" s="226">
        <f>+ROUNDUP(SUMIFS('MEMORIA CANTIDADES'!E:E,'MEMORIA CANTIDADES'!B:B,Table28[[#This Row],[DESCRIPCIÓN ]],'MEMORIA CANTIDADES'!C:C,Table28[[#This Row],[UNIDAD]]),0)</f>
        <v>0</v>
      </c>
      <c r="E912" s="225">
        <f>+VLOOKUP(Table28[[#This Row],[DESCRIPCIÓN ]],INSUMOS!A:D,3,FALSE)</f>
        <v>139484.84</v>
      </c>
      <c r="F912" s="225">
        <f>+Table28[[#This Row],[CANTIDAD]]*Table28[[#This Row],[VALOR UNITARIO]]</f>
        <v>0</v>
      </c>
    </row>
    <row r="913" spans="1:6" s="193" customFormat="1" ht="28.8" hidden="1" x14ac:dyDescent="0.3">
      <c r="A913" s="193">
        <v>323</v>
      </c>
      <c r="B913" s="193" t="s">
        <v>923</v>
      </c>
      <c r="C913" s="193" t="s">
        <v>55</v>
      </c>
      <c r="D913" s="226">
        <f>+ROUNDUP(SUMIFS('MEMORIA CANTIDADES'!E:E,'MEMORIA CANTIDADES'!B:B,Table28[[#This Row],[DESCRIPCIÓN ]],'MEMORIA CANTIDADES'!C:C,Table28[[#This Row],[UNIDAD]]),0)</f>
        <v>0</v>
      </c>
      <c r="E913" s="225">
        <f>+VLOOKUP(Table28[[#This Row],[DESCRIPCIÓN ]],INSUMOS!A:D,3,FALSE)</f>
        <v>430142.32</v>
      </c>
      <c r="F913" s="225">
        <f>+Table28[[#This Row],[CANTIDAD]]*Table28[[#This Row],[VALOR UNITARIO]]</f>
        <v>0</v>
      </c>
    </row>
    <row r="914" spans="1:6" s="193" customFormat="1" ht="28.8" hidden="1" x14ac:dyDescent="0.3">
      <c r="A914" s="193">
        <v>324</v>
      </c>
      <c r="B914" s="193" t="s">
        <v>924</v>
      </c>
      <c r="C914" s="193" t="s">
        <v>55</v>
      </c>
      <c r="D914" s="226">
        <f>+ROUNDUP(SUMIFS('MEMORIA CANTIDADES'!E:E,'MEMORIA CANTIDADES'!B:B,Table28[[#This Row],[DESCRIPCIÓN ]],'MEMORIA CANTIDADES'!C:C,Table28[[#This Row],[UNIDAD]]),0)</f>
        <v>0</v>
      </c>
      <c r="E914" s="225">
        <f>+VLOOKUP(Table28[[#This Row],[DESCRIPCIÓN ]],INSUMOS!A:D,3,FALSE)</f>
        <v>384412.73</v>
      </c>
      <c r="F914" s="225">
        <f>+Table28[[#This Row],[CANTIDAD]]*Table28[[#This Row],[VALOR UNITARIO]]</f>
        <v>0</v>
      </c>
    </row>
    <row r="915" spans="1:6" s="193" customFormat="1" ht="28.8" hidden="1" x14ac:dyDescent="0.3">
      <c r="A915" s="193">
        <v>325</v>
      </c>
      <c r="B915" s="193" t="s">
        <v>925</v>
      </c>
      <c r="C915" s="193" t="s">
        <v>55</v>
      </c>
      <c r="D915" s="226">
        <f>+ROUNDUP(SUMIFS('MEMORIA CANTIDADES'!E:E,'MEMORIA CANTIDADES'!B:B,Table28[[#This Row],[DESCRIPCIÓN ]],'MEMORIA CANTIDADES'!C:C,Table28[[#This Row],[UNIDAD]]),0)</f>
        <v>0</v>
      </c>
      <c r="E915" s="225">
        <f>+VLOOKUP(Table28[[#This Row],[DESCRIPCIÓN ]],INSUMOS!A:D,3,FALSE)</f>
        <v>583729.52</v>
      </c>
      <c r="F915" s="225">
        <f>+Table28[[#This Row],[CANTIDAD]]*Table28[[#This Row],[VALOR UNITARIO]]</f>
        <v>0</v>
      </c>
    </row>
    <row r="916" spans="1:6" s="193" customFormat="1" ht="28.8" hidden="1" x14ac:dyDescent="0.3">
      <c r="A916" s="193">
        <v>326</v>
      </c>
      <c r="B916" s="193" t="s">
        <v>926</v>
      </c>
      <c r="C916" s="193" t="s">
        <v>55</v>
      </c>
      <c r="D916" s="226">
        <f>+ROUNDUP(SUMIFS('MEMORIA CANTIDADES'!E:E,'MEMORIA CANTIDADES'!B:B,Table28[[#This Row],[DESCRIPCIÓN ]],'MEMORIA CANTIDADES'!C:C,Table28[[#This Row],[UNIDAD]]),0)</f>
        <v>0</v>
      </c>
      <c r="E916" s="225">
        <f>+VLOOKUP(Table28[[#This Row],[DESCRIPCIÓN ]],INSUMOS!A:D,3,FALSE)</f>
        <v>651268.86</v>
      </c>
      <c r="F916" s="225">
        <f>+Table28[[#This Row],[CANTIDAD]]*Table28[[#This Row],[VALOR UNITARIO]]</f>
        <v>0</v>
      </c>
    </row>
    <row r="917" spans="1:6" s="193" customFormat="1" hidden="1" x14ac:dyDescent="0.3">
      <c r="A917" s="193">
        <v>418</v>
      </c>
      <c r="B917" s="193" t="s">
        <v>927</v>
      </c>
      <c r="C917" s="193" t="s">
        <v>1270</v>
      </c>
      <c r="D917" s="226">
        <f>+ROUNDUP(SUMIFS('MEMORIA CANTIDADES'!E:E,'MEMORIA CANTIDADES'!B:B,Table28[[#This Row],[DESCRIPCIÓN ]],'MEMORIA CANTIDADES'!C:C,Table28[[#This Row],[UNIDAD]]),0)</f>
        <v>0</v>
      </c>
      <c r="E917" s="225">
        <f>+VLOOKUP(Table28[[#This Row],[DESCRIPCIÓN ]],INSUMOS!A:D,3,FALSE)</f>
        <v>36365.839999999997</v>
      </c>
      <c r="F917" s="225">
        <f>+Table28[[#This Row],[CANTIDAD]]*Table28[[#This Row],[VALOR UNITARIO]]</f>
        <v>0</v>
      </c>
    </row>
    <row r="918" spans="1:6" s="193" customFormat="1" hidden="1" x14ac:dyDescent="0.3">
      <c r="A918" s="193">
        <v>419</v>
      </c>
      <c r="B918" s="193" t="s">
        <v>928</v>
      </c>
      <c r="C918" s="193" t="s">
        <v>1270</v>
      </c>
      <c r="D918" s="226">
        <f>+ROUNDUP(SUMIFS('MEMORIA CANTIDADES'!E:E,'MEMORIA CANTIDADES'!B:B,Table28[[#This Row],[DESCRIPCIÓN ]],'MEMORIA CANTIDADES'!C:C,Table28[[#This Row],[UNIDAD]]),0)</f>
        <v>0</v>
      </c>
      <c r="E918" s="225">
        <f>+VLOOKUP(Table28[[#This Row],[DESCRIPCIÓN ]],INSUMOS!A:D,3,FALSE)</f>
        <v>20959.86</v>
      </c>
      <c r="F918" s="225">
        <f>+Table28[[#This Row],[CANTIDAD]]*Table28[[#This Row],[VALOR UNITARIO]]</f>
        <v>0</v>
      </c>
    </row>
    <row r="919" spans="1:6" s="193" customFormat="1" ht="28.8" hidden="1" x14ac:dyDescent="0.3">
      <c r="A919" s="193">
        <v>367</v>
      </c>
      <c r="B919" s="193" t="s">
        <v>929</v>
      </c>
      <c r="C919" s="193" t="s">
        <v>55</v>
      </c>
      <c r="D919" s="226">
        <f>+ROUNDUP(SUMIFS('MEMORIA CANTIDADES'!E:E,'MEMORIA CANTIDADES'!B:B,Table28[[#This Row],[DESCRIPCIÓN ]],'MEMORIA CANTIDADES'!C:C,Table28[[#This Row],[UNIDAD]]),0)</f>
        <v>0</v>
      </c>
      <c r="E919" s="225">
        <f>+VLOOKUP(Table28[[#This Row],[DESCRIPCIÓN ]],INSUMOS!A:D,3,FALSE)</f>
        <v>67660.63</v>
      </c>
      <c r="F919" s="225">
        <f>+Table28[[#This Row],[CANTIDAD]]*Table28[[#This Row],[VALOR UNITARIO]]</f>
        <v>0</v>
      </c>
    </row>
    <row r="920" spans="1:6" s="193" customFormat="1" ht="28.8" hidden="1" x14ac:dyDescent="0.3">
      <c r="A920" s="193">
        <v>368</v>
      </c>
      <c r="B920" s="193" t="s">
        <v>930</v>
      </c>
      <c r="C920" s="193" t="s">
        <v>55</v>
      </c>
      <c r="D920" s="226">
        <f>+ROUNDUP(SUMIFS('MEMORIA CANTIDADES'!E:E,'MEMORIA CANTIDADES'!B:B,Table28[[#This Row],[DESCRIPCIÓN ]],'MEMORIA CANTIDADES'!C:C,Table28[[#This Row],[UNIDAD]]),0)</f>
        <v>0</v>
      </c>
      <c r="E920" s="225">
        <f>+VLOOKUP(Table28[[#This Row],[DESCRIPCIÓN ]],INSUMOS!A:D,3,FALSE)</f>
        <v>74651.59</v>
      </c>
      <c r="F920" s="225">
        <f>+Table28[[#This Row],[CANTIDAD]]*Table28[[#This Row],[VALOR UNITARIO]]</f>
        <v>0</v>
      </c>
    </row>
    <row r="921" spans="1:6" s="193" customFormat="1" ht="28.8" hidden="1" x14ac:dyDescent="0.3">
      <c r="A921" s="193">
        <v>369</v>
      </c>
      <c r="B921" s="193" t="s">
        <v>931</v>
      </c>
      <c r="C921" s="193" t="s">
        <v>55</v>
      </c>
      <c r="D921" s="226">
        <f>+ROUNDUP(SUMIFS('MEMORIA CANTIDADES'!E:E,'MEMORIA CANTIDADES'!B:B,Table28[[#This Row],[DESCRIPCIÓN ]],'MEMORIA CANTIDADES'!C:C,Table28[[#This Row],[UNIDAD]]),0)</f>
        <v>0</v>
      </c>
      <c r="E921" s="225">
        <f>+VLOOKUP(Table28[[#This Row],[DESCRIPCIÓN ]],INSUMOS!A:D,3,FALSE)</f>
        <v>89512.43</v>
      </c>
      <c r="F921" s="225">
        <f>+Table28[[#This Row],[CANTIDAD]]*Table28[[#This Row],[VALOR UNITARIO]]</f>
        <v>0</v>
      </c>
    </row>
    <row r="922" spans="1:6" s="193" customFormat="1" ht="28.8" hidden="1" x14ac:dyDescent="0.3">
      <c r="A922" s="193">
        <v>370</v>
      </c>
      <c r="B922" s="193" t="s">
        <v>932</v>
      </c>
      <c r="C922" s="193" t="s">
        <v>55</v>
      </c>
      <c r="D922" s="226">
        <f>+ROUNDUP(SUMIFS('MEMORIA CANTIDADES'!E:E,'MEMORIA CANTIDADES'!B:B,Table28[[#This Row],[DESCRIPCIÓN ]],'MEMORIA CANTIDADES'!C:C,Table28[[#This Row],[UNIDAD]]),0)</f>
        <v>0</v>
      </c>
      <c r="E922" s="225">
        <f>+VLOOKUP(Table28[[#This Row],[DESCRIPCIÓN ]],INSUMOS!A:D,3,FALSE)</f>
        <v>90652.76</v>
      </c>
      <c r="F922" s="225">
        <f>+Table28[[#This Row],[CANTIDAD]]*Table28[[#This Row],[VALOR UNITARIO]]</f>
        <v>0</v>
      </c>
    </row>
    <row r="923" spans="1:6" s="193" customFormat="1" ht="28.8" hidden="1" x14ac:dyDescent="0.3">
      <c r="A923" s="193">
        <v>371</v>
      </c>
      <c r="B923" s="193" t="s">
        <v>933</v>
      </c>
      <c r="C923" s="193" t="s">
        <v>55</v>
      </c>
      <c r="D923" s="226">
        <f>+ROUNDUP(SUMIFS('MEMORIA CANTIDADES'!E:E,'MEMORIA CANTIDADES'!B:B,Table28[[#This Row],[DESCRIPCIÓN ]],'MEMORIA CANTIDADES'!C:C,Table28[[#This Row],[UNIDAD]]),0)</f>
        <v>0</v>
      </c>
      <c r="E923" s="225">
        <f>+VLOOKUP(Table28[[#This Row],[DESCRIPCIÓN ]],INSUMOS!A:D,3,FALSE)</f>
        <v>66690.259999999995</v>
      </c>
      <c r="F923" s="225">
        <f>+Table28[[#This Row],[CANTIDAD]]*Table28[[#This Row],[VALOR UNITARIO]]</f>
        <v>0</v>
      </c>
    </row>
    <row r="924" spans="1:6" s="193" customFormat="1" ht="28.8" hidden="1" x14ac:dyDescent="0.3">
      <c r="A924" s="193">
        <v>372</v>
      </c>
      <c r="B924" s="193" t="s">
        <v>934</v>
      </c>
      <c r="C924" s="193" t="s">
        <v>55</v>
      </c>
      <c r="D924" s="226">
        <f>+ROUNDUP(SUMIFS('MEMORIA CANTIDADES'!E:E,'MEMORIA CANTIDADES'!B:B,Table28[[#This Row],[DESCRIPCIÓN ]],'MEMORIA CANTIDADES'!C:C,Table28[[#This Row],[UNIDAD]]),0)</f>
        <v>0</v>
      </c>
      <c r="E924" s="225">
        <f>+VLOOKUP(Table28[[#This Row],[DESCRIPCIÓN ]],INSUMOS!A:D,3,FALSE)</f>
        <v>80621</v>
      </c>
      <c r="F924" s="225">
        <f>+Table28[[#This Row],[CANTIDAD]]*Table28[[#This Row],[VALOR UNITARIO]]</f>
        <v>0</v>
      </c>
    </row>
    <row r="925" spans="1:6" s="193" customFormat="1" ht="28.8" hidden="1" x14ac:dyDescent="0.3">
      <c r="A925" s="193">
        <v>373</v>
      </c>
      <c r="B925" s="193" t="s">
        <v>935</v>
      </c>
      <c r="C925" s="193" t="s">
        <v>55</v>
      </c>
      <c r="D925" s="226">
        <f>+ROUNDUP(SUMIFS('MEMORIA CANTIDADES'!E:E,'MEMORIA CANTIDADES'!B:B,Table28[[#This Row],[DESCRIPCIÓN ]],'MEMORIA CANTIDADES'!C:C,Table28[[#This Row],[UNIDAD]]),0)</f>
        <v>0</v>
      </c>
      <c r="E925" s="225">
        <f>+VLOOKUP(Table28[[#This Row],[DESCRIPCIÓN ]],INSUMOS!A:D,3,FALSE)</f>
        <v>115306.2</v>
      </c>
      <c r="F925" s="225">
        <f>+Table28[[#This Row],[CANTIDAD]]*Table28[[#This Row],[VALOR UNITARIO]]</f>
        <v>0</v>
      </c>
    </row>
    <row r="926" spans="1:6" s="193" customFormat="1" ht="28.8" hidden="1" x14ac:dyDescent="0.3">
      <c r="A926" s="193">
        <v>327</v>
      </c>
      <c r="B926" s="193" t="s">
        <v>2194</v>
      </c>
      <c r="C926" s="193" t="s">
        <v>55</v>
      </c>
      <c r="D926" s="226">
        <f>+ROUNDUP(SUMIFS('MEMORIA CANTIDADES'!E:E,'MEMORIA CANTIDADES'!B:B,Table28[[#This Row],[DESCRIPCIÓN ]],'MEMORIA CANTIDADES'!C:C,Table28[[#This Row],[UNIDAD]]),0)</f>
        <v>0</v>
      </c>
      <c r="E926" s="225">
        <f>+VLOOKUP(Table28[[#This Row],[DESCRIPCIÓN ]],INSUMOS!A:D,3,FALSE)</f>
        <v>68875.509999999995</v>
      </c>
      <c r="F926" s="225">
        <f>+Table28[[#This Row],[CANTIDAD]]*Table28[[#This Row],[VALOR UNITARIO]]</f>
        <v>0</v>
      </c>
    </row>
    <row r="927" spans="1:6" s="193" customFormat="1" ht="28.8" hidden="1" x14ac:dyDescent="0.3">
      <c r="A927" s="193">
        <v>328</v>
      </c>
      <c r="B927" s="193" t="s">
        <v>2195</v>
      </c>
      <c r="C927" s="193" t="s">
        <v>55</v>
      </c>
      <c r="D927" s="226">
        <f>+ROUNDUP(SUMIFS('MEMORIA CANTIDADES'!E:E,'MEMORIA CANTIDADES'!B:B,Table28[[#This Row],[DESCRIPCIÓN ]],'MEMORIA CANTIDADES'!C:C,Table28[[#This Row],[UNIDAD]]),0)</f>
        <v>0</v>
      </c>
      <c r="E927" s="225">
        <f>+VLOOKUP(Table28[[#This Row],[DESCRIPCIÓN ]],INSUMOS!A:D,3,FALSE)</f>
        <v>31677.3</v>
      </c>
      <c r="F927" s="225">
        <f>+Table28[[#This Row],[CANTIDAD]]*Table28[[#This Row],[VALOR UNITARIO]]</f>
        <v>0</v>
      </c>
    </row>
    <row r="928" spans="1:6" s="193" customFormat="1" ht="28.8" hidden="1" x14ac:dyDescent="0.3">
      <c r="A928" s="193">
        <v>331</v>
      </c>
      <c r="B928" s="193" t="s">
        <v>936</v>
      </c>
      <c r="C928" s="193" t="s">
        <v>55</v>
      </c>
      <c r="D928" s="226">
        <f>+ROUNDUP(SUMIFS('MEMORIA CANTIDADES'!E:E,'MEMORIA CANTIDADES'!B:B,Table28[[#This Row],[DESCRIPCIÓN ]],'MEMORIA CANTIDADES'!C:C,Table28[[#This Row],[UNIDAD]]),0)</f>
        <v>0</v>
      </c>
      <c r="E928" s="225">
        <f>+VLOOKUP(Table28[[#This Row],[DESCRIPCIÓN ]],INSUMOS!A:D,3,FALSE)</f>
        <v>21804.99</v>
      </c>
      <c r="F928" s="225">
        <f>+Table28[[#This Row],[CANTIDAD]]*Table28[[#This Row],[VALOR UNITARIO]]</f>
        <v>0</v>
      </c>
    </row>
    <row r="929" spans="1:6" s="193" customFormat="1" ht="28.8" hidden="1" x14ac:dyDescent="0.3">
      <c r="A929" s="193">
        <v>332</v>
      </c>
      <c r="B929" s="193" t="s">
        <v>937</v>
      </c>
      <c r="C929" s="193" t="s">
        <v>55</v>
      </c>
      <c r="D929" s="226">
        <f>+ROUNDUP(SUMIFS('MEMORIA CANTIDADES'!E:E,'MEMORIA CANTIDADES'!B:B,Table28[[#This Row],[DESCRIPCIÓN ]],'MEMORIA CANTIDADES'!C:C,Table28[[#This Row],[UNIDAD]]),0)</f>
        <v>0</v>
      </c>
      <c r="E929" s="225">
        <f>+VLOOKUP(Table28[[#This Row],[DESCRIPCIÓN ]],INSUMOS!A:D,3,FALSE)</f>
        <v>23424.66</v>
      </c>
      <c r="F929" s="225">
        <f>+Table28[[#This Row],[CANTIDAD]]*Table28[[#This Row],[VALOR UNITARIO]]</f>
        <v>0</v>
      </c>
    </row>
    <row r="930" spans="1:6" s="193" customFormat="1" ht="28.8" hidden="1" x14ac:dyDescent="0.3">
      <c r="A930" s="193">
        <v>333</v>
      </c>
      <c r="B930" s="193" t="s">
        <v>938</v>
      </c>
      <c r="C930" s="193" t="s">
        <v>55</v>
      </c>
      <c r="D930" s="226">
        <f>+ROUNDUP(SUMIFS('MEMORIA CANTIDADES'!E:E,'MEMORIA CANTIDADES'!B:B,Table28[[#This Row],[DESCRIPCIÓN ]],'MEMORIA CANTIDADES'!C:C,Table28[[#This Row],[UNIDAD]]),0)</f>
        <v>0</v>
      </c>
      <c r="E930" s="225">
        <f>+VLOOKUP(Table28[[#This Row],[DESCRIPCIÓN ]],INSUMOS!A:D,3,FALSE)</f>
        <v>26143.65</v>
      </c>
      <c r="F930" s="225">
        <f>+Table28[[#This Row],[CANTIDAD]]*Table28[[#This Row],[VALOR UNITARIO]]</f>
        <v>0</v>
      </c>
    </row>
    <row r="931" spans="1:6" s="193" customFormat="1" ht="28.8" hidden="1" x14ac:dyDescent="0.3">
      <c r="A931" s="193">
        <v>329</v>
      </c>
      <c r="B931" s="193" t="s">
        <v>939</v>
      </c>
      <c r="C931" s="193" t="s">
        <v>55</v>
      </c>
      <c r="D931" s="226">
        <f>+ROUNDUP(SUMIFS('MEMORIA CANTIDADES'!E:E,'MEMORIA CANTIDADES'!B:B,Table28[[#This Row],[DESCRIPCIÓN ]],'MEMORIA CANTIDADES'!C:C,Table28[[#This Row],[UNIDAD]]),0)</f>
        <v>0</v>
      </c>
      <c r="E931" s="225">
        <f>+VLOOKUP(Table28[[#This Row],[DESCRIPCIÓN ]],INSUMOS!A:D,3,FALSE)</f>
        <v>18955.919999999998</v>
      </c>
      <c r="F931" s="225">
        <f>+Table28[[#This Row],[CANTIDAD]]*Table28[[#This Row],[VALOR UNITARIO]]</f>
        <v>0</v>
      </c>
    </row>
    <row r="932" spans="1:6" s="193" customFormat="1" ht="28.8" hidden="1" x14ac:dyDescent="0.3">
      <c r="A932" s="193">
        <v>330</v>
      </c>
      <c r="B932" s="193" t="s">
        <v>940</v>
      </c>
      <c r="C932" s="193" t="s">
        <v>55</v>
      </c>
      <c r="D932" s="226">
        <f>+ROUNDUP(SUMIFS('MEMORIA CANTIDADES'!E:E,'MEMORIA CANTIDADES'!B:B,Table28[[#This Row],[DESCRIPCIÓN ]],'MEMORIA CANTIDADES'!C:C,Table28[[#This Row],[UNIDAD]]),0)</f>
        <v>0</v>
      </c>
      <c r="E932" s="225">
        <f>+VLOOKUP(Table28[[#This Row],[DESCRIPCIÓN ]],INSUMOS!A:D,3,FALSE)</f>
        <v>61767.63</v>
      </c>
      <c r="F932" s="225">
        <f>+Table28[[#This Row],[CANTIDAD]]*Table28[[#This Row],[VALOR UNITARIO]]</f>
        <v>0</v>
      </c>
    </row>
    <row r="933" spans="1:6" s="193" customFormat="1" ht="28.8" hidden="1" x14ac:dyDescent="0.3">
      <c r="A933" s="193">
        <v>334</v>
      </c>
      <c r="B933" s="193" t="s">
        <v>941</v>
      </c>
      <c r="C933" s="193" t="s">
        <v>55</v>
      </c>
      <c r="D933" s="226">
        <f>+ROUNDUP(SUMIFS('MEMORIA CANTIDADES'!E:E,'MEMORIA CANTIDADES'!B:B,Table28[[#This Row],[DESCRIPCIÓN ]],'MEMORIA CANTIDADES'!C:C,Table28[[#This Row],[UNIDAD]]),0)</f>
        <v>0</v>
      </c>
      <c r="E933" s="225">
        <f>+VLOOKUP(Table28[[#This Row],[DESCRIPCIÓN ]],INSUMOS!A:D,3,FALSE)</f>
        <v>131146.49</v>
      </c>
      <c r="F933" s="225">
        <f>+Table28[[#This Row],[CANTIDAD]]*Table28[[#This Row],[VALOR UNITARIO]]</f>
        <v>0</v>
      </c>
    </row>
    <row r="934" spans="1:6" s="193" customFormat="1" ht="28.8" hidden="1" x14ac:dyDescent="0.3">
      <c r="A934" s="193">
        <v>335</v>
      </c>
      <c r="B934" s="193" t="s">
        <v>942</v>
      </c>
      <c r="C934" s="193" t="s">
        <v>55</v>
      </c>
      <c r="D934" s="226">
        <f>+ROUNDUP(SUMIFS('MEMORIA CANTIDADES'!E:E,'MEMORIA CANTIDADES'!B:B,Table28[[#This Row],[DESCRIPCIÓN ]],'MEMORIA CANTIDADES'!C:C,Table28[[#This Row],[UNIDAD]]),0)</f>
        <v>0</v>
      </c>
      <c r="E934" s="225">
        <f>+VLOOKUP(Table28[[#This Row],[DESCRIPCIÓN ]],INSUMOS!A:D,3,FALSE)</f>
        <v>150505.81</v>
      </c>
      <c r="F934" s="225">
        <f>+Table28[[#This Row],[CANTIDAD]]*Table28[[#This Row],[VALOR UNITARIO]]</f>
        <v>0</v>
      </c>
    </row>
    <row r="935" spans="1:6" s="193" customFormat="1" ht="28.8" hidden="1" x14ac:dyDescent="0.3">
      <c r="A935" s="193">
        <v>336</v>
      </c>
      <c r="B935" s="193" t="s">
        <v>943</v>
      </c>
      <c r="C935" s="193" t="s">
        <v>55</v>
      </c>
      <c r="D935" s="226">
        <f>+ROUNDUP(SUMIFS('MEMORIA CANTIDADES'!E:E,'MEMORIA CANTIDADES'!B:B,Table28[[#This Row],[DESCRIPCIÓN ]],'MEMORIA CANTIDADES'!C:C,Table28[[#This Row],[UNIDAD]]),0)</f>
        <v>0</v>
      </c>
      <c r="E935" s="225">
        <f>+VLOOKUP(Table28[[#This Row],[DESCRIPCIÓN ]],INSUMOS!A:D,3,FALSE)</f>
        <v>145365.42000000001</v>
      </c>
      <c r="F935" s="225">
        <f>+Table28[[#This Row],[CANTIDAD]]*Table28[[#This Row],[VALOR UNITARIO]]</f>
        <v>0</v>
      </c>
    </row>
    <row r="936" spans="1:6" s="193" customFormat="1" ht="28.8" hidden="1" x14ac:dyDescent="0.3">
      <c r="A936" s="193">
        <v>337</v>
      </c>
      <c r="B936" s="193" t="s">
        <v>944</v>
      </c>
      <c r="C936" s="193" t="s">
        <v>55</v>
      </c>
      <c r="D936" s="226">
        <f>+ROUNDUP(SUMIFS('MEMORIA CANTIDADES'!E:E,'MEMORIA CANTIDADES'!B:B,Table28[[#This Row],[DESCRIPCIÓN ]],'MEMORIA CANTIDADES'!C:C,Table28[[#This Row],[UNIDAD]]),0)</f>
        <v>0</v>
      </c>
      <c r="E936" s="225">
        <f>+VLOOKUP(Table28[[#This Row],[DESCRIPCIÓN ]],INSUMOS!A:D,3,FALSE)</f>
        <v>137501.85999999999</v>
      </c>
      <c r="F936" s="225">
        <f>+Table28[[#This Row],[CANTIDAD]]*Table28[[#This Row],[VALOR UNITARIO]]</f>
        <v>0</v>
      </c>
    </row>
    <row r="937" spans="1:6" s="193" customFormat="1" ht="28.8" hidden="1" x14ac:dyDescent="0.3">
      <c r="A937" s="193">
        <v>338</v>
      </c>
      <c r="B937" s="193" t="s">
        <v>945</v>
      </c>
      <c r="C937" s="193" t="s">
        <v>55</v>
      </c>
      <c r="D937" s="226">
        <f>+ROUNDUP(SUMIFS('MEMORIA CANTIDADES'!E:E,'MEMORIA CANTIDADES'!B:B,Table28[[#This Row],[DESCRIPCIÓN ]],'MEMORIA CANTIDADES'!C:C,Table28[[#This Row],[UNIDAD]]),0)</f>
        <v>0</v>
      </c>
      <c r="E937" s="225">
        <f>+VLOOKUP(Table28[[#This Row],[DESCRIPCIÓN ]],INSUMOS!A:D,3,FALSE)</f>
        <v>115794.1</v>
      </c>
      <c r="F937" s="225">
        <f>+Table28[[#This Row],[CANTIDAD]]*Table28[[#This Row],[VALOR UNITARIO]]</f>
        <v>0</v>
      </c>
    </row>
    <row r="938" spans="1:6" s="193" customFormat="1" ht="28.8" hidden="1" x14ac:dyDescent="0.3">
      <c r="A938" s="193">
        <v>339</v>
      </c>
      <c r="B938" s="193" t="s">
        <v>946</v>
      </c>
      <c r="C938" s="193" t="s">
        <v>55</v>
      </c>
      <c r="D938" s="226">
        <f>+ROUNDUP(SUMIFS('MEMORIA CANTIDADES'!E:E,'MEMORIA CANTIDADES'!B:B,Table28[[#This Row],[DESCRIPCIÓN ]],'MEMORIA CANTIDADES'!C:C,Table28[[#This Row],[UNIDAD]]),0)</f>
        <v>0</v>
      </c>
      <c r="E938" s="225">
        <f>+VLOOKUP(Table28[[#This Row],[DESCRIPCIÓN ]],INSUMOS!A:D,3,FALSE)</f>
        <v>136646.1</v>
      </c>
      <c r="F938" s="225">
        <f>+Table28[[#This Row],[CANTIDAD]]*Table28[[#This Row],[VALOR UNITARIO]]</f>
        <v>0</v>
      </c>
    </row>
    <row r="939" spans="1:6" s="193" customFormat="1" ht="28.8" hidden="1" x14ac:dyDescent="0.3">
      <c r="A939" s="193">
        <v>340</v>
      </c>
      <c r="B939" s="193" t="s">
        <v>947</v>
      </c>
      <c r="C939" s="193" t="s">
        <v>55</v>
      </c>
      <c r="D939" s="226">
        <f>+ROUNDUP(SUMIFS('MEMORIA CANTIDADES'!E:E,'MEMORIA CANTIDADES'!B:B,Table28[[#This Row],[DESCRIPCIÓN ]],'MEMORIA CANTIDADES'!C:C,Table28[[#This Row],[UNIDAD]]),0)</f>
        <v>0</v>
      </c>
      <c r="E939" s="225">
        <f>+VLOOKUP(Table28[[#This Row],[DESCRIPCIÓN ]],INSUMOS!A:D,3,FALSE)</f>
        <v>190304.37</v>
      </c>
      <c r="F939" s="225">
        <f>+Table28[[#This Row],[CANTIDAD]]*Table28[[#This Row],[VALOR UNITARIO]]</f>
        <v>0</v>
      </c>
    </row>
    <row r="940" spans="1:6" s="193" customFormat="1" hidden="1" x14ac:dyDescent="0.3">
      <c r="A940" s="193">
        <v>420</v>
      </c>
      <c r="B940" s="193" t="s">
        <v>948</v>
      </c>
      <c r="C940" s="193" t="s">
        <v>55</v>
      </c>
      <c r="D940" s="226">
        <f>+ROUNDUP(SUMIFS('MEMORIA CANTIDADES'!E:E,'MEMORIA CANTIDADES'!B:B,Table28[[#This Row],[DESCRIPCIÓN ]],'MEMORIA CANTIDADES'!C:C,Table28[[#This Row],[UNIDAD]]),0)</f>
        <v>0</v>
      </c>
      <c r="E940" s="225">
        <f>+VLOOKUP(Table28[[#This Row],[DESCRIPCIÓN ]],INSUMOS!A:D,3,FALSE)</f>
        <v>8823.6200000000008</v>
      </c>
      <c r="F940" s="225">
        <f>+Table28[[#This Row],[CANTIDAD]]*Table28[[#This Row],[VALOR UNITARIO]]</f>
        <v>0</v>
      </c>
    </row>
    <row r="941" spans="1:6" s="193" customFormat="1" ht="57.6" hidden="1" x14ac:dyDescent="0.3">
      <c r="A941" s="193">
        <v>637</v>
      </c>
      <c r="B941" s="193" t="s">
        <v>949</v>
      </c>
      <c r="C941" s="193" t="s">
        <v>55</v>
      </c>
      <c r="D941" s="226">
        <f>+ROUNDUP(SUMIFS('MEMORIA CANTIDADES'!E:E,'MEMORIA CANTIDADES'!B:B,Table28[[#This Row],[DESCRIPCIÓN ]],'MEMORIA CANTIDADES'!C:C,Table28[[#This Row],[UNIDAD]]),0)</f>
        <v>0</v>
      </c>
      <c r="E941" s="225">
        <f>+VLOOKUP(Table28[[#This Row],[DESCRIPCIÓN ]],INSUMOS!A:D,3,FALSE)</f>
        <v>653988.85</v>
      </c>
      <c r="F941" s="225">
        <f>+Table28[[#This Row],[CANTIDAD]]*Table28[[#This Row],[VALOR UNITARIO]]</f>
        <v>0</v>
      </c>
    </row>
    <row r="942" spans="1:6" s="193" customFormat="1" ht="57.6" hidden="1" x14ac:dyDescent="0.3">
      <c r="A942" s="193">
        <v>638</v>
      </c>
      <c r="B942" s="193" t="s">
        <v>950</v>
      </c>
      <c r="C942" s="193" t="s">
        <v>55</v>
      </c>
      <c r="D942" s="226">
        <f>+ROUNDUP(SUMIFS('MEMORIA CANTIDADES'!E:E,'MEMORIA CANTIDADES'!B:B,Table28[[#This Row],[DESCRIPCIÓN ]],'MEMORIA CANTIDADES'!C:C,Table28[[#This Row],[UNIDAD]]),0)</f>
        <v>0</v>
      </c>
      <c r="E942" s="225">
        <f>+VLOOKUP(Table28[[#This Row],[DESCRIPCIÓN ]],INSUMOS!A:D,3,FALSE)</f>
        <v>1447319.72</v>
      </c>
      <c r="F942" s="225">
        <f>+Table28[[#This Row],[CANTIDAD]]*Table28[[#This Row],[VALOR UNITARIO]]</f>
        <v>0</v>
      </c>
    </row>
    <row r="943" spans="1:6" s="193" customFormat="1" ht="57.6" hidden="1" x14ac:dyDescent="0.3">
      <c r="A943" s="193">
        <v>639</v>
      </c>
      <c r="B943" s="193" t="s">
        <v>951</v>
      </c>
      <c r="C943" s="193" t="s">
        <v>55</v>
      </c>
      <c r="D943" s="226">
        <f>+ROUNDUP(SUMIFS('MEMORIA CANTIDADES'!E:E,'MEMORIA CANTIDADES'!B:B,Table28[[#This Row],[DESCRIPCIÓN ]],'MEMORIA CANTIDADES'!C:C,Table28[[#This Row],[UNIDAD]]),0)</f>
        <v>0</v>
      </c>
      <c r="E943" s="225">
        <f>+VLOOKUP(Table28[[#This Row],[DESCRIPCIÓN ]],INSUMOS!A:D,3,FALSE)</f>
        <v>269064.62</v>
      </c>
      <c r="F943" s="225">
        <f>+Table28[[#This Row],[CANTIDAD]]*Table28[[#This Row],[VALOR UNITARIO]]</f>
        <v>0</v>
      </c>
    </row>
    <row r="944" spans="1:6" s="193" customFormat="1" ht="57.6" hidden="1" x14ac:dyDescent="0.3">
      <c r="A944" s="193">
        <v>640</v>
      </c>
      <c r="B944" s="193" t="s">
        <v>952</v>
      </c>
      <c r="C944" s="193" t="s">
        <v>55</v>
      </c>
      <c r="D944" s="226">
        <f>+ROUNDUP(SUMIFS('MEMORIA CANTIDADES'!E:E,'MEMORIA CANTIDADES'!B:B,Table28[[#This Row],[DESCRIPCIÓN ]],'MEMORIA CANTIDADES'!C:C,Table28[[#This Row],[UNIDAD]]),0)</f>
        <v>0</v>
      </c>
      <c r="E944" s="225">
        <f>+VLOOKUP(Table28[[#This Row],[DESCRIPCIÓN ]],INSUMOS!A:D,3,FALSE)</f>
        <v>424379.21</v>
      </c>
      <c r="F944" s="225">
        <f>+Table28[[#This Row],[CANTIDAD]]*Table28[[#This Row],[VALOR UNITARIO]]</f>
        <v>0</v>
      </c>
    </row>
    <row r="945" spans="1:6" s="193" customFormat="1" ht="72" hidden="1" x14ac:dyDescent="0.3">
      <c r="A945" s="193">
        <v>641</v>
      </c>
      <c r="B945" s="193" t="s">
        <v>953</v>
      </c>
      <c r="C945" s="193" t="s">
        <v>55</v>
      </c>
      <c r="D945" s="226">
        <f>+ROUNDUP(SUMIFS('MEMORIA CANTIDADES'!E:E,'MEMORIA CANTIDADES'!B:B,Table28[[#This Row],[DESCRIPCIÓN ]],'MEMORIA CANTIDADES'!C:C,Table28[[#This Row],[UNIDAD]]),0)</f>
        <v>0</v>
      </c>
      <c r="E945" s="225">
        <f>+VLOOKUP(Table28[[#This Row],[DESCRIPCIÓN ]],INSUMOS!A:D,3,FALSE)</f>
        <v>4096710.8</v>
      </c>
      <c r="F945" s="225">
        <f>+Table28[[#This Row],[CANTIDAD]]*Table28[[#This Row],[VALOR UNITARIO]]</f>
        <v>0</v>
      </c>
    </row>
    <row r="946" spans="1:6" s="193" customFormat="1" hidden="1" x14ac:dyDescent="0.3">
      <c r="A946" s="193">
        <v>341</v>
      </c>
      <c r="B946" s="193" t="s">
        <v>954</v>
      </c>
      <c r="C946" s="193" t="s">
        <v>55</v>
      </c>
      <c r="D946" s="226">
        <f>+ROUNDUP(SUMIFS('MEMORIA CANTIDADES'!E:E,'MEMORIA CANTIDADES'!B:B,Table28[[#This Row],[DESCRIPCIÓN ]],'MEMORIA CANTIDADES'!C:C,Table28[[#This Row],[UNIDAD]]),0)</f>
        <v>0</v>
      </c>
      <c r="E946" s="225">
        <f>+VLOOKUP(Table28[[#This Row],[DESCRIPCIÓN ]],INSUMOS!A:D,3,FALSE)</f>
        <v>5960.37</v>
      </c>
      <c r="F946" s="225">
        <f>+Table28[[#This Row],[CANTIDAD]]*Table28[[#This Row],[VALOR UNITARIO]]</f>
        <v>0</v>
      </c>
    </row>
    <row r="947" spans="1:6" s="193" customFormat="1" hidden="1" x14ac:dyDescent="0.3">
      <c r="A947" s="193">
        <v>642</v>
      </c>
      <c r="B947" s="193" t="s">
        <v>955</v>
      </c>
      <c r="C947" s="193" t="s">
        <v>55</v>
      </c>
      <c r="D947" s="226">
        <f>+ROUNDUP(SUMIFS('MEMORIA CANTIDADES'!E:E,'MEMORIA CANTIDADES'!B:B,Table28[[#This Row],[DESCRIPCIÓN ]],'MEMORIA CANTIDADES'!C:C,Table28[[#This Row],[UNIDAD]]),0)</f>
        <v>0</v>
      </c>
      <c r="E947" s="225">
        <f>+VLOOKUP(Table28[[#This Row],[DESCRIPCIÓN ]],INSUMOS!A:D,3,FALSE)</f>
        <v>31710.32</v>
      </c>
      <c r="F947" s="225">
        <f>+Table28[[#This Row],[CANTIDAD]]*Table28[[#This Row],[VALOR UNITARIO]]</f>
        <v>0</v>
      </c>
    </row>
    <row r="948" spans="1:6" s="193" customFormat="1" hidden="1" x14ac:dyDescent="0.3">
      <c r="A948" s="193">
        <v>643</v>
      </c>
      <c r="B948" s="193" t="s">
        <v>956</v>
      </c>
      <c r="C948" s="193" t="s">
        <v>55</v>
      </c>
      <c r="D948" s="226">
        <f>+ROUNDUP(SUMIFS('MEMORIA CANTIDADES'!E:E,'MEMORIA CANTIDADES'!B:B,Table28[[#This Row],[DESCRIPCIÓN ]],'MEMORIA CANTIDADES'!C:C,Table28[[#This Row],[UNIDAD]]),0)</f>
        <v>0</v>
      </c>
      <c r="E948" s="225">
        <f>+VLOOKUP(Table28[[#This Row],[DESCRIPCIÓN ]],INSUMOS!A:D,3,FALSE)</f>
        <v>37853.07</v>
      </c>
      <c r="F948" s="225">
        <f>+Table28[[#This Row],[CANTIDAD]]*Table28[[#This Row],[VALOR UNITARIO]]</f>
        <v>0</v>
      </c>
    </row>
    <row r="949" spans="1:6" s="193" customFormat="1" hidden="1" x14ac:dyDescent="0.3">
      <c r="A949" s="193">
        <v>342</v>
      </c>
      <c r="B949" s="193" t="s">
        <v>957</v>
      </c>
      <c r="C949" s="193" t="s">
        <v>55</v>
      </c>
      <c r="D949" s="226">
        <f>+ROUNDUP(SUMIFS('MEMORIA CANTIDADES'!E:E,'MEMORIA CANTIDADES'!B:B,Table28[[#This Row],[DESCRIPCIÓN ]],'MEMORIA CANTIDADES'!C:C,Table28[[#This Row],[UNIDAD]]),0)</f>
        <v>0</v>
      </c>
      <c r="E949" s="225">
        <f>+VLOOKUP(Table28[[#This Row],[DESCRIPCIÓN ]],INSUMOS!A:D,3,FALSE)</f>
        <v>2633.35</v>
      </c>
      <c r="F949" s="225">
        <f>+Table28[[#This Row],[CANTIDAD]]*Table28[[#This Row],[VALOR UNITARIO]]</f>
        <v>0</v>
      </c>
    </row>
    <row r="950" spans="1:6" s="193" customFormat="1" ht="28.8" hidden="1" x14ac:dyDescent="0.3">
      <c r="A950" s="193">
        <v>176</v>
      </c>
      <c r="B950" s="193" t="s">
        <v>958</v>
      </c>
      <c r="C950" s="193" t="s">
        <v>55</v>
      </c>
      <c r="D950" s="226">
        <f>+ROUNDUP(SUMIFS('MEMORIA CANTIDADES'!E:E,'MEMORIA CANTIDADES'!B:B,Table28[[#This Row],[DESCRIPCIÓN ]],'MEMORIA CANTIDADES'!C:C,Table28[[#This Row],[UNIDAD]]),0)</f>
        <v>0</v>
      </c>
      <c r="E950" s="225">
        <f>+VLOOKUP(Table28[[#This Row],[DESCRIPCIÓN ]],INSUMOS!A:D,3,FALSE)</f>
        <v>15652.08</v>
      </c>
      <c r="F950" s="225">
        <f>+Table28[[#This Row],[CANTIDAD]]*Table28[[#This Row],[VALOR UNITARIO]]</f>
        <v>0</v>
      </c>
    </row>
    <row r="951" spans="1:6" s="193" customFormat="1" ht="28.8" hidden="1" x14ac:dyDescent="0.3">
      <c r="A951" s="193">
        <v>177</v>
      </c>
      <c r="B951" s="193" t="s">
        <v>959</v>
      </c>
      <c r="C951" s="193" t="s">
        <v>55</v>
      </c>
      <c r="D951" s="226">
        <f>+ROUNDUP(SUMIFS('MEMORIA CANTIDADES'!E:E,'MEMORIA CANTIDADES'!B:B,Table28[[#This Row],[DESCRIPCIÓN ]],'MEMORIA CANTIDADES'!C:C,Table28[[#This Row],[UNIDAD]]),0)</f>
        <v>0</v>
      </c>
      <c r="E951" s="225">
        <f>+VLOOKUP(Table28[[#This Row],[DESCRIPCIÓN ]],INSUMOS!A:D,3,FALSE)</f>
        <v>15393.51</v>
      </c>
      <c r="F951" s="225">
        <f>+Table28[[#This Row],[CANTIDAD]]*Table28[[#This Row],[VALOR UNITARIO]]</f>
        <v>0</v>
      </c>
    </row>
    <row r="952" spans="1:6" s="193" customFormat="1" hidden="1" x14ac:dyDescent="0.3">
      <c r="A952" s="193">
        <v>178</v>
      </c>
      <c r="B952" s="193" t="s">
        <v>960</v>
      </c>
      <c r="C952" s="193" t="s">
        <v>55</v>
      </c>
      <c r="D952" s="226">
        <f>+ROUNDUP(SUMIFS('MEMORIA CANTIDADES'!E:E,'MEMORIA CANTIDADES'!B:B,Table28[[#This Row],[DESCRIPCIÓN ]],'MEMORIA CANTIDADES'!C:C,Table28[[#This Row],[UNIDAD]]),0)</f>
        <v>0</v>
      </c>
      <c r="E952" s="225">
        <f>+VLOOKUP(Table28[[#This Row],[DESCRIPCIÓN ]],INSUMOS!A:D,3,FALSE)</f>
        <v>12060.98</v>
      </c>
      <c r="F952" s="225">
        <f>+Table28[[#This Row],[CANTIDAD]]*Table28[[#This Row],[VALOR UNITARIO]]</f>
        <v>0</v>
      </c>
    </row>
    <row r="953" spans="1:6" s="193" customFormat="1" hidden="1" x14ac:dyDescent="0.3">
      <c r="A953" s="193">
        <v>343</v>
      </c>
      <c r="B953" s="193" t="s">
        <v>961</v>
      </c>
      <c r="C953" s="193" t="s">
        <v>55</v>
      </c>
      <c r="D953" s="226">
        <f>+ROUNDUP(SUMIFS('MEMORIA CANTIDADES'!E:E,'MEMORIA CANTIDADES'!B:B,Table28[[#This Row],[DESCRIPCIÓN ]],'MEMORIA CANTIDADES'!C:C,Table28[[#This Row],[UNIDAD]]),0)</f>
        <v>0</v>
      </c>
      <c r="E953" s="225">
        <f>+VLOOKUP(Table28[[#This Row],[DESCRIPCIÓN ]],INSUMOS!A:D,3,FALSE)</f>
        <v>2334.59</v>
      </c>
      <c r="F953" s="225">
        <f>+Table28[[#This Row],[CANTIDAD]]*Table28[[#This Row],[VALOR UNITARIO]]</f>
        <v>0</v>
      </c>
    </row>
    <row r="954" spans="1:6" s="193" customFormat="1" hidden="1" x14ac:dyDescent="0.3">
      <c r="A954" s="193">
        <v>344</v>
      </c>
      <c r="B954" s="193" t="s">
        <v>962</v>
      </c>
      <c r="C954" s="193" t="s">
        <v>55</v>
      </c>
      <c r="D954" s="226">
        <f>+ROUNDUP(SUMIFS('MEMORIA CANTIDADES'!E:E,'MEMORIA CANTIDADES'!B:B,Table28[[#This Row],[DESCRIPCIÓN ]],'MEMORIA CANTIDADES'!C:C,Table28[[#This Row],[UNIDAD]]),0)</f>
        <v>0</v>
      </c>
      <c r="E954" s="225">
        <f>+VLOOKUP(Table28[[#This Row],[DESCRIPCIÓN ]],INSUMOS!A:D,3,FALSE)</f>
        <v>3062.32</v>
      </c>
      <c r="F954" s="225">
        <f>+Table28[[#This Row],[CANTIDAD]]*Table28[[#This Row],[VALOR UNITARIO]]</f>
        <v>0</v>
      </c>
    </row>
    <row r="955" spans="1:6" s="193" customFormat="1" hidden="1" x14ac:dyDescent="0.3">
      <c r="A955" s="193">
        <v>345</v>
      </c>
      <c r="B955" s="193" t="s">
        <v>963</v>
      </c>
      <c r="C955" s="193" t="s">
        <v>55</v>
      </c>
      <c r="D955" s="226">
        <f>+ROUNDUP(SUMIFS('MEMORIA CANTIDADES'!E:E,'MEMORIA CANTIDADES'!B:B,Table28[[#This Row],[DESCRIPCIÓN ]],'MEMORIA CANTIDADES'!C:C,Table28[[#This Row],[UNIDAD]]),0)</f>
        <v>0</v>
      </c>
      <c r="E955" s="225">
        <f>+VLOOKUP(Table28[[#This Row],[DESCRIPCIÓN ]],INSUMOS!A:D,3,FALSE)</f>
        <v>1140.6500000000001</v>
      </c>
      <c r="F955" s="225">
        <f>+Table28[[#This Row],[CANTIDAD]]*Table28[[#This Row],[VALOR UNITARIO]]</f>
        <v>0</v>
      </c>
    </row>
    <row r="956" spans="1:6" s="193" customFormat="1" ht="28.8" hidden="1" x14ac:dyDescent="0.3">
      <c r="A956" s="193">
        <v>179</v>
      </c>
      <c r="B956" s="193" t="s">
        <v>964</v>
      </c>
      <c r="C956" s="193" t="s">
        <v>55</v>
      </c>
      <c r="D956" s="226">
        <f>+ROUNDUP(SUMIFS('MEMORIA CANTIDADES'!E:E,'MEMORIA CANTIDADES'!B:B,Table28[[#This Row],[DESCRIPCIÓN ]],'MEMORIA CANTIDADES'!C:C,Table28[[#This Row],[UNIDAD]]),0)</f>
        <v>0</v>
      </c>
      <c r="E956" s="225">
        <f>+VLOOKUP(Table28[[#This Row],[DESCRIPCIÓN ]],INSUMOS!A:D,3,FALSE)</f>
        <v>10436.93</v>
      </c>
      <c r="F956" s="225">
        <f>+Table28[[#This Row],[CANTIDAD]]*Table28[[#This Row],[VALOR UNITARIO]]</f>
        <v>0</v>
      </c>
    </row>
    <row r="957" spans="1:6" s="193" customFormat="1" ht="28.8" hidden="1" x14ac:dyDescent="0.3">
      <c r="A957" s="193">
        <v>180</v>
      </c>
      <c r="B957" s="193" t="s">
        <v>965</v>
      </c>
      <c r="C957" s="193" t="s">
        <v>55</v>
      </c>
      <c r="D957" s="226">
        <f>+ROUNDUP(SUMIFS('MEMORIA CANTIDADES'!E:E,'MEMORIA CANTIDADES'!B:B,Table28[[#This Row],[DESCRIPCIÓN ]],'MEMORIA CANTIDADES'!C:C,Table28[[#This Row],[UNIDAD]]),0)</f>
        <v>0</v>
      </c>
      <c r="E957" s="225">
        <f>+VLOOKUP(Table28[[#This Row],[DESCRIPCIÓN ]],INSUMOS!A:D,3,FALSE)</f>
        <v>10398.629999999999</v>
      </c>
      <c r="F957" s="225">
        <f>+Table28[[#This Row],[CANTIDAD]]*Table28[[#This Row],[VALOR UNITARIO]]</f>
        <v>0</v>
      </c>
    </row>
    <row r="958" spans="1:6" s="193" customFormat="1" hidden="1" x14ac:dyDescent="0.3">
      <c r="A958" s="193">
        <v>181</v>
      </c>
      <c r="B958" s="193" t="s">
        <v>966</v>
      </c>
      <c r="C958" s="193" t="s">
        <v>55</v>
      </c>
      <c r="D958" s="226">
        <f>+ROUNDUP(SUMIFS('MEMORIA CANTIDADES'!E:E,'MEMORIA CANTIDADES'!B:B,Table28[[#This Row],[DESCRIPCIÓN ]],'MEMORIA CANTIDADES'!C:C,Table28[[#This Row],[UNIDAD]]),0)</f>
        <v>0</v>
      </c>
      <c r="E958" s="225">
        <f>+VLOOKUP(Table28[[#This Row],[DESCRIPCIÓN ]],INSUMOS!A:D,3,FALSE)</f>
        <v>9927.73</v>
      </c>
      <c r="F958" s="225">
        <f>+Table28[[#This Row],[CANTIDAD]]*Table28[[#This Row],[VALOR UNITARIO]]</f>
        <v>0</v>
      </c>
    </row>
    <row r="959" spans="1:6" s="193" customFormat="1" hidden="1" x14ac:dyDescent="0.3">
      <c r="A959" s="193">
        <v>644</v>
      </c>
      <c r="B959" s="193" t="s">
        <v>967</v>
      </c>
      <c r="C959" s="193" t="s">
        <v>55</v>
      </c>
      <c r="D959" s="226">
        <f>+ROUNDUP(SUMIFS('MEMORIA CANTIDADES'!E:E,'MEMORIA CANTIDADES'!B:B,Table28[[#This Row],[DESCRIPCIÓN ]],'MEMORIA CANTIDADES'!C:C,Table28[[#This Row],[UNIDAD]]),0)</f>
        <v>0</v>
      </c>
      <c r="E959" s="225">
        <f>+VLOOKUP(Table28[[#This Row],[DESCRIPCIÓN ]],INSUMOS!A:D,3,FALSE)</f>
        <v>18437.07</v>
      </c>
      <c r="F959" s="225">
        <f>+Table28[[#This Row],[CANTIDAD]]*Table28[[#This Row],[VALOR UNITARIO]]</f>
        <v>0</v>
      </c>
    </row>
    <row r="960" spans="1:6" s="193" customFormat="1" ht="28.8" hidden="1" x14ac:dyDescent="0.3">
      <c r="A960" s="193">
        <v>1052</v>
      </c>
      <c r="B960" s="193" t="s">
        <v>968</v>
      </c>
      <c r="C960" s="193" t="s">
        <v>55</v>
      </c>
      <c r="D960" s="226">
        <f>+ROUNDUP(SUMIFS('MEMORIA CANTIDADES'!E:E,'MEMORIA CANTIDADES'!B:B,Table28[[#This Row],[DESCRIPCIÓN ]],'MEMORIA CANTIDADES'!C:C,Table28[[#This Row],[UNIDAD]]),0)</f>
        <v>0</v>
      </c>
      <c r="E960" s="225">
        <f>+VLOOKUP(Table28[[#This Row],[DESCRIPCIÓN ]],INSUMOS!A:D,3,FALSE)</f>
        <v>1198.9000000000001</v>
      </c>
      <c r="F960" s="225">
        <f>+Table28[[#This Row],[CANTIDAD]]*Table28[[#This Row],[VALOR UNITARIO]]</f>
        <v>0</v>
      </c>
    </row>
    <row r="961" spans="1:6" s="193" customFormat="1" ht="28.8" hidden="1" x14ac:dyDescent="0.3">
      <c r="A961" s="193">
        <v>1053</v>
      </c>
      <c r="B961" s="193" t="s">
        <v>969</v>
      </c>
      <c r="C961" s="193" t="s">
        <v>55</v>
      </c>
      <c r="D961" s="226">
        <f>+ROUNDUP(SUMIFS('MEMORIA CANTIDADES'!E:E,'MEMORIA CANTIDADES'!B:B,Table28[[#This Row],[DESCRIPCIÓN ]],'MEMORIA CANTIDADES'!C:C,Table28[[#This Row],[UNIDAD]]),0)</f>
        <v>0</v>
      </c>
      <c r="E961" s="225">
        <f>+VLOOKUP(Table28[[#This Row],[DESCRIPCIÓN ]],INSUMOS!A:D,3,FALSE)</f>
        <v>1647.16</v>
      </c>
      <c r="F961" s="225">
        <f>+Table28[[#This Row],[CANTIDAD]]*Table28[[#This Row],[VALOR UNITARIO]]</f>
        <v>0</v>
      </c>
    </row>
    <row r="962" spans="1:6" s="193" customFormat="1" ht="28.8" hidden="1" x14ac:dyDescent="0.3">
      <c r="A962" s="193">
        <v>1054</v>
      </c>
      <c r="B962" s="193" t="s">
        <v>970</v>
      </c>
      <c r="C962" s="193" t="s">
        <v>55</v>
      </c>
      <c r="D962" s="226">
        <f>+ROUNDUP(SUMIFS('MEMORIA CANTIDADES'!E:E,'MEMORIA CANTIDADES'!B:B,Table28[[#This Row],[DESCRIPCIÓN ]],'MEMORIA CANTIDADES'!C:C,Table28[[#This Row],[UNIDAD]]),0)</f>
        <v>0</v>
      </c>
      <c r="E962" s="225">
        <f>+VLOOKUP(Table28[[#This Row],[DESCRIPCIÓN ]],INSUMOS!A:D,3,FALSE)</f>
        <v>2260.9299999999998</v>
      </c>
      <c r="F962" s="225">
        <f>+Table28[[#This Row],[CANTIDAD]]*Table28[[#This Row],[VALOR UNITARIO]]</f>
        <v>0</v>
      </c>
    </row>
    <row r="963" spans="1:6" s="193" customFormat="1" ht="28.8" hidden="1" x14ac:dyDescent="0.3">
      <c r="A963" s="193">
        <v>1055</v>
      </c>
      <c r="B963" s="193" t="s">
        <v>971</v>
      </c>
      <c r="C963" s="193" t="s">
        <v>55</v>
      </c>
      <c r="D963" s="226">
        <f>+ROUNDUP(SUMIFS('MEMORIA CANTIDADES'!E:E,'MEMORIA CANTIDADES'!B:B,Table28[[#This Row],[DESCRIPCIÓN ]],'MEMORIA CANTIDADES'!C:C,Table28[[#This Row],[UNIDAD]]),0)</f>
        <v>0</v>
      </c>
      <c r="E963" s="225">
        <f>+VLOOKUP(Table28[[#This Row],[DESCRIPCIÓN ]],INSUMOS!A:D,3,FALSE)</f>
        <v>3929.57</v>
      </c>
      <c r="F963" s="225">
        <f>+Table28[[#This Row],[CANTIDAD]]*Table28[[#This Row],[VALOR UNITARIO]]</f>
        <v>0</v>
      </c>
    </row>
    <row r="964" spans="1:6" s="193" customFormat="1" ht="28.8" hidden="1" x14ac:dyDescent="0.3">
      <c r="A964" s="193">
        <v>1056</v>
      </c>
      <c r="B964" s="193" t="s">
        <v>972</v>
      </c>
      <c r="C964" s="193" t="s">
        <v>55</v>
      </c>
      <c r="D964" s="226">
        <f>+ROUNDUP(SUMIFS('MEMORIA CANTIDADES'!E:E,'MEMORIA CANTIDADES'!B:B,Table28[[#This Row],[DESCRIPCIÓN ]],'MEMORIA CANTIDADES'!C:C,Table28[[#This Row],[UNIDAD]]),0)</f>
        <v>0</v>
      </c>
      <c r="E964" s="225">
        <f>+VLOOKUP(Table28[[#This Row],[DESCRIPCIÓN ]],INSUMOS!A:D,3,FALSE)</f>
        <v>7507.02</v>
      </c>
      <c r="F964" s="225">
        <f>+Table28[[#This Row],[CANTIDAD]]*Table28[[#This Row],[VALOR UNITARIO]]</f>
        <v>0</v>
      </c>
    </row>
    <row r="965" spans="1:6" s="193" customFormat="1" ht="28.8" hidden="1" x14ac:dyDescent="0.3">
      <c r="A965" s="193">
        <v>1057</v>
      </c>
      <c r="B965" s="193" t="s">
        <v>973</v>
      </c>
      <c r="C965" s="193" t="s">
        <v>55</v>
      </c>
      <c r="D965" s="226">
        <f>+ROUNDUP(SUMIFS('MEMORIA CANTIDADES'!E:E,'MEMORIA CANTIDADES'!B:B,Table28[[#This Row],[DESCRIPCIÓN ]],'MEMORIA CANTIDADES'!C:C,Table28[[#This Row],[UNIDAD]]),0)</f>
        <v>0</v>
      </c>
      <c r="E965" s="225">
        <f>+VLOOKUP(Table28[[#This Row],[DESCRIPCIÓN ]],INSUMOS!A:D,3,FALSE)</f>
        <v>6214.62</v>
      </c>
      <c r="F965" s="225">
        <f>+Table28[[#This Row],[CANTIDAD]]*Table28[[#This Row],[VALOR UNITARIO]]</f>
        <v>0</v>
      </c>
    </row>
    <row r="966" spans="1:6" s="193" customFormat="1" ht="28.8" hidden="1" x14ac:dyDescent="0.3">
      <c r="A966" s="193">
        <v>1058</v>
      </c>
      <c r="B966" s="193" t="s">
        <v>974</v>
      </c>
      <c r="C966" s="193" t="s">
        <v>55</v>
      </c>
      <c r="D966" s="226">
        <f>+ROUNDUP(SUMIFS('MEMORIA CANTIDADES'!E:E,'MEMORIA CANTIDADES'!B:B,Table28[[#This Row],[DESCRIPCIÓN ]],'MEMORIA CANTIDADES'!C:C,Table28[[#This Row],[UNIDAD]]),0)</f>
        <v>0</v>
      </c>
      <c r="E966" s="225">
        <f>+VLOOKUP(Table28[[#This Row],[DESCRIPCIÓN ]],INSUMOS!A:D,3,FALSE)</f>
        <v>3001.29</v>
      </c>
      <c r="F966" s="225">
        <f>+Table28[[#This Row],[CANTIDAD]]*Table28[[#This Row],[VALOR UNITARIO]]</f>
        <v>0</v>
      </c>
    </row>
    <row r="967" spans="1:6" s="193" customFormat="1" ht="28.8" hidden="1" x14ac:dyDescent="0.3">
      <c r="A967" s="193">
        <v>1059</v>
      </c>
      <c r="B967" s="193" t="s">
        <v>975</v>
      </c>
      <c r="C967" s="193" t="s">
        <v>55</v>
      </c>
      <c r="D967" s="226">
        <f>+ROUNDUP(SUMIFS('MEMORIA CANTIDADES'!E:E,'MEMORIA CANTIDADES'!B:B,Table28[[#This Row],[DESCRIPCIÓN ]],'MEMORIA CANTIDADES'!C:C,Table28[[#This Row],[UNIDAD]]),0)</f>
        <v>0</v>
      </c>
      <c r="E967" s="225">
        <f>+VLOOKUP(Table28[[#This Row],[DESCRIPCIÓN ]],INSUMOS!A:D,3,FALSE)</f>
        <v>667.22</v>
      </c>
      <c r="F967" s="225">
        <f>+Table28[[#This Row],[CANTIDAD]]*Table28[[#This Row],[VALOR UNITARIO]]</f>
        <v>0</v>
      </c>
    </row>
    <row r="968" spans="1:6" s="193" customFormat="1" ht="28.8" hidden="1" x14ac:dyDescent="0.3">
      <c r="A968" s="193">
        <v>1060</v>
      </c>
      <c r="B968" s="193" t="s">
        <v>976</v>
      </c>
      <c r="C968" s="193" t="s">
        <v>55</v>
      </c>
      <c r="D968" s="226">
        <f>+ROUNDUP(SUMIFS('MEMORIA CANTIDADES'!E:E,'MEMORIA CANTIDADES'!B:B,Table28[[#This Row],[DESCRIPCIÓN ]],'MEMORIA CANTIDADES'!C:C,Table28[[#This Row],[UNIDAD]]),0)</f>
        <v>0</v>
      </c>
      <c r="E968" s="225">
        <f>+VLOOKUP(Table28[[#This Row],[DESCRIPCIÓN ]],INSUMOS!A:D,3,FALSE)</f>
        <v>27579.71</v>
      </c>
      <c r="F968" s="225">
        <f>+Table28[[#This Row],[CANTIDAD]]*Table28[[#This Row],[VALOR UNITARIO]]</f>
        <v>0</v>
      </c>
    </row>
    <row r="969" spans="1:6" s="193" customFormat="1" ht="28.8" hidden="1" x14ac:dyDescent="0.3">
      <c r="A969" s="193">
        <v>1061</v>
      </c>
      <c r="B969" s="193" t="s">
        <v>977</v>
      </c>
      <c r="C969" s="193" t="s">
        <v>55</v>
      </c>
      <c r="D969" s="226">
        <f>+ROUNDUP(SUMIFS('MEMORIA CANTIDADES'!E:E,'MEMORIA CANTIDADES'!B:B,Table28[[#This Row],[DESCRIPCIÓN ]],'MEMORIA CANTIDADES'!C:C,Table28[[#This Row],[UNIDAD]]),0)</f>
        <v>0</v>
      </c>
      <c r="E969" s="225">
        <f>+VLOOKUP(Table28[[#This Row],[DESCRIPCIÓN ]],INSUMOS!A:D,3,FALSE)</f>
        <v>11129.52</v>
      </c>
      <c r="F969" s="225">
        <f>+Table28[[#This Row],[CANTIDAD]]*Table28[[#This Row],[VALOR UNITARIO]]</f>
        <v>0</v>
      </c>
    </row>
    <row r="970" spans="1:6" s="193" customFormat="1" ht="28.8" hidden="1" x14ac:dyDescent="0.3">
      <c r="A970" s="193">
        <v>1062</v>
      </c>
      <c r="B970" s="193" t="s">
        <v>978</v>
      </c>
      <c r="C970" s="193" t="s">
        <v>55</v>
      </c>
      <c r="D970" s="226">
        <f>+ROUNDUP(SUMIFS('MEMORIA CANTIDADES'!E:E,'MEMORIA CANTIDADES'!B:B,Table28[[#This Row],[DESCRIPCIÓN ]],'MEMORIA CANTIDADES'!C:C,Table28[[#This Row],[UNIDAD]]),0)</f>
        <v>0</v>
      </c>
      <c r="E970" s="225">
        <f>+VLOOKUP(Table28[[#This Row],[DESCRIPCIÓN ]],INSUMOS!A:D,3,FALSE)</f>
        <v>43433.98</v>
      </c>
      <c r="F970" s="225">
        <f>+Table28[[#This Row],[CANTIDAD]]*Table28[[#This Row],[VALOR UNITARIO]]</f>
        <v>0</v>
      </c>
    </row>
    <row r="971" spans="1:6" s="193" customFormat="1" ht="28.8" hidden="1" x14ac:dyDescent="0.3">
      <c r="A971" s="193">
        <v>1063</v>
      </c>
      <c r="B971" s="193" t="s">
        <v>979</v>
      </c>
      <c r="C971" s="193" t="s">
        <v>55</v>
      </c>
      <c r="D971" s="226">
        <f>+ROUNDUP(SUMIFS('MEMORIA CANTIDADES'!E:E,'MEMORIA CANTIDADES'!B:B,Table28[[#This Row],[DESCRIPCIÓN ]],'MEMORIA CANTIDADES'!C:C,Table28[[#This Row],[UNIDAD]]),0)</f>
        <v>0</v>
      </c>
      <c r="E971" s="225">
        <f>+VLOOKUP(Table28[[#This Row],[DESCRIPCIÓN ]],INSUMOS!A:D,3,FALSE)</f>
        <v>1986.94</v>
      </c>
      <c r="F971" s="225">
        <f>+Table28[[#This Row],[CANTIDAD]]*Table28[[#This Row],[VALOR UNITARIO]]</f>
        <v>0</v>
      </c>
    </row>
    <row r="972" spans="1:6" s="193" customFormat="1" ht="28.8" hidden="1" x14ac:dyDescent="0.3">
      <c r="A972" s="193">
        <v>1064</v>
      </c>
      <c r="B972" s="193" t="s">
        <v>980</v>
      </c>
      <c r="C972" s="193" t="s">
        <v>55</v>
      </c>
      <c r="D972" s="226">
        <f>+ROUNDUP(SUMIFS('MEMORIA CANTIDADES'!E:E,'MEMORIA CANTIDADES'!B:B,Table28[[#This Row],[DESCRIPCIÓN ]],'MEMORIA CANTIDADES'!C:C,Table28[[#This Row],[UNIDAD]]),0)</f>
        <v>0</v>
      </c>
      <c r="E972" s="225">
        <f>+VLOOKUP(Table28[[#This Row],[DESCRIPCIÓN ]],INSUMOS!A:D,3,FALSE)</f>
        <v>77459.61</v>
      </c>
      <c r="F972" s="225">
        <f>+Table28[[#This Row],[CANTIDAD]]*Table28[[#This Row],[VALOR UNITARIO]]</f>
        <v>0</v>
      </c>
    </row>
    <row r="973" spans="1:6" s="193" customFormat="1" ht="28.8" hidden="1" x14ac:dyDescent="0.3">
      <c r="A973" s="193">
        <v>1065</v>
      </c>
      <c r="B973" s="193" t="s">
        <v>981</v>
      </c>
      <c r="C973" s="193" t="s">
        <v>55</v>
      </c>
      <c r="D973" s="226">
        <f>+ROUNDUP(SUMIFS('MEMORIA CANTIDADES'!E:E,'MEMORIA CANTIDADES'!B:B,Table28[[#This Row],[DESCRIPCIÓN ]],'MEMORIA CANTIDADES'!C:C,Table28[[#This Row],[UNIDAD]]),0)</f>
        <v>0</v>
      </c>
      <c r="E973" s="225">
        <f>+VLOOKUP(Table28[[#This Row],[DESCRIPCIÓN ]],INSUMOS!A:D,3,FALSE)</f>
        <v>9195.93</v>
      </c>
      <c r="F973" s="225">
        <f>+Table28[[#This Row],[CANTIDAD]]*Table28[[#This Row],[VALOR UNITARIO]]</f>
        <v>0</v>
      </c>
    </row>
    <row r="974" spans="1:6" s="193" customFormat="1" ht="28.8" hidden="1" x14ac:dyDescent="0.3">
      <c r="A974" s="193">
        <v>1066</v>
      </c>
      <c r="B974" s="193" t="s">
        <v>982</v>
      </c>
      <c r="C974" s="193" t="s">
        <v>55</v>
      </c>
      <c r="D974" s="226">
        <f>+ROUNDUP(SUMIFS('MEMORIA CANTIDADES'!E:E,'MEMORIA CANTIDADES'!B:B,Table28[[#This Row],[DESCRIPCIÓN ]],'MEMORIA CANTIDADES'!C:C,Table28[[#This Row],[UNIDAD]]),0)</f>
        <v>0</v>
      </c>
      <c r="E974" s="225">
        <f>+VLOOKUP(Table28[[#This Row],[DESCRIPCIÓN ]],INSUMOS!A:D,3,FALSE)</f>
        <v>2208.38</v>
      </c>
      <c r="F974" s="225">
        <f>+Table28[[#This Row],[CANTIDAD]]*Table28[[#This Row],[VALOR UNITARIO]]</f>
        <v>0</v>
      </c>
    </row>
    <row r="975" spans="1:6" s="193" customFormat="1" ht="28.8" hidden="1" x14ac:dyDescent="0.3">
      <c r="A975" s="193">
        <v>1067</v>
      </c>
      <c r="B975" s="193" t="s">
        <v>983</v>
      </c>
      <c r="C975" s="193" t="s">
        <v>55</v>
      </c>
      <c r="D975" s="226">
        <f>+ROUNDUP(SUMIFS('MEMORIA CANTIDADES'!E:E,'MEMORIA CANTIDADES'!B:B,Table28[[#This Row],[DESCRIPCIÓN ]],'MEMORIA CANTIDADES'!C:C,Table28[[#This Row],[UNIDAD]]),0)</f>
        <v>0</v>
      </c>
      <c r="E975" s="225">
        <f>+VLOOKUP(Table28[[#This Row],[DESCRIPCIÓN ]],INSUMOS!A:D,3,FALSE)</f>
        <v>2272.4499999999998</v>
      </c>
      <c r="F975" s="225">
        <f>+Table28[[#This Row],[CANTIDAD]]*Table28[[#This Row],[VALOR UNITARIO]]</f>
        <v>0</v>
      </c>
    </row>
    <row r="976" spans="1:6" s="193" customFormat="1" ht="28.8" hidden="1" x14ac:dyDescent="0.3">
      <c r="A976" s="193">
        <v>1068</v>
      </c>
      <c r="B976" s="193" t="s">
        <v>984</v>
      </c>
      <c r="C976" s="193" t="s">
        <v>55</v>
      </c>
      <c r="D976" s="226">
        <f>+ROUNDUP(SUMIFS('MEMORIA CANTIDADES'!E:E,'MEMORIA CANTIDADES'!B:B,Table28[[#This Row],[DESCRIPCIÓN ]],'MEMORIA CANTIDADES'!C:C,Table28[[#This Row],[UNIDAD]]),0)</f>
        <v>0</v>
      </c>
      <c r="E976" s="225">
        <f>+VLOOKUP(Table28[[#This Row],[DESCRIPCIÓN ]],INSUMOS!A:D,3,FALSE)</f>
        <v>6088.81</v>
      </c>
      <c r="F976" s="225">
        <f>+Table28[[#This Row],[CANTIDAD]]*Table28[[#This Row],[VALOR UNITARIO]]</f>
        <v>0</v>
      </c>
    </row>
    <row r="977" spans="1:6" s="193" customFormat="1" ht="28.8" hidden="1" x14ac:dyDescent="0.3">
      <c r="A977" s="193">
        <v>1069</v>
      </c>
      <c r="B977" s="193" t="s">
        <v>985</v>
      </c>
      <c r="C977" s="193" t="s">
        <v>55</v>
      </c>
      <c r="D977" s="226">
        <f>+ROUNDUP(SUMIFS('MEMORIA CANTIDADES'!E:E,'MEMORIA CANTIDADES'!B:B,Table28[[#This Row],[DESCRIPCIÓN ]],'MEMORIA CANTIDADES'!C:C,Table28[[#This Row],[UNIDAD]]),0)</f>
        <v>0</v>
      </c>
      <c r="E977" s="225">
        <f>+VLOOKUP(Table28[[#This Row],[DESCRIPCIÓN ]],INSUMOS!A:D,3,FALSE)</f>
        <v>4767.28</v>
      </c>
      <c r="F977" s="225">
        <f>+Table28[[#This Row],[CANTIDAD]]*Table28[[#This Row],[VALOR UNITARIO]]</f>
        <v>0</v>
      </c>
    </row>
    <row r="978" spans="1:6" s="193" customFormat="1" hidden="1" x14ac:dyDescent="0.3">
      <c r="A978" s="193">
        <v>1070</v>
      </c>
      <c r="B978" s="193" t="s">
        <v>986</v>
      </c>
      <c r="C978" s="193" t="s">
        <v>55</v>
      </c>
      <c r="D978" s="226">
        <f>+ROUNDUP(SUMIFS('MEMORIA CANTIDADES'!E:E,'MEMORIA CANTIDADES'!B:B,Table28[[#This Row],[DESCRIPCIÓN ]],'MEMORIA CANTIDADES'!C:C,Table28[[#This Row],[UNIDAD]]),0)</f>
        <v>0</v>
      </c>
      <c r="E978" s="225">
        <f>+VLOOKUP(Table28[[#This Row],[DESCRIPCIÓN ]],INSUMOS!A:D,3,FALSE)</f>
        <v>2035.48</v>
      </c>
      <c r="F978" s="225">
        <f>+Table28[[#This Row],[CANTIDAD]]*Table28[[#This Row],[VALOR UNITARIO]]</f>
        <v>0</v>
      </c>
    </row>
    <row r="979" spans="1:6" s="193" customFormat="1" ht="28.8" hidden="1" x14ac:dyDescent="0.3">
      <c r="A979" s="193">
        <v>1071</v>
      </c>
      <c r="B979" s="193" t="s">
        <v>987</v>
      </c>
      <c r="C979" s="193" t="s">
        <v>55</v>
      </c>
      <c r="D979" s="226">
        <f>+ROUNDUP(SUMIFS('MEMORIA CANTIDADES'!E:E,'MEMORIA CANTIDADES'!B:B,Table28[[#This Row],[DESCRIPCIÓN ]],'MEMORIA CANTIDADES'!C:C,Table28[[#This Row],[UNIDAD]]),0)</f>
        <v>0</v>
      </c>
      <c r="E979" s="225">
        <f>+VLOOKUP(Table28[[#This Row],[DESCRIPCIÓN ]],INSUMOS!A:D,3,FALSE)</f>
        <v>499.07</v>
      </c>
      <c r="F979" s="225">
        <f>+Table28[[#This Row],[CANTIDAD]]*Table28[[#This Row],[VALOR UNITARIO]]</f>
        <v>0</v>
      </c>
    </row>
    <row r="980" spans="1:6" s="193" customFormat="1" ht="28.8" hidden="1" x14ac:dyDescent="0.3">
      <c r="A980" s="193">
        <v>1072</v>
      </c>
      <c r="B980" s="193" t="s">
        <v>988</v>
      </c>
      <c r="C980" s="193" t="s">
        <v>55</v>
      </c>
      <c r="D980" s="226">
        <f>+ROUNDUP(SUMIFS('MEMORIA CANTIDADES'!E:E,'MEMORIA CANTIDADES'!B:B,Table28[[#This Row],[DESCRIPCIÓN ]],'MEMORIA CANTIDADES'!C:C,Table28[[#This Row],[UNIDAD]]),0)</f>
        <v>0</v>
      </c>
      <c r="E980" s="225">
        <f>+VLOOKUP(Table28[[#This Row],[DESCRIPCIÓN ]],INSUMOS!A:D,3,FALSE)</f>
        <v>19729.349999999999</v>
      </c>
      <c r="F980" s="225">
        <f>+Table28[[#This Row],[CANTIDAD]]*Table28[[#This Row],[VALOR UNITARIO]]</f>
        <v>0</v>
      </c>
    </row>
    <row r="981" spans="1:6" s="193" customFormat="1" hidden="1" x14ac:dyDescent="0.3">
      <c r="A981" s="193">
        <v>1073</v>
      </c>
      <c r="B981" s="193" t="s">
        <v>989</v>
      </c>
      <c r="C981" s="193" t="s">
        <v>55</v>
      </c>
      <c r="D981" s="226">
        <f>+ROUNDUP(SUMIFS('MEMORIA CANTIDADES'!E:E,'MEMORIA CANTIDADES'!B:B,Table28[[#This Row],[DESCRIPCIÓN ]],'MEMORIA CANTIDADES'!C:C,Table28[[#This Row],[UNIDAD]]),0)</f>
        <v>0</v>
      </c>
      <c r="E981" s="225">
        <f>+VLOOKUP(Table28[[#This Row],[DESCRIPCIÓN ]],INSUMOS!A:D,3,FALSE)</f>
        <v>9636.1299999999992</v>
      </c>
      <c r="F981" s="225">
        <f>+Table28[[#This Row],[CANTIDAD]]*Table28[[#This Row],[VALOR UNITARIO]]</f>
        <v>0</v>
      </c>
    </row>
    <row r="982" spans="1:6" s="193" customFormat="1" hidden="1" x14ac:dyDescent="0.3">
      <c r="A982" s="193">
        <v>1074</v>
      </c>
      <c r="B982" s="193" t="s">
        <v>990</v>
      </c>
      <c r="C982" s="193" t="s">
        <v>55</v>
      </c>
      <c r="D982" s="226">
        <f>+ROUNDUP(SUMIFS('MEMORIA CANTIDADES'!E:E,'MEMORIA CANTIDADES'!B:B,Table28[[#This Row],[DESCRIPCIÓN ]],'MEMORIA CANTIDADES'!C:C,Table28[[#This Row],[UNIDAD]]),0)</f>
        <v>0</v>
      </c>
      <c r="E982" s="225">
        <f>+VLOOKUP(Table28[[#This Row],[DESCRIPCIÓN ]],INSUMOS!A:D,3,FALSE)</f>
        <v>34870.01</v>
      </c>
      <c r="F982" s="225">
        <f>+Table28[[#This Row],[CANTIDAD]]*Table28[[#This Row],[VALOR UNITARIO]]</f>
        <v>0</v>
      </c>
    </row>
    <row r="983" spans="1:6" s="193" customFormat="1" ht="28.8" hidden="1" x14ac:dyDescent="0.3">
      <c r="A983" s="193">
        <v>1075</v>
      </c>
      <c r="B983" s="193" t="s">
        <v>991</v>
      </c>
      <c r="C983" s="193" t="s">
        <v>55</v>
      </c>
      <c r="D983" s="226">
        <f>+ROUNDUP(SUMIFS('MEMORIA CANTIDADES'!E:E,'MEMORIA CANTIDADES'!B:B,Table28[[#This Row],[DESCRIPCIÓN ]],'MEMORIA CANTIDADES'!C:C,Table28[[#This Row],[UNIDAD]]),0)</f>
        <v>0</v>
      </c>
      <c r="E983" s="225">
        <f>+VLOOKUP(Table28[[#This Row],[DESCRIPCIÓN ]],INSUMOS!A:D,3,FALSE)</f>
        <v>1093.6099999999999</v>
      </c>
      <c r="F983" s="225">
        <f>+Table28[[#This Row],[CANTIDAD]]*Table28[[#This Row],[VALOR UNITARIO]]</f>
        <v>0</v>
      </c>
    </row>
    <row r="984" spans="1:6" s="193" customFormat="1" hidden="1" x14ac:dyDescent="0.3">
      <c r="A984" s="193">
        <v>1076</v>
      </c>
      <c r="B984" s="193" t="s">
        <v>992</v>
      </c>
      <c r="C984" s="193" t="s">
        <v>55</v>
      </c>
      <c r="D984" s="226">
        <f>+ROUNDUP(SUMIFS('MEMORIA CANTIDADES'!E:E,'MEMORIA CANTIDADES'!B:B,Table28[[#This Row],[DESCRIPCIÓN ]],'MEMORIA CANTIDADES'!C:C,Table28[[#This Row],[UNIDAD]]),0)</f>
        <v>0</v>
      </c>
      <c r="E984" s="225">
        <f>+VLOOKUP(Table28[[#This Row],[DESCRIPCIÓN ]],INSUMOS!A:D,3,FALSE)</f>
        <v>62431.43</v>
      </c>
      <c r="F984" s="225">
        <f>+Table28[[#This Row],[CANTIDAD]]*Table28[[#This Row],[VALOR UNITARIO]]</f>
        <v>0</v>
      </c>
    </row>
    <row r="985" spans="1:6" s="193" customFormat="1" hidden="1" x14ac:dyDescent="0.3">
      <c r="A985" s="193">
        <v>1077</v>
      </c>
      <c r="B985" s="193" t="s">
        <v>993</v>
      </c>
      <c r="C985" s="193" t="s">
        <v>55</v>
      </c>
      <c r="D985" s="226">
        <f>+ROUNDUP(SUMIFS('MEMORIA CANTIDADES'!E:E,'MEMORIA CANTIDADES'!B:B,Table28[[#This Row],[DESCRIPCIÓN ]],'MEMORIA CANTIDADES'!C:C,Table28[[#This Row],[UNIDAD]]),0)</f>
        <v>0</v>
      </c>
      <c r="E985" s="225">
        <f>+VLOOKUP(Table28[[#This Row],[DESCRIPCIÓN ]],INSUMOS!A:D,3,FALSE)</f>
        <v>26049.81</v>
      </c>
      <c r="F985" s="225">
        <f>+Table28[[#This Row],[CANTIDAD]]*Table28[[#This Row],[VALOR UNITARIO]]</f>
        <v>0</v>
      </c>
    </row>
    <row r="986" spans="1:6" s="193" customFormat="1" hidden="1" x14ac:dyDescent="0.3">
      <c r="A986" s="193">
        <v>1078</v>
      </c>
      <c r="B986" s="193" t="s">
        <v>994</v>
      </c>
      <c r="C986" s="193" t="s">
        <v>55</v>
      </c>
      <c r="D986" s="226">
        <f>+ROUNDUP(SUMIFS('MEMORIA CANTIDADES'!E:E,'MEMORIA CANTIDADES'!B:B,Table28[[#This Row],[DESCRIPCIÓN ]],'MEMORIA CANTIDADES'!C:C,Table28[[#This Row],[UNIDAD]]),0)</f>
        <v>0</v>
      </c>
      <c r="E986" s="225">
        <f>+VLOOKUP(Table28[[#This Row],[DESCRIPCIÓN ]],INSUMOS!A:D,3,FALSE)</f>
        <v>3192.02</v>
      </c>
      <c r="F986" s="225">
        <f>+Table28[[#This Row],[CANTIDAD]]*Table28[[#This Row],[VALOR UNITARIO]]</f>
        <v>0</v>
      </c>
    </row>
    <row r="987" spans="1:6" s="193" customFormat="1" hidden="1" x14ac:dyDescent="0.3">
      <c r="A987" s="193">
        <v>1079</v>
      </c>
      <c r="B987" s="193" t="s">
        <v>995</v>
      </c>
      <c r="C987" s="193" t="s">
        <v>55</v>
      </c>
      <c r="D987" s="226">
        <f>+ROUNDUP(SUMIFS('MEMORIA CANTIDADES'!E:E,'MEMORIA CANTIDADES'!B:B,Table28[[#This Row],[DESCRIPCIÓN ]],'MEMORIA CANTIDADES'!C:C,Table28[[#This Row],[UNIDAD]]),0)</f>
        <v>0</v>
      </c>
      <c r="E987" s="225">
        <f>+VLOOKUP(Table28[[#This Row],[DESCRIPCIÓN ]],INSUMOS!A:D,3,FALSE)</f>
        <v>4837.04</v>
      </c>
      <c r="F987" s="225">
        <f>+Table28[[#This Row],[CANTIDAD]]*Table28[[#This Row],[VALOR UNITARIO]]</f>
        <v>0</v>
      </c>
    </row>
    <row r="988" spans="1:6" s="193" customFormat="1" hidden="1" x14ac:dyDescent="0.3">
      <c r="A988" s="193">
        <v>1080</v>
      </c>
      <c r="B988" s="193" t="s">
        <v>996</v>
      </c>
      <c r="C988" s="193" t="s">
        <v>55</v>
      </c>
      <c r="D988" s="226">
        <f>+ROUNDUP(SUMIFS('MEMORIA CANTIDADES'!E:E,'MEMORIA CANTIDADES'!B:B,Table28[[#This Row],[DESCRIPCIÓN ]],'MEMORIA CANTIDADES'!C:C,Table28[[#This Row],[UNIDAD]]),0)</f>
        <v>0</v>
      </c>
      <c r="E988" s="225">
        <f>+VLOOKUP(Table28[[#This Row],[DESCRIPCIÓN ]],INSUMOS!A:D,3,FALSE)</f>
        <v>39601.760000000002</v>
      </c>
      <c r="F988" s="225">
        <f>+Table28[[#This Row],[CANTIDAD]]*Table28[[#This Row],[VALOR UNITARIO]]</f>
        <v>0</v>
      </c>
    </row>
    <row r="989" spans="1:6" s="193" customFormat="1" hidden="1" x14ac:dyDescent="0.3">
      <c r="A989" s="193">
        <v>1081</v>
      </c>
      <c r="B989" s="193" t="s">
        <v>997</v>
      </c>
      <c r="C989" s="193" t="s">
        <v>55</v>
      </c>
      <c r="D989" s="226">
        <f>+ROUNDUP(SUMIFS('MEMORIA CANTIDADES'!E:E,'MEMORIA CANTIDADES'!B:B,Table28[[#This Row],[DESCRIPCIÓN ]],'MEMORIA CANTIDADES'!C:C,Table28[[#This Row],[UNIDAD]]),0)</f>
        <v>0</v>
      </c>
      <c r="E989" s="225">
        <f>+VLOOKUP(Table28[[#This Row],[DESCRIPCIÓN ]],INSUMOS!A:D,3,FALSE)</f>
        <v>60648.15</v>
      </c>
      <c r="F989" s="225">
        <f>+Table28[[#This Row],[CANTIDAD]]*Table28[[#This Row],[VALOR UNITARIO]]</f>
        <v>0</v>
      </c>
    </row>
    <row r="990" spans="1:6" s="193" customFormat="1" hidden="1" x14ac:dyDescent="0.3">
      <c r="A990" s="193">
        <v>1082</v>
      </c>
      <c r="B990" s="193" t="s">
        <v>998</v>
      </c>
      <c r="C990" s="193" t="s">
        <v>55</v>
      </c>
      <c r="D990" s="226">
        <f>+ROUNDUP(SUMIFS('MEMORIA CANTIDADES'!E:E,'MEMORIA CANTIDADES'!B:B,Table28[[#This Row],[DESCRIPCIÓN ]],'MEMORIA CANTIDADES'!C:C,Table28[[#This Row],[UNIDAD]]),0)</f>
        <v>0</v>
      </c>
      <c r="E990" s="225">
        <f>+VLOOKUP(Table28[[#This Row],[DESCRIPCIÓN ]],INSUMOS!A:D,3,FALSE)</f>
        <v>13857.96</v>
      </c>
      <c r="F990" s="225">
        <f>+Table28[[#This Row],[CANTIDAD]]*Table28[[#This Row],[VALOR UNITARIO]]</f>
        <v>0</v>
      </c>
    </row>
    <row r="991" spans="1:6" s="193" customFormat="1" hidden="1" x14ac:dyDescent="0.3">
      <c r="A991" s="193">
        <v>1083</v>
      </c>
      <c r="B991" s="193" t="s">
        <v>999</v>
      </c>
      <c r="C991" s="193" t="s">
        <v>55</v>
      </c>
      <c r="D991" s="226">
        <f>+ROUNDUP(SUMIFS('MEMORIA CANTIDADES'!E:E,'MEMORIA CANTIDADES'!B:B,Table28[[#This Row],[DESCRIPCIÓN ]],'MEMORIA CANTIDADES'!C:C,Table28[[#This Row],[UNIDAD]]),0)</f>
        <v>0</v>
      </c>
      <c r="E991" s="225">
        <f>+VLOOKUP(Table28[[#This Row],[DESCRIPCIÓN ]],INSUMOS!A:D,3,FALSE)</f>
        <v>4084.14</v>
      </c>
      <c r="F991" s="225">
        <f>+Table28[[#This Row],[CANTIDAD]]*Table28[[#This Row],[VALOR UNITARIO]]</f>
        <v>0</v>
      </c>
    </row>
    <row r="992" spans="1:6" s="193" customFormat="1" hidden="1" x14ac:dyDescent="0.3">
      <c r="A992" s="193">
        <v>1084</v>
      </c>
      <c r="B992" s="193" t="s">
        <v>1000</v>
      </c>
      <c r="C992" s="193" t="s">
        <v>55</v>
      </c>
      <c r="D992" s="226">
        <f>+ROUNDUP(SUMIFS('MEMORIA CANTIDADES'!E:E,'MEMORIA CANTIDADES'!B:B,Table28[[#This Row],[DESCRIPCIÓN ]],'MEMORIA CANTIDADES'!C:C,Table28[[#This Row],[UNIDAD]]),0)</f>
        <v>0</v>
      </c>
      <c r="E992" s="225">
        <f>+VLOOKUP(Table28[[#This Row],[DESCRIPCIÓN ]],INSUMOS!A:D,3,FALSE)</f>
        <v>6568.54</v>
      </c>
      <c r="F992" s="225">
        <f>+Table28[[#This Row],[CANTIDAD]]*Table28[[#This Row],[VALOR UNITARIO]]</f>
        <v>0</v>
      </c>
    </row>
    <row r="993" spans="1:6" s="193" customFormat="1" hidden="1" x14ac:dyDescent="0.3">
      <c r="A993" s="193">
        <v>1085</v>
      </c>
      <c r="B993" s="193" t="s">
        <v>1001</v>
      </c>
      <c r="C993" s="193" t="s">
        <v>55</v>
      </c>
      <c r="D993" s="226">
        <f>+ROUNDUP(SUMIFS('MEMORIA CANTIDADES'!E:E,'MEMORIA CANTIDADES'!B:B,Table28[[#This Row],[DESCRIPCIÓN ]],'MEMORIA CANTIDADES'!C:C,Table28[[#This Row],[UNIDAD]]),0)</f>
        <v>0</v>
      </c>
      <c r="E993" s="225">
        <f>+VLOOKUP(Table28[[#This Row],[DESCRIPCIÓN ]],INSUMOS!A:D,3,FALSE)</f>
        <v>6102.23</v>
      </c>
      <c r="F993" s="225">
        <f>+Table28[[#This Row],[CANTIDAD]]*Table28[[#This Row],[VALOR UNITARIO]]</f>
        <v>0</v>
      </c>
    </row>
    <row r="994" spans="1:6" s="193" customFormat="1" hidden="1" x14ac:dyDescent="0.3">
      <c r="A994" s="193">
        <v>1086</v>
      </c>
      <c r="B994" s="193" t="s">
        <v>1002</v>
      </c>
      <c r="C994" s="193" t="s">
        <v>55</v>
      </c>
      <c r="D994" s="226">
        <f>+ROUNDUP(SUMIFS('MEMORIA CANTIDADES'!E:E,'MEMORIA CANTIDADES'!B:B,Table28[[#This Row],[DESCRIPCIÓN ]],'MEMORIA CANTIDADES'!C:C,Table28[[#This Row],[UNIDAD]]),0)</f>
        <v>0</v>
      </c>
      <c r="E994" s="225">
        <f>+VLOOKUP(Table28[[#This Row],[DESCRIPCIÓN ]],INSUMOS!A:D,3,FALSE)</f>
        <v>14441.25</v>
      </c>
      <c r="F994" s="225">
        <f>+Table28[[#This Row],[CANTIDAD]]*Table28[[#This Row],[VALOR UNITARIO]]</f>
        <v>0</v>
      </c>
    </row>
    <row r="995" spans="1:6" s="193" customFormat="1" hidden="1" x14ac:dyDescent="0.3">
      <c r="A995" s="193">
        <v>1087</v>
      </c>
      <c r="B995" s="193" t="s">
        <v>1003</v>
      </c>
      <c r="C995" s="193" t="s">
        <v>55</v>
      </c>
      <c r="D995" s="226">
        <f>+ROUNDUP(SUMIFS('MEMORIA CANTIDADES'!E:E,'MEMORIA CANTIDADES'!B:B,Table28[[#This Row],[DESCRIPCIÓN ]],'MEMORIA CANTIDADES'!C:C,Table28[[#This Row],[UNIDAD]]),0)</f>
        <v>0</v>
      </c>
      <c r="E995" s="225">
        <f>+VLOOKUP(Table28[[#This Row],[DESCRIPCIÓN ]],INSUMOS!A:D,3,FALSE)</f>
        <v>10520.94</v>
      </c>
      <c r="F995" s="225">
        <f>+Table28[[#This Row],[CANTIDAD]]*Table28[[#This Row],[VALOR UNITARIO]]</f>
        <v>0</v>
      </c>
    </row>
    <row r="996" spans="1:6" s="193" customFormat="1" hidden="1" x14ac:dyDescent="0.3">
      <c r="A996" s="193">
        <v>1088</v>
      </c>
      <c r="B996" s="193" t="s">
        <v>1004</v>
      </c>
      <c r="C996" s="193" t="s">
        <v>55</v>
      </c>
      <c r="D996" s="226">
        <f>+ROUNDUP(SUMIFS('MEMORIA CANTIDADES'!E:E,'MEMORIA CANTIDADES'!B:B,Table28[[#This Row],[DESCRIPCIÓN ]],'MEMORIA CANTIDADES'!C:C,Table28[[#This Row],[UNIDAD]]),0)</f>
        <v>0</v>
      </c>
      <c r="E996" s="225">
        <f>+VLOOKUP(Table28[[#This Row],[DESCRIPCIÓN ]],INSUMOS!A:D,3,FALSE)</f>
        <v>3875.43</v>
      </c>
      <c r="F996" s="225">
        <f>+Table28[[#This Row],[CANTIDAD]]*Table28[[#This Row],[VALOR UNITARIO]]</f>
        <v>0</v>
      </c>
    </row>
    <row r="997" spans="1:6" s="193" customFormat="1" hidden="1" x14ac:dyDescent="0.3">
      <c r="A997" s="193">
        <v>1089</v>
      </c>
      <c r="B997" s="193" t="s">
        <v>1005</v>
      </c>
      <c r="C997" s="193" t="s">
        <v>55</v>
      </c>
      <c r="D997" s="226">
        <f>+ROUNDUP(SUMIFS('MEMORIA CANTIDADES'!E:E,'MEMORIA CANTIDADES'!B:B,Table28[[#This Row],[DESCRIPCIÓN ]],'MEMORIA CANTIDADES'!C:C,Table28[[#This Row],[UNIDAD]]),0)</f>
        <v>0</v>
      </c>
      <c r="E997" s="225">
        <f>+VLOOKUP(Table28[[#This Row],[DESCRIPCIÓN ]],INSUMOS!A:D,3,FALSE)</f>
        <v>1136.6300000000001</v>
      </c>
      <c r="F997" s="225">
        <f>+Table28[[#This Row],[CANTIDAD]]*Table28[[#This Row],[VALOR UNITARIO]]</f>
        <v>0</v>
      </c>
    </row>
    <row r="998" spans="1:6" s="193" customFormat="1" hidden="1" x14ac:dyDescent="0.3">
      <c r="A998" s="193">
        <v>1090</v>
      </c>
      <c r="B998" s="193" t="s">
        <v>1006</v>
      </c>
      <c r="C998" s="193" t="s">
        <v>55</v>
      </c>
      <c r="D998" s="226">
        <f>+ROUNDUP(SUMIFS('MEMORIA CANTIDADES'!E:E,'MEMORIA CANTIDADES'!B:B,Table28[[#This Row],[DESCRIPCIÓN ]],'MEMORIA CANTIDADES'!C:C,Table28[[#This Row],[UNIDAD]]),0)</f>
        <v>0</v>
      </c>
      <c r="E998" s="225">
        <f>+VLOOKUP(Table28[[#This Row],[DESCRIPCIÓN ]],INSUMOS!A:D,3,FALSE)</f>
        <v>54275.34</v>
      </c>
      <c r="F998" s="225">
        <f>+Table28[[#This Row],[CANTIDAD]]*Table28[[#This Row],[VALOR UNITARIO]]</f>
        <v>0</v>
      </c>
    </row>
    <row r="999" spans="1:6" s="193" customFormat="1" hidden="1" x14ac:dyDescent="0.3">
      <c r="A999" s="193">
        <v>1091</v>
      </c>
      <c r="B999" s="193" t="s">
        <v>1007</v>
      </c>
      <c r="C999" s="193" t="s">
        <v>55</v>
      </c>
      <c r="D999" s="226">
        <f>+ROUNDUP(SUMIFS('MEMORIA CANTIDADES'!E:E,'MEMORIA CANTIDADES'!B:B,Table28[[#This Row],[DESCRIPCIÓN ]],'MEMORIA CANTIDADES'!C:C,Table28[[#This Row],[UNIDAD]]),0)</f>
        <v>0</v>
      </c>
      <c r="E999" s="225">
        <f>+VLOOKUP(Table28[[#This Row],[DESCRIPCIÓN ]],INSUMOS!A:D,3,FALSE)</f>
        <v>22929.08</v>
      </c>
      <c r="F999" s="225">
        <f>+Table28[[#This Row],[CANTIDAD]]*Table28[[#This Row],[VALOR UNITARIO]]</f>
        <v>0</v>
      </c>
    </row>
    <row r="1000" spans="1:6" s="193" customFormat="1" hidden="1" x14ac:dyDescent="0.3">
      <c r="A1000" s="193">
        <v>1092</v>
      </c>
      <c r="B1000" s="193" t="s">
        <v>1008</v>
      </c>
      <c r="C1000" s="193" t="s">
        <v>55</v>
      </c>
      <c r="D1000" s="226">
        <f>+ROUNDUP(SUMIFS('MEMORIA CANTIDADES'!E:E,'MEMORIA CANTIDADES'!B:B,Table28[[#This Row],[DESCRIPCIÓN ]],'MEMORIA CANTIDADES'!C:C,Table28[[#This Row],[UNIDAD]]),0)</f>
        <v>0</v>
      </c>
      <c r="E1000" s="225">
        <f>+VLOOKUP(Table28[[#This Row],[DESCRIPCIÓN ]],INSUMOS!A:D,3,FALSE)</f>
        <v>81500.5</v>
      </c>
      <c r="F1000" s="225">
        <f>+Table28[[#This Row],[CANTIDAD]]*Table28[[#This Row],[VALOR UNITARIO]]</f>
        <v>0</v>
      </c>
    </row>
    <row r="1001" spans="1:6" s="193" customFormat="1" hidden="1" x14ac:dyDescent="0.3">
      <c r="A1001" s="193">
        <v>1093</v>
      </c>
      <c r="B1001" s="193" t="s">
        <v>1009</v>
      </c>
      <c r="C1001" s="193" t="s">
        <v>55</v>
      </c>
      <c r="D1001" s="226">
        <f>+ROUNDUP(SUMIFS('MEMORIA CANTIDADES'!E:E,'MEMORIA CANTIDADES'!B:B,Table28[[#This Row],[DESCRIPCIÓN ]],'MEMORIA CANTIDADES'!C:C,Table28[[#This Row],[UNIDAD]]),0)</f>
        <v>0</v>
      </c>
      <c r="E1001" s="225">
        <f>+VLOOKUP(Table28[[#This Row],[DESCRIPCIÓN ]],INSUMOS!A:D,3,FALSE)</f>
        <v>2139.4299999999998</v>
      </c>
      <c r="F1001" s="225">
        <f>+Table28[[#This Row],[CANTIDAD]]*Table28[[#This Row],[VALOR UNITARIO]]</f>
        <v>0</v>
      </c>
    </row>
    <row r="1002" spans="1:6" s="193" customFormat="1" hidden="1" x14ac:dyDescent="0.3">
      <c r="A1002" s="193">
        <v>1094</v>
      </c>
      <c r="B1002" s="193" t="s">
        <v>1010</v>
      </c>
      <c r="C1002" s="193" t="s">
        <v>55</v>
      </c>
      <c r="D1002" s="226">
        <f>+ROUNDUP(SUMIFS('MEMORIA CANTIDADES'!E:E,'MEMORIA CANTIDADES'!B:B,Table28[[#This Row],[DESCRIPCIÓN ]],'MEMORIA CANTIDADES'!C:C,Table28[[#This Row],[UNIDAD]]),0)</f>
        <v>0</v>
      </c>
      <c r="E1002" s="225">
        <f>+VLOOKUP(Table28[[#This Row],[DESCRIPCIÓN ]],INSUMOS!A:D,3,FALSE)</f>
        <v>177745.63</v>
      </c>
      <c r="F1002" s="225">
        <f>+Table28[[#This Row],[CANTIDAD]]*Table28[[#This Row],[VALOR UNITARIO]]</f>
        <v>0</v>
      </c>
    </row>
    <row r="1003" spans="1:6" s="193" customFormat="1" ht="28.8" hidden="1" x14ac:dyDescent="0.3">
      <c r="A1003" s="193">
        <v>1095</v>
      </c>
      <c r="B1003" s="193" t="s">
        <v>1011</v>
      </c>
      <c r="C1003" s="193" t="s">
        <v>55</v>
      </c>
      <c r="D1003" s="226">
        <f>+ROUNDUP(SUMIFS('MEMORIA CANTIDADES'!E:E,'MEMORIA CANTIDADES'!B:B,Table28[[#This Row],[DESCRIPCIÓN ]],'MEMORIA CANTIDADES'!C:C,Table28[[#This Row],[UNIDAD]]),0)</f>
        <v>0</v>
      </c>
      <c r="E1003" s="225">
        <f>+VLOOKUP(Table28[[#This Row],[DESCRIPCIÓN ]],INSUMOS!A:D,3,FALSE)</f>
        <v>6204.53</v>
      </c>
      <c r="F1003" s="225">
        <f>+Table28[[#This Row],[CANTIDAD]]*Table28[[#This Row],[VALOR UNITARIO]]</f>
        <v>0</v>
      </c>
    </row>
    <row r="1004" spans="1:6" s="193" customFormat="1" ht="28.8" hidden="1" x14ac:dyDescent="0.3">
      <c r="A1004" s="193">
        <v>1096</v>
      </c>
      <c r="B1004" s="193" t="s">
        <v>1012</v>
      </c>
      <c r="C1004" s="193" t="s">
        <v>55</v>
      </c>
      <c r="D1004" s="226">
        <f>+ROUNDUP(SUMIFS('MEMORIA CANTIDADES'!E:E,'MEMORIA CANTIDADES'!B:B,Table28[[#This Row],[DESCRIPCIÓN ]],'MEMORIA CANTIDADES'!C:C,Table28[[#This Row],[UNIDAD]]),0)</f>
        <v>0</v>
      </c>
      <c r="E1004" s="225">
        <f>+VLOOKUP(Table28[[#This Row],[DESCRIPCIÓN ]],INSUMOS!A:D,3,FALSE)</f>
        <v>5519.95</v>
      </c>
      <c r="F1004" s="225">
        <f>+Table28[[#This Row],[CANTIDAD]]*Table28[[#This Row],[VALOR UNITARIO]]</f>
        <v>0</v>
      </c>
    </row>
    <row r="1005" spans="1:6" s="193" customFormat="1" ht="28.8" hidden="1" x14ac:dyDescent="0.3">
      <c r="A1005" s="193">
        <v>1097</v>
      </c>
      <c r="B1005" s="193" t="s">
        <v>1013</v>
      </c>
      <c r="C1005" s="193" t="s">
        <v>55</v>
      </c>
      <c r="D1005" s="226">
        <f>+ROUNDUP(SUMIFS('MEMORIA CANTIDADES'!E:E,'MEMORIA CANTIDADES'!B:B,Table28[[#This Row],[DESCRIPCIÓN ]],'MEMORIA CANTIDADES'!C:C,Table28[[#This Row],[UNIDAD]]),0)</f>
        <v>0</v>
      </c>
      <c r="E1005" s="225">
        <f>+VLOOKUP(Table28[[#This Row],[DESCRIPCIÓN ]],INSUMOS!A:D,3,FALSE)</f>
        <v>3120.1</v>
      </c>
      <c r="F1005" s="225">
        <f>+Table28[[#This Row],[CANTIDAD]]*Table28[[#This Row],[VALOR UNITARIO]]</f>
        <v>0</v>
      </c>
    </row>
    <row r="1006" spans="1:6" s="193" customFormat="1" ht="28.8" hidden="1" x14ac:dyDescent="0.3">
      <c r="A1006" s="193">
        <v>1098</v>
      </c>
      <c r="B1006" s="193" t="s">
        <v>1014</v>
      </c>
      <c r="C1006" s="193" t="s">
        <v>55</v>
      </c>
      <c r="D1006" s="226">
        <f>+ROUNDUP(SUMIFS('MEMORIA CANTIDADES'!E:E,'MEMORIA CANTIDADES'!B:B,Table28[[#This Row],[DESCRIPCIÓN ]],'MEMORIA CANTIDADES'!C:C,Table28[[#This Row],[UNIDAD]]),0)</f>
        <v>0</v>
      </c>
      <c r="E1006" s="225">
        <f>+VLOOKUP(Table28[[#This Row],[DESCRIPCIÓN ]],INSUMOS!A:D,3,FALSE)</f>
        <v>10043.459999999999</v>
      </c>
      <c r="F1006" s="225">
        <f>+Table28[[#This Row],[CANTIDAD]]*Table28[[#This Row],[VALOR UNITARIO]]</f>
        <v>0</v>
      </c>
    </row>
    <row r="1007" spans="1:6" s="193" customFormat="1" ht="28.8" hidden="1" x14ac:dyDescent="0.3">
      <c r="A1007" s="193">
        <v>1099</v>
      </c>
      <c r="B1007" s="193" t="s">
        <v>1015</v>
      </c>
      <c r="C1007" s="193" t="s">
        <v>55</v>
      </c>
      <c r="D1007" s="226">
        <f>+ROUNDUP(SUMIFS('MEMORIA CANTIDADES'!E:E,'MEMORIA CANTIDADES'!B:B,Table28[[#This Row],[DESCRIPCIÓN ]],'MEMORIA CANTIDADES'!C:C,Table28[[#This Row],[UNIDAD]]),0)</f>
        <v>0</v>
      </c>
      <c r="E1007" s="225">
        <f>+VLOOKUP(Table28[[#This Row],[DESCRIPCIÓN ]],INSUMOS!A:D,3,FALSE)</f>
        <v>22994.57</v>
      </c>
      <c r="F1007" s="225">
        <f>+Table28[[#This Row],[CANTIDAD]]*Table28[[#This Row],[VALOR UNITARIO]]</f>
        <v>0</v>
      </c>
    </row>
    <row r="1008" spans="1:6" s="193" customFormat="1" ht="28.8" hidden="1" x14ac:dyDescent="0.3">
      <c r="A1008" s="193">
        <v>1100</v>
      </c>
      <c r="B1008" s="193" t="s">
        <v>1016</v>
      </c>
      <c r="C1008" s="193" t="s">
        <v>55</v>
      </c>
      <c r="D1008" s="226">
        <f>+ROUNDUP(SUMIFS('MEMORIA CANTIDADES'!E:E,'MEMORIA CANTIDADES'!B:B,Table28[[#This Row],[DESCRIPCIÓN ]],'MEMORIA CANTIDADES'!C:C,Table28[[#This Row],[UNIDAD]]),0)</f>
        <v>0</v>
      </c>
      <c r="E1008" s="225">
        <f>+VLOOKUP(Table28[[#This Row],[DESCRIPCIÓN ]],INSUMOS!A:D,3,FALSE)</f>
        <v>39214.730000000003</v>
      </c>
      <c r="F1008" s="225">
        <f>+Table28[[#This Row],[CANTIDAD]]*Table28[[#This Row],[VALOR UNITARIO]]</f>
        <v>0</v>
      </c>
    </row>
    <row r="1009" spans="1:6" s="193" customFormat="1" ht="28.8" hidden="1" x14ac:dyDescent="0.3">
      <c r="A1009" s="193">
        <v>1101</v>
      </c>
      <c r="B1009" s="193" t="s">
        <v>1017</v>
      </c>
      <c r="C1009" s="193" t="s">
        <v>55</v>
      </c>
      <c r="D1009" s="226">
        <f>+ROUNDUP(SUMIFS('MEMORIA CANTIDADES'!E:E,'MEMORIA CANTIDADES'!B:B,Table28[[#This Row],[DESCRIPCIÓN ]],'MEMORIA CANTIDADES'!C:C,Table28[[#This Row],[UNIDAD]]),0)</f>
        <v>0</v>
      </c>
      <c r="E1009" s="225">
        <f>+VLOOKUP(Table28[[#This Row],[DESCRIPCIÓN ]],INSUMOS!A:D,3,FALSE)</f>
        <v>40705.11</v>
      </c>
      <c r="F1009" s="225">
        <f>+Table28[[#This Row],[CANTIDAD]]*Table28[[#This Row],[VALOR UNITARIO]]</f>
        <v>0</v>
      </c>
    </row>
    <row r="1010" spans="1:6" s="193" customFormat="1" ht="28.8" hidden="1" x14ac:dyDescent="0.3">
      <c r="A1010" s="193">
        <v>1102</v>
      </c>
      <c r="B1010" s="193" t="s">
        <v>1018</v>
      </c>
      <c r="C1010" s="193" t="s">
        <v>55</v>
      </c>
      <c r="D1010" s="226">
        <f>+ROUNDUP(SUMIFS('MEMORIA CANTIDADES'!E:E,'MEMORIA CANTIDADES'!B:B,Table28[[#This Row],[DESCRIPCIÓN ]],'MEMORIA CANTIDADES'!C:C,Table28[[#This Row],[UNIDAD]]),0)</f>
        <v>0</v>
      </c>
      <c r="E1010" s="225">
        <f>+VLOOKUP(Table28[[#This Row],[DESCRIPCIÓN ]],INSUMOS!A:D,3,FALSE)</f>
        <v>256585.23</v>
      </c>
      <c r="F1010" s="225">
        <f>+Table28[[#This Row],[CANTIDAD]]*Table28[[#This Row],[VALOR UNITARIO]]</f>
        <v>0</v>
      </c>
    </row>
    <row r="1011" spans="1:6" s="193" customFormat="1" hidden="1" x14ac:dyDescent="0.3">
      <c r="A1011" s="193">
        <v>1103</v>
      </c>
      <c r="B1011" s="193" t="s">
        <v>1019</v>
      </c>
      <c r="C1011" s="193" t="s">
        <v>55</v>
      </c>
      <c r="D1011" s="226">
        <f>+ROUNDUP(SUMIFS('MEMORIA CANTIDADES'!E:E,'MEMORIA CANTIDADES'!B:B,Table28[[#This Row],[DESCRIPCIÓN ]],'MEMORIA CANTIDADES'!C:C,Table28[[#This Row],[UNIDAD]]),0)</f>
        <v>0</v>
      </c>
      <c r="E1011" s="225">
        <f>+VLOOKUP(Table28[[#This Row],[DESCRIPCIÓN ]],INSUMOS!A:D,3,FALSE)</f>
        <v>7686.71</v>
      </c>
      <c r="F1011" s="225">
        <f>+Table28[[#This Row],[CANTIDAD]]*Table28[[#This Row],[VALOR UNITARIO]]</f>
        <v>0</v>
      </c>
    </row>
    <row r="1012" spans="1:6" s="193" customFormat="1" hidden="1" x14ac:dyDescent="0.3">
      <c r="A1012" s="193">
        <v>1104</v>
      </c>
      <c r="B1012" s="193" t="s">
        <v>1020</v>
      </c>
      <c r="C1012" s="193" t="s">
        <v>55</v>
      </c>
      <c r="D1012" s="226">
        <f>+ROUNDUP(SUMIFS('MEMORIA CANTIDADES'!E:E,'MEMORIA CANTIDADES'!B:B,Table28[[#This Row],[DESCRIPCIÓN ]],'MEMORIA CANTIDADES'!C:C,Table28[[#This Row],[UNIDAD]]),0)</f>
        <v>0</v>
      </c>
      <c r="E1012" s="225">
        <f>+VLOOKUP(Table28[[#This Row],[DESCRIPCIÓN ]],INSUMOS!A:D,3,FALSE)</f>
        <v>9210.36</v>
      </c>
      <c r="F1012" s="225">
        <f>+Table28[[#This Row],[CANTIDAD]]*Table28[[#This Row],[VALOR UNITARIO]]</f>
        <v>0</v>
      </c>
    </row>
    <row r="1013" spans="1:6" s="193" customFormat="1" hidden="1" x14ac:dyDescent="0.3">
      <c r="A1013" s="193">
        <v>1105</v>
      </c>
      <c r="B1013" s="193" t="s">
        <v>1021</v>
      </c>
      <c r="C1013" s="193" t="s">
        <v>55</v>
      </c>
      <c r="D1013" s="226">
        <f>+ROUNDUP(SUMIFS('MEMORIA CANTIDADES'!E:E,'MEMORIA CANTIDADES'!B:B,Table28[[#This Row],[DESCRIPCIÓN ]],'MEMORIA CANTIDADES'!C:C,Table28[[#This Row],[UNIDAD]]),0)</f>
        <v>0</v>
      </c>
      <c r="E1013" s="225">
        <f>+VLOOKUP(Table28[[#This Row],[DESCRIPCIÓN ]],INSUMOS!A:D,3,FALSE)</f>
        <v>10754.2</v>
      </c>
      <c r="F1013" s="225">
        <f>+Table28[[#This Row],[CANTIDAD]]*Table28[[#This Row],[VALOR UNITARIO]]</f>
        <v>0</v>
      </c>
    </row>
    <row r="1014" spans="1:6" s="193" customFormat="1" hidden="1" x14ac:dyDescent="0.3">
      <c r="A1014" s="193">
        <v>1106</v>
      </c>
      <c r="B1014" s="193" t="s">
        <v>1022</v>
      </c>
      <c r="C1014" s="193" t="s">
        <v>55</v>
      </c>
      <c r="D1014" s="226">
        <f>+ROUNDUP(SUMIFS('MEMORIA CANTIDADES'!E:E,'MEMORIA CANTIDADES'!B:B,Table28[[#This Row],[DESCRIPCIÓN ]],'MEMORIA CANTIDADES'!C:C,Table28[[#This Row],[UNIDAD]]),0)</f>
        <v>0</v>
      </c>
      <c r="E1014" s="225">
        <f>+VLOOKUP(Table28[[#This Row],[DESCRIPCIÓN ]],INSUMOS!A:D,3,FALSE)</f>
        <v>23265.35</v>
      </c>
      <c r="F1014" s="225">
        <f>+Table28[[#This Row],[CANTIDAD]]*Table28[[#This Row],[VALOR UNITARIO]]</f>
        <v>0</v>
      </c>
    </row>
    <row r="1015" spans="1:6" s="193" customFormat="1" hidden="1" x14ac:dyDescent="0.3">
      <c r="A1015" s="193">
        <v>1107</v>
      </c>
      <c r="B1015" s="193" t="s">
        <v>1023</v>
      </c>
      <c r="C1015" s="193" t="s">
        <v>55</v>
      </c>
      <c r="D1015" s="226">
        <f>+ROUNDUP(SUMIFS('MEMORIA CANTIDADES'!E:E,'MEMORIA CANTIDADES'!B:B,Table28[[#This Row],[DESCRIPCIÓN ]],'MEMORIA CANTIDADES'!C:C,Table28[[#This Row],[UNIDAD]]),0)</f>
        <v>0</v>
      </c>
      <c r="E1015" s="225">
        <f>+VLOOKUP(Table28[[#This Row],[DESCRIPCIÓN ]],INSUMOS!A:D,3,FALSE)</f>
        <v>207704.06</v>
      </c>
      <c r="F1015" s="225">
        <f>+Table28[[#This Row],[CANTIDAD]]*Table28[[#This Row],[VALOR UNITARIO]]</f>
        <v>0</v>
      </c>
    </row>
    <row r="1016" spans="1:6" s="193" customFormat="1" hidden="1" x14ac:dyDescent="0.3">
      <c r="A1016" s="193">
        <v>1250</v>
      </c>
      <c r="B1016" s="193" t="s">
        <v>1024</v>
      </c>
      <c r="C1016" s="193" t="s">
        <v>55</v>
      </c>
      <c r="D1016" s="226">
        <f>+ROUNDUP(SUMIFS('MEMORIA CANTIDADES'!E:E,'MEMORIA CANTIDADES'!B:B,Table28[[#This Row],[DESCRIPCIÓN ]],'MEMORIA CANTIDADES'!C:C,Table28[[#This Row],[UNIDAD]]),0)</f>
        <v>0</v>
      </c>
      <c r="E1016" s="225">
        <f>+VLOOKUP(Table28[[#This Row],[DESCRIPCIÓN ]],INSUMOS!A:D,3,FALSE)</f>
        <v>62840.7</v>
      </c>
      <c r="F1016" s="225">
        <f>+Table28[[#This Row],[CANTIDAD]]*Table28[[#This Row],[VALOR UNITARIO]]</f>
        <v>0</v>
      </c>
    </row>
    <row r="1017" spans="1:6" s="193" customFormat="1" hidden="1" x14ac:dyDescent="0.3">
      <c r="A1017" s="193">
        <v>1247</v>
      </c>
      <c r="B1017" s="193" t="s">
        <v>80</v>
      </c>
      <c r="C1017" s="193" t="s">
        <v>55</v>
      </c>
      <c r="D1017" s="226">
        <f>+ROUNDUP(SUMIFS('MEMORIA CANTIDADES'!E:E,'MEMORIA CANTIDADES'!B:B,Table28[[#This Row],[DESCRIPCIÓN ]],'MEMORIA CANTIDADES'!C:C,Table28[[#This Row],[UNIDAD]]),0)</f>
        <v>0</v>
      </c>
      <c r="E1017" s="225">
        <f>+VLOOKUP(Table28[[#This Row],[DESCRIPCIÓN ]],INSUMOS!A:D,3,FALSE)</f>
        <v>58943.66</v>
      </c>
      <c r="F1017" s="225">
        <f>+Table28[[#This Row],[CANTIDAD]]*Table28[[#This Row],[VALOR UNITARIO]]</f>
        <v>0</v>
      </c>
    </row>
    <row r="1018" spans="1:6" s="193" customFormat="1" hidden="1" x14ac:dyDescent="0.3">
      <c r="A1018" s="193">
        <v>1248</v>
      </c>
      <c r="B1018" s="193" t="s">
        <v>1025</v>
      </c>
      <c r="C1018" s="193" t="s">
        <v>55</v>
      </c>
      <c r="D1018" s="226">
        <f>+ROUNDUP(SUMIFS('MEMORIA CANTIDADES'!E:E,'MEMORIA CANTIDADES'!B:B,Table28[[#This Row],[DESCRIPCIÓN ]],'MEMORIA CANTIDADES'!C:C,Table28[[#This Row],[UNIDAD]]),0)</f>
        <v>0</v>
      </c>
      <c r="E1018" s="225">
        <f>+VLOOKUP(Table28[[#This Row],[DESCRIPCIÓN ]],INSUMOS!A:D,3,FALSE)</f>
        <v>93474.85</v>
      </c>
      <c r="F1018" s="225">
        <f>+Table28[[#This Row],[CANTIDAD]]*Table28[[#This Row],[VALOR UNITARIO]]</f>
        <v>0</v>
      </c>
    </row>
    <row r="1019" spans="1:6" s="193" customFormat="1" hidden="1" x14ac:dyDescent="0.3">
      <c r="A1019" s="193">
        <v>1249</v>
      </c>
      <c r="B1019" s="193" t="s">
        <v>1026</v>
      </c>
      <c r="C1019" s="193" t="s">
        <v>55</v>
      </c>
      <c r="D1019" s="226">
        <f>+ROUNDUP(SUMIFS('MEMORIA CANTIDADES'!E:E,'MEMORIA CANTIDADES'!B:B,Table28[[#This Row],[DESCRIPCIÓN ]],'MEMORIA CANTIDADES'!C:C,Table28[[#This Row],[UNIDAD]]),0)</f>
        <v>0</v>
      </c>
      <c r="E1019" s="225" t="e">
        <f>+VLOOKUP(Table28[[#This Row],[DESCRIPCIÓN ]],INSUMOS!A:D,3,FALSE)</f>
        <v>#N/A</v>
      </c>
      <c r="F1019" s="225" t="e">
        <f>+Table28[[#This Row],[CANTIDAD]]*Table28[[#This Row],[VALOR UNITARIO]]</f>
        <v>#N/A</v>
      </c>
    </row>
    <row r="1020" spans="1:6" s="193" customFormat="1" hidden="1" x14ac:dyDescent="0.3">
      <c r="A1020" s="193">
        <v>182</v>
      </c>
      <c r="B1020" s="193" t="s">
        <v>1027</v>
      </c>
      <c r="C1020" s="193" t="s">
        <v>55</v>
      </c>
      <c r="D1020" s="226">
        <f>+ROUNDUP(SUMIFS('MEMORIA CANTIDADES'!E:E,'MEMORIA CANTIDADES'!B:B,Table28[[#This Row],[DESCRIPCIÓN ]],'MEMORIA CANTIDADES'!C:C,Table28[[#This Row],[UNIDAD]]),0)</f>
        <v>0</v>
      </c>
      <c r="E1020" s="225">
        <f>+VLOOKUP(Table28[[#This Row],[DESCRIPCIÓN ]],INSUMOS!A:D,3,FALSE)</f>
        <v>6334.27</v>
      </c>
      <c r="F1020" s="225">
        <f>+Table28[[#This Row],[CANTIDAD]]*Table28[[#This Row],[VALOR UNITARIO]]</f>
        <v>0</v>
      </c>
    </row>
    <row r="1021" spans="1:6" s="193" customFormat="1" hidden="1" x14ac:dyDescent="0.3">
      <c r="A1021" s="193">
        <v>1242</v>
      </c>
      <c r="B1021" s="193" t="s">
        <v>1028</v>
      </c>
      <c r="C1021" s="193" t="s">
        <v>55</v>
      </c>
      <c r="D1021" s="226">
        <f>+ROUNDUP(SUMIFS('MEMORIA CANTIDADES'!E:E,'MEMORIA CANTIDADES'!B:B,Table28[[#This Row],[DESCRIPCIÓN ]],'MEMORIA CANTIDADES'!C:C,Table28[[#This Row],[UNIDAD]]),0)</f>
        <v>0</v>
      </c>
      <c r="E1021" s="225" t="e">
        <f>+VLOOKUP(Table28[[#This Row],[DESCRIPCIÓN ]],INSUMOS!A:D,3,FALSE)</f>
        <v>#N/A</v>
      </c>
      <c r="F1021" s="225" t="e">
        <f>+Table28[[#This Row],[CANTIDAD]]*Table28[[#This Row],[VALOR UNITARIO]]</f>
        <v>#N/A</v>
      </c>
    </row>
    <row r="1022" spans="1:6" s="193" customFormat="1" hidden="1" x14ac:dyDescent="0.3">
      <c r="A1022" s="193">
        <v>1239</v>
      </c>
      <c r="B1022" s="193" t="s">
        <v>1029</v>
      </c>
      <c r="C1022" s="193" t="s">
        <v>55</v>
      </c>
      <c r="D1022" s="226">
        <f>+ROUNDUP(SUMIFS('MEMORIA CANTIDADES'!E:E,'MEMORIA CANTIDADES'!B:B,Table28[[#This Row],[DESCRIPCIÓN ]],'MEMORIA CANTIDADES'!C:C,Table28[[#This Row],[UNIDAD]]),0)</f>
        <v>0</v>
      </c>
      <c r="E1022" s="225" t="e">
        <f>+VLOOKUP(Table28[[#This Row],[DESCRIPCIÓN ]],INSUMOS!A:D,3,FALSE)</f>
        <v>#N/A</v>
      </c>
      <c r="F1022" s="225" t="e">
        <f>+Table28[[#This Row],[CANTIDAD]]*Table28[[#This Row],[VALOR UNITARIO]]</f>
        <v>#N/A</v>
      </c>
    </row>
    <row r="1023" spans="1:6" s="193" customFormat="1" hidden="1" x14ac:dyDescent="0.3">
      <c r="A1023" s="193">
        <v>1240</v>
      </c>
      <c r="B1023" s="193" t="s">
        <v>1030</v>
      </c>
      <c r="C1023" s="193" t="s">
        <v>55</v>
      </c>
      <c r="D1023" s="226">
        <f>+ROUNDUP(SUMIFS('MEMORIA CANTIDADES'!E:E,'MEMORIA CANTIDADES'!B:B,Table28[[#This Row],[DESCRIPCIÓN ]],'MEMORIA CANTIDADES'!C:C,Table28[[#This Row],[UNIDAD]]),0)</f>
        <v>0</v>
      </c>
      <c r="E1023" s="225" t="e">
        <f>+VLOOKUP(Table28[[#This Row],[DESCRIPCIÓN ]],INSUMOS!A:D,3,FALSE)</f>
        <v>#N/A</v>
      </c>
      <c r="F1023" s="225" t="e">
        <f>+Table28[[#This Row],[CANTIDAD]]*Table28[[#This Row],[VALOR UNITARIO]]</f>
        <v>#N/A</v>
      </c>
    </row>
    <row r="1024" spans="1:6" s="193" customFormat="1" hidden="1" x14ac:dyDescent="0.3">
      <c r="A1024" s="193">
        <v>1241</v>
      </c>
      <c r="B1024" s="193" t="s">
        <v>1031</v>
      </c>
      <c r="C1024" s="193" t="s">
        <v>55</v>
      </c>
      <c r="D1024" s="226">
        <f>+ROUNDUP(SUMIFS('MEMORIA CANTIDADES'!E:E,'MEMORIA CANTIDADES'!B:B,Table28[[#This Row],[DESCRIPCIÓN ]],'MEMORIA CANTIDADES'!C:C,Table28[[#This Row],[UNIDAD]]),0)</f>
        <v>0</v>
      </c>
      <c r="E1024" s="225" t="e">
        <f>+VLOOKUP(Table28[[#This Row],[DESCRIPCIÓN ]],INSUMOS!A:D,3,FALSE)</f>
        <v>#N/A</v>
      </c>
      <c r="F1024" s="225" t="e">
        <f>+Table28[[#This Row],[CANTIDAD]]*Table28[[#This Row],[VALOR UNITARIO]]</f>
        <v>#N/A</v>
      </c>
    </row>
    <row r="1025" spans="1:6" s="193" customFormat="1" ht="28.8" hidden="1" x14ac:dyDescent="0.3">
      <c r="A1025" s="193">
        <v>183</v>
      </c>
      <c r="B1025" s="193" t="s">
        <v>1032</v>
      </c>
      <c r="C1025" s="193" t="s">
        <v>55</v>
      </c>
      <c r="D1025" s="226">
        <f>+ROUNDUP(SUMIFS('MEMORIA CANTIDADES'!E:E,'MEMORIA CANTIDADES'!B:B,Table28[[#This Row],[DESCRIPCIÓN ]],'MEMORIA CANTIDADES'!C:C,Table28[[#This Row],[UNIDAD]]),0)</f>
        <v>0</v>
      </c>
      <c r="E1025" s="225" t="e">
        <f>+VLOOKUP(Table28[[#This Row],[DESCRIPCIÓN ]],INSUMOS!A:D,3,FALSE)</f>
        <v>#N/A</v>
      </c>
      <c r="F1025" s="225" t="e">
        <f>+Table28[[#This Row],[CANTIDAD]]*Table28[[#This Row],[VALOR UNITARIO]]</f>
        <v>#N/A</v>
      </c>
    </row>
    <row r="1026" spans="1:6" s="193" customFormat="1" ht="28.8" hidden="1" x14ac:dyDescent="0.3">
      <c r="A1026" s="193">
        <v>184</v>
      </c>
      <c r="B1026" s="193" t="s">
        <v>1033</v>
      </c>
      <c r="C1026" s="193" t="s">
        <v>55</v>
      </c>
      <c r="D1026" s="226">
        <f>+ROUNDUP(SUMIFS('MEMORIA CANTIDADES'!E:E,'MEMORIA CANTIDADES'!B:B,Table28[[#This Row],[DESCRIPCIÓN ]],'MEMORIA CANTIDADES'!C:C,Table28[[#This Row],[UNIDAD]]),0)</f>
        <v>0</v>
      </c>
      <c r="E1026" s="225" t="e">
        <f>+VLOOKUP(Table28[[#This Row],[DESCRIPCIÓN ]],INSUMOS!A:D,3,FALSE)</f>
        <v>#N/A</v>
      </c>
      <c r="F1026" s="225" t="e">
        <f>+Table28[[#This Row],[CANTIDAD]]*Table28[[#This Row],[VALOR UNITARIO]]</f>
        <v>#N/A</v>
      </c>
    </row>
    <row r="1027" spans="1:6" s="193" customFormat="1" hidden="1" x14ac:dyDescent="0.3">
      <c r="A1027" s="193">
        <v>185</v>
      </c>
      <c r="B1027" s="193" t="s">
        <v>1034</v>
      </c>
      <c r="C1027" s="193" t="s">
        <v>55</v>
      </c>
      <c r="D1027" s="226">
        <f>+ROUNDUP(SUMIFS('MEMORIA CANTIDADES'!E:E,'MEMORIA CANTIDADES'!B:B,Table28[[#This Row],[DESCRIPCIÓN ]],'MEMORIA CANTIDADES'!C:C,Table28[[#This Row],[UNIDAD]]),0)</f>
        <v>0</v>
      </c>
      <c r="E1027" s="225">
        <f>+VLOOKUP(Table28[[#This Row],[DESCRIPCIÓN ]],INSUMOS!A:D,3,FALSE)</f>
        <v>67599.12</v>
      </c>
      <c r="F1027" s="225">
        <f>+Table28[[#This Row],[CANTIDAD]]*Table28[[#This Row],[VALOR UNITARIO]]</f>
        <v>0</v>
      </c>
    </row>
    <row r="1028" spans="1:6" s="193" customFormat="1" ht="28.8" hidden="1" x14ac:dyDescent="0.3">
      <c r="A1028" s="193">
        <v>186</v>
      </c>
      <c r="B1028" s="193" t="s">
        <v>1035</v>
      </c>
      <c r="C1028" s="193" t="s">
        <v>55</v>
      </c>
      <c r="D1028" s="226">
        <f>+ROUNDUP(SUMIFS('MEMORIA CANTIDADES'!E:E,'MEMORIA CANTIDADES'!B:B,Table28[[#This Row],[DESCRIPCIÓN ]],'MEMORIA CANTIDADES'!C:C,Table28[[#This Row],[UNIDAD]]),0)</f>
        <v>0</v>
      </c>
      <c r="E1028" s="225">
        <f>+VLOOKUP(Table28[[#This Row],[DESCRIPCIÓN ]],INSUMOS!A:D,3,FALSE)</f>
        <v>63289.42</v>
      </c>
      <c r="F1028" s="225">
        <f>+Table28[[#This Row],[CANTIDAD]]*Table28[[#This Row],[VALOR UNITARIO]]</f>
        <v>0</v>
      </c>
    </row>
    <row r="1029" spans="1:6" s="193" customFormat="1" ht="28.8" hidden="1" x14ac:dyDescent="0.3">
      <c r="A1029" s="193">
        <v>187</v>
      </c>
      <c r="B1029" s="193" t="s">
        <v>1036</v>
      </c>
      <c r="C1029" s="193" t="s">
        <v>55</v>
      </c>
      <c r="D1029" s="226">
        <f>+ROUNDUP(SUMIFS('MEMORIA CANTIDADES'!E:E,'MEMORIA CANTIDADES'!B:B,Table28[[#This Row],[DESCRIPCIÓN ]],'MEMORIA CANTIDADES'!C:C,Table28[[#This Row],[UNIDAD]]),0)</f>
        <v>0</v>
      </c>
      <c r="E1029" s="225">
        <f>+VLOOKUP(Table28[[#This Row],[DESCRIPCIÓN ]],INSUMOS!A:D,3,FALSE)</f>
        <v>79161.11</v>
      </c>
      <c r="F1029" s="225">
        <f>+Table28[[#This Row],[CANTIDAD]]*Table28[[#This Row],[VALOR UNITARIO]]</f>
        <v>0</v>
      </c>
    </row>
    <row r="1030" spans="1:6" s="193" customFormat="1" ht="28.8" hidden="1" x14ac:dyDescent="0.3">
      <c r="A1030" s="193">
        <v>188</v>
      </c>
      <c r="B1030" s="193" t="s">
        <v>1037</v>
      </c>
      <c r="C1030" s="193" t="s">
        <v>55</v>
      </c>
      <c r="D1030" s="226">
        <f>+ROUNDUP(SUMIFS('MEMORIA CANTIDADES'!E:E,'MEMORIA CANTIDADES'!B:B,Table28[[#This Row],[DESCRIPCIÓN ]],'MEMORIA CANTIDADES'!C:C,Table28[[#This Row],[UNIDAD]]),0)</f>
        <v>0</v>
      </c>
      <c r="E1030" s="225">
        <f>+VLOOKUP(Table28[[#This Row],[DESCRIPCIÓN ]],INSUMOS!A:D,3,FALSE)</f>
        <v>94740.46</v>
      </c>
      <c r="F1030" s="225">
        <f>+Table28[[#This Row],[CANTIDAD]]*Table28[[#This Row],[VALOR UNITARIO]]</f>
        <v>0</v>
      </c>
    </row>
    <row r="1031" spans="1:6" s="193" customFormat="1" ht="43.2" hidden="1" x14ac:dyDescent="0.3">
      <c r="A1031" s="193">
        <v>189</v>
      </c>
      <c r="B1031" s="193" t="s">
        <v>1038</v>
      </c>
      <c r="C1031" s="193" t="s">
        <v>55</v>
      </c>
      <c r="D1031" s="226">
        <f>+ROUNDUP(SUMIFS('MEMORIA CANTIDADES'!E:E,'MEMORIA CANTIDADES'!B:B,Table28[[#This Row],[DESCRIPCIÓN ]],'MEMORIA CANTIDADES'!C:C,Table28[[#This Row],[UNIDAD]]),0)</f>
        <v>0</v>
      </c>
      <c r="E1031" s="225">
        <f>+VLOOKUP(Table28[[#This Row],[DESCRIPCIÓN ]],INSUMOS!A:D,3,FALSE)</f>
        <v>80657.38</v>
      </c>
      <c r="F1031" s="225">
        <f>+Table28[[#This Row],[CANTIDAD]]*Table28[[#This Row],[VALOR UNITARIO]]</f>
        <v>0</v>
      </c>
    </row>
    <row r="1032" spans="1:6" s="193" customFormat="1" ht="28.8" hidden="1" x14ac:dyDescent="0.3">
      <c r="A1032" s="193">
        <v>190</v>
      </c>
      <c r="B1032" s="193" t="s">
        <v>1039</v>
      </c>
      <c r="C1032" s="193" t="s">
        <v>55</v>
      </c>
      <c r="D1032" s="226">
        <f>+ROUNDUP(SUMIFS('MEMORIA CANTIDADES'!E:E,'MEMORIA CANTIDADES'!B:B,Table28[[#This Row],[DESCRIPCIÓN ]],'MEMORIA CANTIDADES'!C:C,Table28[[#This Row],[UNIDAD]]),0)</f>
        <v>0</v>
      </c>
      <c r="E1032" s="225">
        <f>+VLOOKUP(Table28[[#This Row],[DESCRIPCIÓN ]],INSUMOS!A:D,3,FALSE)</f>
        <v>164986.51999999999</v>
      </c>
      <c r="F1032" s="225">
        <f>+Table28[[#This Row],[CANTIDAD]]*Table28[[#This Row],[VALOR UNITARIO]]</f>
        <v>0</v>
      </c>
    </row>
    <row r="1033" spans="1:6" s="193" customFormat="1" ht="28.8" hidden="1" x14ac:dyDescent="0.3">
      <c r="A1033" s="193">
        <v>191</v>
      </c>
      <c r="B1033" s="193" t="s">
        <v>1040</v>
      </c>
      <c r="C1033" s="193" t="s">
        <v>55</v>
      </c>
      <c r="D1033" s="226">
        <f>+ROUNDUP(SUMIFS('MEMORIA CANTIDADES'!E:E,'MEMORIA CANTIDADES'!B:B,Table28[[#This Row],[DESCRIPCIÓN ]],'MEMORIA CANTIDADES'!C:C,Table28[[#This Row],[UNIDAD]]),0)</f>
        <v>0</v>
      </c>
      <c r="E1033" s="225">
        <f>+VLOOKUP(Table28[[#This Row],[DESCRIPCIÓN ]],INSUMOS!A:D,3,FALSE)</f>
        <v>206634.55</v>
      </c>
      <c r="F1033" s="225">
        <f>+Table28[[#This Row],[CANTIDAD]]*Table28[[#This Row],[VALOR UNITARIO]]</f>
        <v>0</v>
      </c>
    </row>
    <row r="1034" spans="1:6" s="193" customFormat="1" ht="28.8" hidden="1" x14ac:dyDescent="0.3">
      <c r="A1034" s="193">
        <v>192</v>
      </c>
      <c r="B1034" s="193" t="s">
        <v>1041</v>
      </c>
      <c r="C1034" s="193" t="s">
        <v>55</v>
      </c>
      <c r="D1034" s="226">
        <f>+ROUNDUP(SUMIFS('MEMORIA CANTIDADES'!E:E,'MEMORIA CANTIDADES'!B:B,Table28[[#This Row],[DESCRIPCIÓN ]],'MEMORIA CANTIDADES'!C:C,Table28[[#This Row],[UNIDAD]]),0)</f>
        <v>0</v>
      </c>
      <c r="E1034" s="225">
        <f>+VLOOKUP(Table28[[#This Row],[DESCRIPCIÓN ]],INSUMOS!A:D,3,FALSE)</f>
        <v>68393.759999999995</v>
      </c>
      <c r="F1034" s="225">
        <f>+Table28[[#This Row],[CANTIDAD]]*Table28[[#This Row],[VALOR UNITARIO]]</f>
        <v>0</v>
      </c>
    </row>
    <row r="1035" spans="1:6" s="193" customFormat="1" ht="28.8" hidden="1" x14ac:dyDescent="0.3">
      <c r="A1035" s="193">
        <v>193</v>
      </c>
      <c r="B1035" s="193" t="s">
        <v>1042</v>
      </c>
      <c r="C1035" s="193" t="s">
        <v>55</v>
      </c>
      <c r="D1035" s="226">
        <f>+ROUNDUP(SUMIFS('MEMORIA CANTIDADES'!E:E,'MEMORIA CANTIDADES'!B:B,Table28[[#This Row],[DESCRIPCIÓN ]],'MEMORIA CANTIDADES'!C:C,Table28[[#This Row],[UNIDAD]]),0)</f>
        <v>0</v>
      </c>
      <c r="E1035" s="225">
        <f>+VLOOKUP(Table28[[#This Row],[DESCRIPCIÓN ]],INSUMOS!A:D,3,FALSE)</f>
        <v>73061.570000000007</v>
      </c>
      <c r="F1035" s="225">
        <f>+Table28[[#This Row],[CANTIDAD]]*Table28[[#This Row],[VALOR UNITARIO]]</f>
        <v>0</v>
      </c>
    </row>
    <row r="1036" spans="1:6" s="193" customFormat="1" ht="28.8" hidden="1" x14ac:dyDescent="0.3">
      <c r="A1036" s="193">
        <v>194</v>
      </c>
      <c r="B1036" s="193" t="s">
        <v>1043</v>
      </c>
      <c r="C1036" s="193" t="s">
        <v>55</v>
      </c>
      <c r="D1036" s="226">
        <f>+ROUNDUP(SUMIFS('MEMORIA CANTIDADES'!E:E,'MEMORIA CANTIDADES'!B:B,Table28[[#This Row],[DESCRIPCIÓN ]],'MEMORIA CANTIDADES'!C:C,Table28[[#This Row],[UNIDAD]]),0)</f>
        <v>0</v>
      </c>
      <c r="E1036" s="225">
        <f>+VLOOKUP(Table28[[#This Row],[DESCRIPCIÓN ]],INSUMOS!A:D,3,FALSE)</f>
        <v>100175.19</v>
      </c>
      <c r="F1036" s="225">
        <f>+Table28[[#This Row],[CANTIDAD]]*Table28[[#This Row],[VALOR UNITARIO]]</f>
        <v>0</v>
      </c>
    </row>
    <row r="1037" spans="1:6" s="193" customFormat="1" ht="28.8" hidden="1" x14ac:dyDescent="0.3">
      <c r="A1037" s="193">
        <v>195</v>
      </c>
      <c r="B1037" s="193" t="s">
        <v>1044</v>
      </c>
      <c r="C1037" s="193" t="s">
        <v>55</v>
      </c>
      <c r="D1037" s="226">
        <f>+ROUNDUP(SUMIFS('MEMORIA CANTIDADES'!E:E,'MEMORIA CANTIDADES'!B:B,Table28[[#This Row],[DESCRIPCIÓN ]],'MEMORIA CANTIDADES'!C:C,Table28[[#This Row],[UNIDAD]]),0)</f>
        <v>0</v>
      </c>
      <c r="E1037" s="225">
        <f>+VLOOKUP(Table28[[#This Row],[DESCRIPCIÓN ]],INSUMOS!A:D,3,FALSE)</f>
        <v>132210.01</v>
      </c>
      <c r="F1037" s="225">
        <f>+Table28[[#This Row],[CANTIDAD]]*Table28[[#This Row],[VALOR UNITARIO]]</f>
        <v>0</v>
      </c>
    </row>
    <row r="1038" spans="1:6" s="193" customFormat="1" ht="28.8" hidden="1" x14ac:dyDescent="0.3">
      <c r="A1038" s="193">
        <v>196</v>
      </c>
      <c r="B1038" s="193" t="s">
        <v>1045</v>
      </c>
      <c r="C1038" s="193" t="s">
        <v>55</v>
      </c>
      <c r="D1038" s="226">
        <f>+ROUNDUP(SUMIFS('MEMORIA CANTIDADES'!E:E,'MEMORIA CANTIDADES'!B:B,Table28[[#This Row],[DESCRIPCIÓN ]],'MEMORIA CANTIDADES'!C:C,Table28[[#This Row],[UNIDAD]]),0)</f>
        <v>0</v>
      </c>
      <c r="E1038" s="225" t="e">
        <f>+VLOOKUP(Table28[[#This Row],[DESCRIPCIÓN ]],INSUMOS!A:D,3,FALSE)</f>
        <v>#N/A</v>
      </c>
      <c r="F1038" s="225" t="e">
        <f>+Table28[[#This Row],[CANTIDAD]]*Table28[[#This Row],[VALOR UNITARIO]]</f>
        <v>#N/A</v>
      </c>
    </row>
    <row r="1039" spans="1:6" s="193" customFormat="1" ht="28.8" hidden="1" x14ac:dyDescent="0.3">
      <c r="A1039" s="193">
        <v>197</v>
      </c>
      <c r="B1039" s="193" t="s">
        <v>2182</v>
      </c>
      <c r="C1039" s="193" t="s">
        <v>55</v>
      </c>
      <c r="D1039" s="226">
        <f>+ROUNDUP(SUMIFS('MEMORIA CANTIDADES'!E:E,'MEMORIA CANTIDADES'!B:B,Table28[[#This Row],[DESCRIPCIÓN ]],'MEMORIA CANTIDADES'!C:C,Table28[[#This Row],[UNIDAD]]),0)</f>
        <v>0</v>
      </c>
      <c r="E1039" s="225">
        <f>+VLOOKUP(Table28[[#This Row],[DESCRIPCIÓN ]],INSUMOS!A:D,3,FALSE)</f>
        <v>49931.040000000001</v>
      </c>
      <c r="F1039" s="225">
        <f>+Table28[[#This Row],[CANTIDAD]]*Table28[[#This Row],[VALOR UNITARIO]]</f>
        <v>0</v>
      </c>
    </row>
    <row r="1040" spans="1:6" s="193" customFormat="1" ht="28.8" hidden="1" x14ac:dyDescent="0.3">
      <c r="A1040" s="193">
        <v>198</v>
      </c>
      <c r="B1040" s="193" t="s">
        <v>1046</v>
      </c>
      <c r="C1040" s="193" t="s">
        <v>55</v>
      </c>
      <c r="D1040" s="226">
        <f>+ROUNDUP(SUMIFS('MEMORIA CANTIDADES'!E:E,'MEMORIA CANTIDADES'!B:B,Table28[[#This Row],[DESCRIPCIÓN ]],'MEMORIA CANTIDADES'!C:C,Table28[[#This Row],[UNIDAD]]),0)</f>
        <v>0</v>
      </c>
      <c r="E1040" s="225">
        <f>+VLOOKUP(Table28[[#This Row],[DESCRIPCIÓN ]],INSUMOS!A:D,3,FALSE)</f>
        <v>61894.14</v>
      </c>
      <c r="F1040" s="225">
        <f>+Table28[[#This Row],[CANTIDAD]]*Table28[[#This Row],[VALOR UNITARIO]]</f>
        <v>0</v>
      </c>
    </row>
    <row r="1041" spans="1:6" s="193" customFormat="1" ht="28.8" hidden="1" x14ac:dyDescent="0.3">
      <c r="A1041" s="193">
        <v>199</v>
      </c>
      <c r="B1041" s="193" t="s">
        <v>1047</v>
      </c>
      <c r="C1041" s="193" t="s">
        <v>55</v>
      </c>
      <c r="D1041" s="226">
        <f>+ROUNDUP(SUMIFS('MEMORIA CANTIDADES'!E:E,'MEMORIA CANTIDADES'!B:B,Table28[[#This Row],[DESCRIPCIÓN ]],'MEMORIA CANTIDADES'!C:C,Table28[[#This Row],[UNIDAD]]),0)</f>
        <v>0</v>
      </c>
      <c r="E1041" s="225" t="e">
        <f>+VLOOKUP(Table28[[#This Row],[DESCRIPCIÓN ]],INSUMOS!A:D,3,FALSE)</f>
        <v>#N/A</v>
      </c>
      <c r="F1041" s="225" t="e">
        <f>+Table28[[#This Row],[CANTIDAD]]*Table28[[#This Row],[VALOR UNITARIO]]</f>
        <v>#N/A</v>
      </c>
    </row>
    <row r="1042" spans="1:6" s="193" customFormat="1" ht="28.8" hidden="1" x14ac:dyDescent="0.3">
      <c r="A1042" s="193">
        <v>200</v>
      </c>
      <c r="B1042" s="193" t="s">
        <v>2183</v>
      </c>
      <c r="C1042" s="193" t="s">
        <v>55</v>
      </c>
      <c r="D1042" s="226">
        <f>+ROUNDUP(SUMIFS('MEMORIA CANTIDADES'!E:E,'MEMORIA CANTIDADES'!B:B,Table28[[#This Row],[DESCRIPCIÓN ]],'MEMORIA CANTIDADES'!C:C,Table28[[#This Row],[UNIDAD]]),0)</f>
        <v>0</v>
      </c>
      <c r="E1042" s="225">
        <f>+VLOOKUP(Table28[[#This Row],[DESCRIPCIÓN ]],INSUMOS!A:D,3,FALSE)</f>
        <v>109179.61</v>
      </c>
      <c r="F1042" s="225">
        <f>+Table28[[#This Row],[CANTIDAD]]*Table28[[#This Row],[VALOR UNITARIO]]</f>
        <v>0</v>
      </c>
    </row>
    <row r="1043" spans="1:6" s="193" customFormat="1" ht="28.8" hidden="1" x14ac:dyDescent="0.3">
      <c r="A1043" s="193">
        <v>201</v>
      </c>
      <c r="B1043" s="193" t="s">
        <v>1048</v>
      </c>
      <c r="C1043" s="193" t="s">
        <v>55</v>
      </c>
      <c r="D1043" s="226">
        <f>+ROUNDUP(SUMIFS('MEMORIA CANTIDADES'!E:E,'MEMORIA CANTIDADES'!B:B,Table28[[#This Row],[DESCRIPCIÓN ]],'MEMORIA CANTIDADES'!C:C,Table28[[#This Row],[UNIDAD]]),0)</f>
        <v>0</v>
      </c>
      <c r="E1043" s="225">
        <f>+VLOOKUP(Table28[[#This Row],[DESCRIPCIÓN ]],INSUMOS!A:D,3,FALSE)</f>
        <v>420283.05</v>
      </c>
      <c r="F1043" s="225">
        <f>+Table28[[#This Row],[CANTIDAD]]*Table28[[#This Row],[VALOR UNITARIO]]</f>
        <v>0</v>
      </c>
    </row>
    <row r="1044" spans="1:6" s="193" customFormat="1" ht="43.2" hidden="1" x14ac:dyDescent="0.3">
      <c r="A1044" s="193">
        <v>34</v>
      </c>
      <c r="B1044" s="193" t="s">
        <v>1049</v>
      </c>
      <c r="C1044" s="193" t="s">
        <v>1274</v>
      </c>
      <c r="D1044" s="226">
        <f>+ROUNDUP(SUMIFS('MEMORIA CANTIDADES'!E:E,'MEMORIA CANTIDADES'!B:B,Table28[[#This Row],[DESCRIPCIÓN ]],'MEMORIA CANTIDADES'!C:C,Table28[[#This Row],[UNIDAD]]),0)</f>
        <v>0</v>
      </c>
      <c r="E1044" s="225">
        <f>+VLOOKUP(Table28[[#This Row],[DESCRIPCIÓN ]],INSUMOS!A:D,3,FALSE)</f>
        <v>148273.84</v>
      </c>
      <c r="F1044" s="225">
        <f>+Table28[[#This Row],[CANTIDAD]]*Table28[[#This Row],[VALOR UNITARIO]]</f>
        <v>0</v>
      </c>
    </row>
    <row r="1045" spans="1:6" s="193" customFormat="1" ht="28.8" x14ac:dyDescent="0.3">
      <c r="A1045" s="193">
        <v>1252</v>
      </c>
      <c r="B1045" s="193" t="s">
        <v>1097</v>
      </c>
      <c r="C1045" s="193" t="s">
        <v>55</v>
      </c>
      <c r="D1045" s="226">
        <f>+ROUNDUP(SUMIFS('MEMORIA CANTIDADES'!E:E,'MEMORIA CANTIDADES'!B:B,Table28[[#This Row],[DESCRIPCIÓN ]],'MEMORIA CANTIDADES'!C:C,Table28[[#This Row],[UNIDAD]]),0)</f>
        <v>7</v>
      </c>
      <c r="E1045" s="225">
        <f>+VLOOKUP(Table28[[#This Row],[DESCRIPCIÓN ]],INSUMOS!A:D,3,FALSE)</f>
        <v>266150.03000000003</v>
      </c>
      <c r="F1045" s="225">
        <f>+Table28[[#This Row],[CANTIDAD]]*Table28[[#This Row],[VALOR UNITARIO]]</f>
        <v>1863050.2100000002</v>
      </c>
    </row>
    <row r="1046" spans="1:6" s="193" customFormat="1" hidden="1" x14ac:dyDescent="0.3">
      <c r="A1046" s="193">
        <v>202</v>
      </c>
      <c r="B1046" s="193" t="s">
        <v>1051</v>
      </c>
      <c r="C1046" s="193" t="s">
        <v>1269</v>
      </c>
      <c r="D1046" s="226">
        <f>+ROUNDUP(SUMIFS('MEMORIA CANTIDADES'!E:E,'MEMORIA CANTIDADES'!B:B,Table28[[#This Row],[DESCRIPCIÓN ]],'MEMORIA CANTIDADES'!C:C,Table28[[#This Row],[UNIDAD]]),0)</f>
        <v>0</v>
      </c>
      <c r="E1046" s="225">
        <f>+VLOOKUP(Table28[[#This Row],[DESCRIPCIÓN ]],INSUMOS!A:D,3,FALSE)</f>
        <v>59907.92</v>
      </c>
      <c r="F1046" s="225">
        <f>+Table28[[#This Row],[CANTIDAD]]*Table28[[#This Row],[VALOR UNITARIO]]</f>
        <v>0</v>
      </c>
    </row>
    <row r="1047" spans="1:6" s="193" customFormat="1" ht="28.8" hidden="1" x14ac:dyDescent="0.3">
      <c r="A1047" s="193">
        <v>203</v>
      </c>
      <c r="B1047" s="193" t="s">
        <v>1052</v>
      </c>
      <c r="C1047" s="193" t="s">
        <v>55</v>
      </c>
      <c r="D1047" s="226">
        <f>+ROUNDUP(SUMIFS('MEMORIA CANTIDADES'!E:E,'MEMORIA CANTIDADES'!B:B,Table28[[#This Row],[DESCRIPCIÓN ]],'MEMORIA CANTIDADES'!C:C,Table28[[#This Row],[UNIDAD]]),0)</f>
        <v>0</v>
      </c>
      <c r="E1047" s="225">
        <f>+VLOOKUP(Table28[[#This Row],[DESCRIPCIÓN ]],INSUMOS!A:D,3,FALSE)</f>
        <v>109578.68</v>
      </c>
      <c r="F1047" s="225">
        <f>+Table28[[#This Row],[CANTIDAD]]*Table28[[#This Row],[VALOR UNITARIO]]</f>
        <v>0</v>
      </c>
    </row>
    <row r="1048" spans="1:6" s="193" customFormat="1" ht="28.8" hidden="1" x14ac:dyDescent="0.3">
      <c r="A1048" s="193">
        <v>204</v>
      </c>
      <c r="B1048" s="193" t="s">
        <v>1053</v>
      </c>
      <c r="C1048" s="193" t="s">
        <v>55</v>
      </c>
      <c r="D1048" s="226">
        <f>+ROUNDUP(SUMIFS('MEMORIA CANTIDADES'!E:E,'MEMORIA CANTIDADES'!B:B,Table28[[#This Row],[DESCRIPCIÓN ]],'MEMORIA CANTIDADES'!C:C,Table28[[#This Row],[UNIDAD]]),0)</f>
        <v>0</v>
      </c>
      <c r="E1048" s="225">
        <f>+VLOOKUP(Table28[[#This Row],[DESCRIPCIÓN ]],INSUMOS!A:D,3,FALSE)</f>
        <v>198817.76</v>
      </c>
      <c r="F1048" s="225">
        <f>+Table28[[#This Row],[CANTIDAD]]*Table28[[#This Row],[VALOR UNITARIO]]</f>
        <v>0</v>
      </c>
    </row>
    <row r="1049" spans="1:6" s="193" customFormat="1" hidden="1" x14ac:dyDescent="0.3">
      <c r="A1049" s="193">
        <v>646</v>
      </c>
      <c r="B1049" s="193" t="s">
        <v>1054</v>
      </c>
      <c r="C1049" s="193" t="s">
        <v>1276</v>
      </c>
      <c r="D1049" s="226">
        <f>+ROUNDUP(SUMIFS('MEMORIA CANTIDADES'!E:E,'MEMORIA CANTIDADES'!B:B,Table28[[#This Row],[DESCRIPCIÓN ]],'MEMORIA CANTIDADES'!C:C,Table28[[#This Row],[UNIDAD]]),0)</f>
        <v>0</v>
      </c>
      <c r="E1049" s="225">
        <f>+VLOOKUP(Table28[[#This Row],[DESCRIPCIÓN ]],INSUMOS!A:D,3,FALSE)</f>
        <v>53120.160000000003</v>
      </c>
      <c r="F1049" s="225">
        <f>+Table28[[#This Row],[CANTIDAD]]*Table28[[#This Row],[VALOR UNITARIO]]</f>
        <v>0</v>
      </c>
    </row>
    <row r="1050" spans="1:6" s="193" customFormat="1" hidden="1" x14ac:dyDescent="0.3">
      <c r="A1050" s="193">
        <v>346</v>
      </c>
      <c r="B1050" s="193" t="s">
        <v>1055</v>
      </c>
      <c r="C1050" s="193" t="s">
        <v>1269</v>
      </c>
      <c r="D1050" s="226">
        <f>+ROUNDUP(SUMIFS('MEMORIA CANTIDADES'!E:E,'MEMORIA CANTIDADES'!B:B,Table28[[#This Row],[DESCRIPCIÓN ]],'MEMORIA CANTIDADES'!C:C,Table28[[#This Row],[UNIDAD]]),0)</f>
        <v>0</v>
      </c>
      <c r="E1050" s="225">
        <f>+VLOOKUP(Table28[[#This Row],[DESCRIPCIÓN ]],INSUMOS!A:D,3,FALSE)</f>
        <v>22019.24</v>
      </c>
      <c r="F1050" s="225">
        <f>+Table28[[#This Row],[CANTIDAD]]*Table28[[#This Row],[VALOR UNITARIO]]</f>
        <v>0</v>
      </c>
    </row>
    <row r="1051" spans="1:6" s="193" customFormat="1" hidden="1" x14ac:dyDescent="0.3">
      <c r="A1051" s="193">
        <v>347</v>
      </c>
      <c r="B1051" s="193" t="s">
        <v>1056</v>
      </c>
      <c r="C1051" s="193" t="s">
        <v>1269</v>
      </c>
      <c r="D1051" s="226">
        <f>+ROUNDUP(SUMIFS('MEMORIA CANTIDADES'!E:E,'MEMORIA CANTIDADES'!B:B,Table28[[#This Row],[DESCRIPCIÓN ]],'MEMORIA CANTIDADES'!C:C,Table28[[#This Row],[UNIDAD]]),0)</f>
        <v>0</v>
      </c>
      <c r="E1051" s="225">
        <f>+VLOOKUP(Table28[[#This Row],[DESCRIPCIÓN ]],INSUMOS!A:D,3,FALSE)</f>
        <v>11266.4</v>
      </c>
      <c r="F1051" s="225">
        <f>+Table28[[#This Row],[CANTIDAD]]*Table28[[#This Row],[VALOR UNITARIO]]</f>
        <v>0</v>
      </c>
    </row>
    <row r="1052" spans="1:6" s="193" customFormat="1" hidden="1" x14ac:dyDescent="0.3">
      <c r="A1052" s="193">
        <v>348</v>
      </c>
      <c r="B1052" s="193" t="s">
        <v>1057</v>
      </c>
      <c r="C1052" s="193" t="s">
        <v>1269</v>
      </c>
      <c r="D1052" s="226">
        <f>+ROUNDUP(SUMIFS('MEMORIA CANTIDADES'!E:E,'MEMORIA CANTIDADES'!B:B,Table28[[#This Row],[DESCRIPCIÓN ]],'MEMORIA CANTIDADES'!C:C,Table28[[#This Row],[UNIDAD]]),0)</f>
        <v>0</v>
      </c>
      <c r="E1052" s="225">
        <f>+VLOOKUP(Table28[[#This Row],[DESCRIPCIÓN ]],INSUMOS!A:D,3,FALSE)</f>
        <v>23495.200000000001</v>
      </c>
      <c r="F1052" s="225">
        <f>+Table28[[#This Row],[CANTIDAD]]*Table28[[#This Row],[VALOR UNITARIO]]</f>
        <v>0</v>
      </c>
    </row>
    <row r="1053" spans="1:6" s="193" customFormat="1" hidden="1" x14ac:dyDescent="0.3">
      <c r="A1053" s="193">
        <v>349</v>
      </c>
      <c r="B1053" s="193" t="s">
        <v>1058</v>
      </c>
      <c r="C1053" s="193" t="s">
        <v>1269</v>
      </c>
      <c r="D1053" s="226">
        <f>+ROUNDUP(SUMIFS('MEMORIA CANTIDADES'!E:E,'MEMORIA CANTIDADES'!B:B,Table28[[#This Row],[DESCRIPCIÓN ]],'MEMORIA CANTIDADES'!C:C,Table28[[#This Row],[UNIDAD]]),0)</f>
        <v>0</v>
      </c>
      <c r="E1053" s="225">
        <f>+VLOOKUP(Table28[[#This Row],[DESCRIPCIÓN ]],INSUMOS!A:D,3,FALSE)</f>
        <v>38330.04</v>
      </c>
      <c r="F1053" s="225">
        <f>+Table28[[#This Row],[CANTIDAD]]*Table28[[#This Row],[VALOR UNITARIO]]</f>
        <v>0</v>
      </c>
    </row>
    <row r="1054" spans="1:6" s="193" customFormat="1" hidden="1" x14ac:dyDescent="0.3">
      <c r="A1054" s="193">
        <v>350</v>
      </c>
      <c r="B1054" s="193" t="s">
        <v>1059</v>
      </c>
      <c r="C1054" s="193" t="s">
        <v>1269</v>
      </c>
      <c r="D1054" s="226">
        <f>+ROUNDUP(SUMIFS('MEMORIA CANTIDADES'!E:E,'MEMORIA CANTIDADES'!B:B,Table28[[#This Row],[DESCRIPCIÓN ]],'MEMORIA CANTIDADES'!C:C,Table28[[#This Row],[UNIDAD]]),0)</f>
        <v>0</v>
      </c>
      <c r="E1054" s="225" t="e">
        <f>+VLOOKUP(Table28[[#This Row],[DESCRIPCIÓN ]],INSUMOS!A:D,3,FALSE)</f>
        <v>#N/A</v>
      </c>
      <c r="F1054" s="225" t="e">
        <f>+Table28[[#This Row],[CANTIDAD]]*Table28[[#This Row],[VALOR UNITARIO]]</f>
        <v>#N/A</v>
      </c>
    </row>
    <row r="1055" spans="1:6" s="193" customFormat="1" ht="28.8" hidden="1" x14ac:dyDescent="0.3">
      <c r="A1055" s="193">
        <v>1219</v>
      </c>
      <c r="B1055" s="193" t="s">
        <v>1060</v>
      </c>
      <c r="C1055" s="193" t="s">
        <v>55</v>
      </c>
      <c r="D1055" s="226">
        <f>+ROUNDUP(SUMIFS('MEMORIA CANTIDADES'!E:E,'MEMORIA CANTIDADES'!B:B,Table28[[#This Row],[DESCRIPCIÓN ]],'MEMORIA CANTIDADES'!C:C,Table28[[#This Row],[UNIDAD]]),0)</f>
        <v>0</v>
      </c>
      <c r="E1055" s="225" t="e">
        <f>+VLOOKUP(Table28[[#This Row],[DESCRIPCIÓN ]],INSUMOS!A:D,3,FALSE)</f>
        <v>#N/A</v>
      </c>
      <c r="F1055" s="225" t="e">
        <f>+Table28[[#This Row],[CANTIDAD]]*Table28[[#This Row],[VALOR UNITARIO]]</f>
        <v>#N/A</v>
      </c>
    </row>
    <row r="1056" spans="1:6" s="193" customFormat="1" ht="28.8" hidden="1" x14ac:dyDescent="0.3">
      <c r="A1056" s="193">
        <v>648</v>
      </c>
      <c r="B1056" s="193" t="s">
        <v>1061</v>
      </c>
      <c r="C1056" s="193" t="s">
        <v>55</v>
      </c>
      <c r="D1056" s="226">
        <f>+ROUNDUP(SUMIFS('MEMORIA CANTIDADES'!E:E,'MEMORIA CANTIDADES'!B:B,Table28[[#This Row],[DESCRIPCIÓN ]],'MEMORIA CANTIDADES'!C:C,Table28[[#This Row],[UNIDAD]]),0)</f>
        <v>0</v>
      </c>
      <c r="E1056" s="225">
        <f>+VLOOKUP(Table28[[#This Row],[DESCRIPCIÓN ]],INSUMOS!A:D,3,FALSE)</f>
        <v>384.06</v>
      </c>
      <c r="F1056" s="225">
        <f>+Table28[[#This Row],[CANTIDAD]]*Table28[[#This Row],[VALOR UNITARIO]]</f>
        <v>0</v>
      </c>
    </row>
    <row r="1057" spans="1:6" s="193" customFormat="1" ht="28.8" hidden="1" x14ac:dyDescent="0.3">
      <c r="A1057" s="193">
        <v>647</v>
      </c>
      <c r="B1057" s="193" t="s">
        <v>1062</v>
      </c>
      <c r="C1057" s="193" t="s">
        <v>55</v>
      </c>
      <c r="D1057" s="226">
        <f>+ROUNDUP(SUMIFS('MEMORIA CANTIDADES'!E:E,'MEMORIA CANTIDADES'!B:B,Table28[[#This Row],[DESCRIPCIÓN ]],'MEMORIA CANTIDADES'!C:C,Table28[[#This Row],[UNIDAD]]),0)</f>
        <v>0</v>
      </c>
      <c r="E1057" s="225">
        <f>+VLOOKUP(Table28[[#This Row],[DESCRIPCIÓN ]],INSUMOS!A:D,3,FALSE)</f>
        <v>635.47</v>
      </c>
      <c r="F1057" s="225">
        <f>+Table28[[#This Row],[CANTIDAD]]*Table28[[#This Row],[VALOR UNITARIO]]</f>
        <v>0</v>
      </c>
    </row>
    <row r="1058" spans="1:6" s="193" customFormat="1" ht="28.8" hidden="1" x14ac:dyDescent="0.3">
      <c r="A1058" s="193">
        <v>650</v>
      </c>
      <c r="B1058" s="193" t="s">
        <v>1063</v>
      </c>
      <c r="C1058" s="193" t="s">
        <v>55</v>
      </c>
      <c r="D1058" s="226">
        <f>+ROUNDUP(SUMIFS('MEMORIA CANTIDADES'!E:E,'MEMORIA CANTIDADES'!B:B,Table28[[#This Row],[DESCRIPCIÓN ]],'MEMORIA CANTIDADES'!C:C,Table28[[#This Row],[UNIDAD]]),0)</f>
        <v>0</v>
      </c>
      <c r="E1058" s="225">
        <f>+VLOOKUP(Table28[[#This Row],[DESCRIPCIÓN ]],INSUMOS!A:D,3,FALSE)</f>
        <v>326.94</v>
      </c>
      <c r="F1058" s="225">
        <f>+Table28[[#This Row],[CANTIDAD]]*Table28[[#This Row],[VALOR UNITARIO]]</f>
        <v>0</v>
      </c>
    </row>
    <row r="1059" spans="1:6" s="193" customFormat="1" ht="28.8" hidden="1" x14ac:dyDescent="0.3">
      <c r="A1059" s="193">
        <v>649</v>
      </c>
      <c r="B1059" s="193" t="s">
        <v>1064</v>
      </c>
      <c r="C1059" s="193" t="s">
        <v>55</v>
      </c>
      <c r="D1059" s="226">
        <f>+ROUNDUP(SUMIFS('MEMORIA CANTIDADES'!E:E,'MEMORIA CANTIDADES'!B:B,Table28[[#This Row],[DESCRIPCIÓN ]],'MEMORIA CANTIDADES'!C:C,Table28[[#This Row],[UNIDAD]]),0)</f>
        <v>0</v>
      </c>
      <c r="E1059" s="225">
        <f>+VLOOKUP(Table28[[#This Row],[DESCRIPCIÓN ]],INSUMOS!A:D,3,FALSE)</f>
        <v>433.9</v>
      </c>
      <c r="F1059" s="225">
        <f>+Table28[[#This Row],[CANTIDAD]]*Table28[[#This Row],[VALOR UNITARIO]]</f>
        <v>0</v>
      </c>
    </row>
    <row r="1060" spans="1:6" s="193" customFormat="1" ht="28.8" hidden="1" x14ac:dyDescent="0.3">
      <c r="A1060" s="193">
        <v>651</v>
      </c>
      <c r="B1060" s="193" t="s">
        <v>1065</v>
      </c>
      <c r="C1060" s="193" t="s">
        <v>55</v>
      </c>
      <c r="D1060" s="226">
        <f>+ROUNDUP(SUMIFS('MEMORIA CANTIDADES'!E:E,'MEMORIA CANTIDADES'!B:B,Table28[[#This Row],[DESCRIPCIÓN ]],'MEMORIA CANTIDADES'!C:C,Table28[[#This Row],[UNIDAD]]),0)</f>
        <v>0</v>
      </c>
      <c r="E1060" s="225">
        <f>+VLOOKUP(Table28[[#This Row],[DESCRIPCIÓN ]],INSUMOS!A:D,3,FALSE)</f>
        <v>397.48</v>
      </c>
      <c r="F1060" s="225">
        <f>+Table28[[#This Row],[CANTIDAD]]*Table28[[#This Row],[VALOR UNITARIO]]</f>
        <v>0</v>
      </c>
    </row>
    <row r="1061" spans="1:6" s="193" customFormat="1" ht="28.8" hidden="1" x14ac:dyDescent="0.3">
      <c r="A1061" s="193">
        <v>654</v>
      </c>
      <c r="B1061" s="193" t="s">
        <v>1066</v>
      </c>
      <c r="C1061" s="193" t="s">
        <v>55</v>
      </c>
      <c r="D1061" s="226">
        <f>+ROUNDUP(SUMIFS('MEMORIA CANTIDADES'!E:E,'MEMORIA CANTIDADES'!B:B,Table28[[#This Row],[DESCRIPCIÓN ]],'MEMORIA CANTIDADES'!C:C,Table28[[#This Row],[UNIDAD]]),0)</f>
        <v>0</v>
      </c>
      <c r="E1061" s="225">
        <f>+VLOOKUP(Table28[[#This Row],[DESCRIPCIÓN ]],INSUMOS!A:D,3,FALSE)</f>
        <v>410.23</v>
      </c>
      <c r="F1061" s="225">
        <f>+Table28[[#This Row],[CANTIDAD]]*Table28[[#This Row],[VALOR UNITARIO]]</f>
        <v>0</v>
      </c>
    </row>
    <row r="1062" spans="1:6" s="193" customFormat="1" ht="28.8" hidden="1" x14ac:dyDescent="0.3">
      <c r="A1062" s="193">
        <v>653</v>
      </c>
      <c r="B1062" s="193" t="s">
        <v>1067</v>
      </c>
      <c r="C1062" s="193" t="s">
        <v>55</v>
      </c>
      <c r="D1062" s="226">
        <f>+ROUNDUP(SUMIFS('MEMORIA CANTIDADES'!E:E,'MEMORIA CANTIDADES'!B:B,Table28[[#This Row],[DESCRIPCIÓN ]],'MEMORIA CANTIDADES'!C:C,Table28[[#This Row],[UNIDAD]]),0)</f>
        <v>0</v>
      </c>
      <c r="E1062" s="225">
        <f>+VLOOKUP(Table28[[#This Row],[DESCRIPCIÓN ]],INSUMOS!A:D,3,FALSE)</f>
        <v>294.19</v>
      </c>
      <c r="F1062" s="225">
        <f>+Table28[[#This Row],[CANTIDAD]]*Table28[[#This Row],[VALOR UNITARIO]]</f>
        <v>0</v>
      </c>
    </row>
    <row r="1063" spans="1:6" s="193" customFormat="1" ht="28.8" hidden="1" x14ac:dyDescent="0.3">
      <c r="A1063" s="193">
        <v>652</v>
      </c>
      <c r="B1063" s="193" t="s">
        <v>1068</v>
      </c>
      <c r="C1063" s="193" t="s">
        <v>55</v>
      </c>
      <c r="D1063" s="226">
        <f>+ROUNDUP(SUMIFS('MEMORIA CANTIDADES'!E:E,'MEMORIA CANTIDADES'!B:B,Table28[[#This Row],[DESCRIPCIÓN ]],'MEMORIA CANTIDADES'!C:C,Table28[[#This Row],[UNIDAD]]),0)</f>
        <v>0</v>
      </c>
      <c r="E1063" s="225">
        <f>+VLOOKUP(Table28[[#This Row],[DESCRIPCIÓN ]],INSUMOS!A:D,3,FALSE)</f>
        <v>258.14</v>
      </c>
      <c r="F1063" s="225">
        <f>+Table28[[#This Row],[CANTIDAD]]*Table28[[#This Row],[VALOR UNITARIO]]</f>
        <v>0</v>
      </c>
    </row>
    <row r="1064" spans="1:6" s="193" customFormat="1" hidden="1" x14ac:dyDescent="0.3">
      <c r="A1064" s="193">
        <v>655</v>
      </c>
      <c r="B1064" s="193" t="s">
        <v>1069</v>
      </c>
      <c r="C1064" s="193" t="s">
        <v>55</v>
      </c>
      <c r="D1064" s="226">
        <f>+ROUNDUP(SUMIFS('MEMORIA CANTIDADES'!E:E,'MEMORIA CANTIDADES'!B:B,Table28[[#This Row],[DESCRIPCIÓN ]],'MEMORIA CANTIDADES'!C:C,Table28[[#This Row],[UNIDAD]]),0)</f>
        <v>0</v>
      </c>
      <c r="E1064" s="225">
        <f>+VLOOKUP(Table28[[#This Row],[DESCRIPCIÓN ]],INSUMOS!A:D,3,FALSE)</f>
        <v>115.43</v>
      </c>
      <c r="F1064" s="225">
        <f>+Table28[[#This Row],[CANTIDAD]]*Table28[[#This Row],[VALOR UNITARIO]]</f>
        <v>0</v>
      </c>
    </row>
    <row r="1065" spans="1:6" s="193" customFormat="1" ht="28.8" hidden="1" x14ac:dyDescent="0.3">
      <c r="A1065" s="193">
        <v>658</v>
      </c>
      <c r="B1065" s="193" t="s">
        <v>1070</v>
      </c>
      <c r="C1065" s="193" t="s">
        <v>55</v>
      </c>
      <c r="D1065" s="226">
        <f>+ROUNDUP(SUMIFS('MEMORIA CANTIDADES'!E:E,'MEMORIA CANTIDADES'!B:B,Table28[[#This Row],[DESCRIPCIÓN ]],'MEMORIA CANTIDADES'!C:C,Table28[[#This Row],[UNIDAD]]),0)</f>
        <v>0</v>
      </c>
      <c r="E1065" s="225">
        <f>+VLOOKUP(Table28[[#This Row],[DESCRIPCIÓN ]],INSUMOS!A:D,3,FALSE)</f>
        <v>422.13</v>
      </c>
      <c r="F1065" s="225">
        <f>+Table28[[#This Row],[CANTIDAD]]*Table28[[#This Row],[VALOR UNITARIO]]</f>
        <v>0</v>
      </c>
    </row>
    <row r="1066" spans="1:6" s="193" customFormat="1" ht="28.8" hidden="1" x14ac:dyDescent="0.3">
      <c r="A1066" s="193">
        <v>656</v>
      </c>
      <c r="B1066" s="193" t="s">
        <v>1071</v>
      </c>
      <c r="C1066" s="193" t="s">
        <v>55</v>
      </c>
      <c r="D1066" s="226">
        <f>+ROUNDUP(SUMIFS('MEMORIA CANTIDADES'!E:E,'MEMORIA CANTIDADES'!B:B,Table28[[#This Row],[DESCRIPCIÓN ]],'MEMORIA CANTIDADES'!C:C,Table28[[#This Row],[UNIDAD]]),0)</f>
        <v>0</v>
      </c>
      <c r="E1066" s="225">
        <f>+VLOOKUP(Table28[[#This Row],[DESCRIPCIÓN ]],INSUMOS!A:D,3,FALSE)</f>
        <v>163.07</v>
      </c>
      <c r="F1066" s="225">
        <f>+Table28[[#This Row],[CANTIDAD]]*Table28[[#This Row],[VALOR UNITARIO]]</f>
        <v>0</v>
      </c>
    </row>
    <row r="1067" spans="1:6" s="193" customFormat="1" ht="28.8" hidden="1" x14ac:dyDescent="0.3">
      <c r="A1067" s="193">
        <v>657</v>
      </c>
      <c r="B1067" s="193" t="s">
        <v>1072</v>
      </c>
      <c r="C1067" s="193" t="s">
        <v>55</v>
      </c>
      <c r="D1067" s="226">
        <f>+ROUNDUP(SUMIFS('MEMORIA CANTIDADES'!E:E,'MEMORIA CANTIDADES'!B:B,Table28[[#This Row],[DESCRIPCIÓN ]],'MEMORIA CANTIDADES'!C:C,Table28[[#This Row],[UNIDAD]]),0)</f>
        <v>0</v>
      </c>
      <c r="E1067" s="225">
        <f>+VLOOKUP(Table28[[#This Row],[DESCRIPCIÓN ]],INSUMOS!A:D,3,FALSE)</f>
        <v>165.59</v>
      </c>
      <c r="F1067" s="225">
        <f>+Table28[[#This Row],[CANTIDAD]]*Table28[[#This Row],[VALOR UNITARIO]]</f>
        <v>0</v>
      </c>
    </row>
    <row r="1068" spans="1:6" s="193" customFormat="1" ht="28.8" hidden="1" x14ac:dyDescent="0.3">
      <c r="A1068" s="193">
        <v>677</v>
      </c>
      <c r="B1068" s="193" t="s">
        <v>1073</v>
      </c>
      <c r="C1068" s="193" t="s">
        <v>55</v>
      </c>
      <c r="D1068" s="226">
        <f>+ROUNDUP(SUMIFS('MEMORIA CANTIDADES'!E:E,'MEMORIA CANTIDADES'!B:B,Table28[[#This Row],[DESCRIPCIÓN ]],'MEMORIA CANTIDADES'!C:C,Table28[[#This Row],[UNIDAD]]),0)</f>
        <v>0</v>
      </c>
      <c r="E1068" s="225">
        <f>+VLOOKUP(Table28[[#This Row],[DESCRIPCIÓN ]],INSUMOS!A:D,3,FALSE)</f>
        <v>170.37</v>
      </c>
      <c r="F1068" s="225">
        <f>+Table28[[#This Row],[CANTIDAD]]*Table28[[#This Row],[VALOR UNITARIO]]</f>
        <v>0</v>
      </c>
    </row>
    <row r="1069" spans="1:6" s="193" customFormat="1" hidden="1" x14ac:dyDescent="0.3">
      <c r="A1069" s="193">
        <v>675</v>
      </c>
      <c r="B1069" s="193" t="s">
        <v>1074</v>
      </c>
      <c r="C1069" s="193" t="s">
        <v>55</v>
      </c>
      <c r="D1069" s="226">
        <f>+ROUNDUP(SUMIFS('MEMORIA CANTIDADES'!E:E,'MEMORIA CANTIDADES'!B:B,Table28[[#This Row],[DESCRIPCIÓN ]],'MEMORIA CANTIDADES'!C:C,Table28[[#This Row],[UNIDAD]]),0)</f>
        <v>0</v>
      </c>
      <c r="E1069" s="225">
        <f>+VLOOKUP(Table28[[#This Row],[DESCRIPCIÓN ]],INSUMOS!A:D,3,FALSE)</f>
        <v>145.66999999999999</v>
      </c>
      <c r="F1069" s="225">
        <f>+Table28[[#This Row],[CANTIDAD]]*Table28[[#This Row],[VALOR UNITARIO]]</f>
        <v>0</v>
      </c>
    </row>
    <row r="1070" spans="1:6" s="193" customFormat="1" hidden="1" x14ac:dyDescent="0.3">
      <c r="A1070" s="193">
        <v>676</v>
      </c>
      <c r="B1070" s="193" t="s">
        <v>1075</v>
      </c>
      <c r="C1070" s="193" t="s">
        <v>55</v>
      </c>
      <c r="D1070" s="226">
        <f>+ROUNDUP(SUMIFS('MEMORIA CANTIDADES'!E:E,'MEMORIA CANTIDADES'!B:B,Table28[[#This Row],[DESCRIPCIÓN ]],'MEMORIA CANTIDADES'!C:C,Table28[[#This Row],[UNIDAD]]),0)</f>
        <v>0</v>
      </c>
      <c r="E1070" s="225">
        <f>+VLOOKUP(Table28[[#This Row],[DESCRIPCIÓN ]],INSUMOS!A:D,3,FALSE)</f>
        <v>259.52999999999997</v>
      </c>
      <c r="F1070" s="225">
        <f>+Table28[[#This Row],[CANTIDAD]]*Table28[[#This Row],[VALOR UNITARIO]]</f>
        <v>0</v>
      </c>
    </row>
    <row r="1071" spans="1:6" s="193" customFormat="1" hidden="1" x14ac:dyDescent="0.3">
      <c r="A1071" s="193">
        <v>660</v>
      </c>
      <c r="B1071" s="193" t="s">
        <v>1076</v>
      </c>
      <c r="C1071" s="193" t="s">
        <v>55</v>
      </c>
      <c r="D1071" s="226">
        <f>+ROUNDUP(SUMIFS('MEMORIA CANTIDADES'!E:E,'MEMORIA CANTIDADES'!B:B,Table28[[#This Row],[DESCRIPCIÓN ]],'MEMORIA CANTIDADES'!C:C,Table28[[#This Row],[UNIDAD]]),0)</f>
        <v>0</v>
      </c>
      <c r="E1071" s="225">
        <f>+VLOOKUP(Table28[[#This Row],[DESCRIPCIÓN ]],INSUMOS!A:D,3,FALSE)</f>
        <v>205.84</v>
      </c>
      <c r="F1071" s="225">
        <f>+Table28[[#This Row],[CANTIDAD]]*Table28[[#This Row],[VALOR UNITARIO]]</f>
        <v>0</v>
      </c>
    </row>
    <row r="1072" spans="1:6" s="193" customFormat="1" hidden="1" x14ac:dyDescent="0.3">
      <c r="A1072" s="193">
        <v>659</v>
      </c>
      <c r="B1072" s="193" t="s">
        <v>1077</v>
      </c>
      <c r="C1072" s="193" t="s">
        <v>55</v>
      </c>
      <c r="D1072" s="226">
        <f>+ROUNDUP(SUMIFS('MEMORIA CANTIDADES'!E:E,'MEMORIA CANTIDADES'!B:B,Table28[[#This Row],[DESCRIPCIÓN ]],'MEMORIA CANTIDADES'!C:C,Table28[[#This Row],[UNIDAD]]),0)</f>
        <v>0</v>
      </c>
      <c r="E1072" s="225">
        <f>+VLOOKUP(Table28[[#This Row],[DESCRIPCIÓN ]],INSUMOS!A:D,3,FALSE)</f>
        <v>171.13</v>
      </c>
      <c r="F1072" s="225">
        <f>+Table28[[#This Row],[CANTIDAD]]*Table28[[#This Row],[VALOR UNITARIO]]</f>
        <v>0</v>
      </c>
    </row>
    <row r="1073" spans="1:6" s="193" customFormat="1" hidden="1" x14ac:dyDescent="0.3">
      <c r="A1073" s="193">
        <v>661</v>
      </c>
      <c r="B1073" s="193" t="s">
        <v>1078</v>
      </c>
      <c r="C1073" s="193" t="s">
        <v>55</v>
      </c>
      <c r="D1073" s="226">
        <f>+ROUNDUP(SUMIFS('MEMORIA CANTIDADES'!E:E,'MEMORIA CANTIDADES'!B:B,Table28[[#This Row],[DESCRIPCIÓN ]],'MEMORIA CANTIDADES'!C:C,Table28[[#This Row],[UNIDAD]]),0)</f>
        <v>0</v>
      </c>
      <c r="E1073" s="225">
        <f>+VLOOKUP(Table28[[#This Row],[DESCRIPCIÓN ]],INSUMOS!A:D,3,FALSE)</f>
        <v>191</v>
      </c>
      <c r="F1073" s="225">
        <f>+Table28[[#This Row],[CANTIDAD]]*Table28[[#This Row],[VALOR UNITARIO]]</f>
        <v>0</v>
      </c>
    </row>
    <row r="1074" spans="1:6" s="193" customFormat="1" hidden="1" x14ac:dyDescent="0.3">
      <c r="A1074" s="193">
        <v>664</v>
      </c>
      <c r="B1074" s="193" t="s">
        <v>1079</v>
      </c>
      <c r="C1074" s="193" t="s">
        <v>55</v>
      </c>
      <c r="D1074" s="226">
        <f>+ROUNDUP(SUMIFS('MEMORIA CANTIDADES'!E:E,'MEMORIA CANTIDADES'!B:B,Table28[[#This Row],[DESCRIPCIÓN ]],'MEMORIA CANTIDADES'!C:C,Table28[[#This Row],[UNIDAD]]),0)</f>
        <v>0</v>
      </c>
      <c r="E1074" s="225">
        <f>+VLOOKUP(Table28[[#This Row],[DESCRIPCIÓN ]],INSUMOS!A:D,3,FALSE)</f>
        <v>1603.7</v>
      </c>
      <c r="F1074" s="225">
        <f>+Table28[[#This Row],[CANTIDAD]]*Table28[[#This Row],[VALOR UNITARIO]]</f>
        <v>0</v>
      </c>
    </row>
    <row r="1075" spans="1:6" s="193" customFormat="1" hidden="1" x14ac:dyDescent="0.3">
      <c r="A1075" s="193">
        <v>667</v>
      </c>
      <c r="B1075" s="193" t="s">
        <v>1080</v>
      </c>
      <c r="C1075" s="193" t="s">
        <v>55</v>
      </c>
      <c r="D1075" s="226">
        <f>+ROUNDUP(SUMIFS('MEMORIA CANTIDADES'!E:E,'MEMORIA CANTIDADES'!B:B,Table28[[#This Row],[DESCRIPCIÓN ]],'MEMORIA CANTIDADES'!C:C,Table28[[#This Row],[UNIDAD]]),0)</f>
        <v>0</v>
      </c>
      <c r="E1075" s="225">
        <f>+VLOOKUP(Table28[[#This Row],[DESCRIPCIÓN ]],INSUMOS!A:D,3,FALSE)</f>
        <v>692.42</v>
      </c>
      <c r="F1075" s="225">
        <f>+Table28[[#This Row],[CANTIDAD]]*Table28[[#This Row],[VALOR UNITARIO]]</f>
        <v>0</v>
      </c>
    </row>
    <row r="1076" spans="1:6" s="193" customFormat="1" hidden="1" x14ac:dyDescent="0.3">
      <c r="A1076" s="193">
        <v>666</v>
      </c>
      <c r="B1076" s="193" t="s">
        <v>1081</v>
      </c>
      <c r="C1076" s="193" t="s">
        <v>55</v>
      </c>
      <c r="D1076" s="226">
        <f>+ROUNDUP(SUMIFS('MEMORIA CANTIDADES'!E:E,'MEMORIA CANTIDADES'!B:B,Table28[[#This Row],[DESCRIPCIÓN ]],'MEMORIA CANTIDADES'!C:C,Table28[[#This Row],[UNIDAD]]),0)</f>
        <v>0</v>
      </c>
      <c r="E1076" s="225">
        <f>+VLOOKUP(Table28[[#This Row],[DESCRIPCIÓN ]],INSUMOS!A:D,3,FALSE)</f>
        <v>786.64</v>
      </c>
      <c r="F1076" s="225">
        <f>+Table28[[#This Row],[CANTIDAD]]*Table28[[#This Row],[VALOR UNITARIO]]</f>
        <v>0</v>
      </c>
    </row>
    <row r="1077" spans="1:6" s="193" customFormat="1" hidden="1" x14ac:dyDescent="0.3">
      <c r="A1077" s="193">
        <v>665</v>
      </c>
      <c r="B1077" s="193" t="s">
        <v>1082</v>
      </c>
      <c r="C1077" s="193" t="s">
        <v>55</v>
      </c>
      <c r="D1077" s="226">
        <f>+ROUNDUP(SUMIFS('MEMORIA CANTIDADES'!E:E,'MEMORIA CANTIDADES'!B:B,Table28[[#This Row],[DESCRIPCIÓN ]],'MEMORIA CANTIDADES'!C:C,Table28[[#This Row],[UNIDAD]]),0)</f>
        <v>0</v>
      </c>
      <c r="E1077" s="225">
        <f>+VLOOKUP(Table28[[#This Row],[DESCRIPCIÓN ]],INSUMOS!A:D,3,FALSE)</f>
        <v>42.44</v>
      </c>
      <c r="F1077" s="225">
        <f>+Table28[[#This Row],[CANTIDAD]]*Table28[[#This Row],[VALOR UNITARIO]]</f>
        <v>0</v>
      </c>
    </row>
    <row r="1078" spans="1:6" s="193" customFormat="1" hidden="1" x14ac:dyDescent="0.3">
      <c r="A1078" s="193">
        <v>663</v>
      </c>
      <c r="B1078" s="193" t="s">
        <v>1083</v>
      </c>
      <c r="C1078" s="193" t="s">
        <v>55</v>
      </c>
      <c r="D1078" s="226">
        <f>+ROUNDUP(SUMIFS('MEMORIA CANTIDADES'!E:E,'MEMORIA CANTIDADES'!B:B,Table28[[#This Row],[DESCRIPCIÓN ]],'MEMORIA CANTIDADES'!C:C,Table28[[#This Row],[UNIDAD]]),0)</f>
        <v>0</v>
      </c>
      <c r="E1078" s="225" t="e">
        <f>+VLOOKUP(Table28[[#This Row],[DESCRIPCIÓN ]],INSUMOS!A:D,3,FALSE)</f>
        <v>#N/A</v>
      </c>
      <c r="F1078" s="225" t="e">
        <f>+Table28[[#This Row],[CANTIDAD]]*Table28[[#This Row],[VALOR UNITARIO]]</f>
        <v>#N/A</v>
      </c>
    </row>
    <row r="1079" spans="1:6" s="193" customFormat="1" hidden="1" x14ac:dyDescent="0.3">
      <c r="A1079" s="193">
        <v>662</v>
      </c>
      <c r="B1079" s="193" t="s">
        <v>1084</v>
      </c>
      <c r="C1079" s="193" t="s">
        <v>55</v>
      </c>
      <c r="D1079" s="226">
        <f>+ROUNDUP(SUMIFS('MEMORIA CANTIDADES'!E:E,'MEMORIA CANTIDADES'!B:B,Table28[[#This Row],[DESCRIPCIÓN ]],'MEMORIA CANTIDADES'!C:C,Table28[[#This Row],[UNIDAD]]),0)</f>
        <v>0</v>
      </c>
      <c r="E1079" s="225">
        <f>+VLOOKUP(Table28[[#This Row],[DESCRIPCIÓN ]],INSUMOS!A:D,3,FALSE)</f>
        <v>153.21</v>
      </c>
      <c r="F1079" s="225">
        <f>+Table28[[#This Row],[CANTIDAD]]*Table28[[#This Row],[VALOR UNITARIO]]</f>
        <v>0</v>
      </c>
    </row>
    <row r="1080" spans="1:6" s="193" customFormat="1" hidden="1" x14ac:dyDescent="0.3">
      <c r="A1080" s="193">
        <v>668</v>
      </c>
      <c r="B1080" s="193" t="s">
        <v>1085</v>
      </c>
      <c r="C1080" s="193" t="s">
        <v>55</v>
      </c>
      <c r="D1080" s="226">
        <f>+ROUNDUP(SUMIFS('MEMORIA CANTIDADES'!E:E,'MEMORIA CANTIDADES'!B:B,Table28[[#This Row],[DESCRIPCIÓN ]],'MEMORIA CANTIDADES'!C:C,Table28[[#This Row],[UNIDAD]]),0)</f>
        <v>0</v>
      </c>
      <c r="E1080" s="225" t="e">
        <f>+VLOOKUP(Table28[[#This Row],[DESCRIPCIÓN ]],INSUMOS!A:D,3,FALSE)</f>
        <v>#N/A</v>
      </c>
      <c r="F1080" s="225" t="e">
        <f>+Table28[[#This Row],[CANTIDAD]]*Table28[[#This Row],[VALOR UNITARIO]]</f>
        <v>#N/A</v>
      </c>
    </row>
    <row r="1081" spans="1:6" s="193" customFormat="1" hidden="1" x14ac:dyDescent="0.3">
      <c r="A1081" s="193">
        <v>669</v>
      </c>
      <c r="B1081" s="193" t="s">
        <v>1086</v>
      </c>
      <c r="C1081" s="193" t="s">
        <v>55</v>
      </c>
      <c r="D1081" s="226">
        <f>+ROUNDUP(SUMIFS('MEMORIA CANTIDADES'!E:E,'MEMORIA CANTIDADES'!B:B,Table28[[#This Row],[DESCRIPCIÓN ]],'MEMORIA CANTIDADES'!C:C,Table28[[#This Row],[UNIDAD]]),0)</f>
        <v>0</v>
      </c>
      <c r="E1081" s="225">
        <f>+VLOOKUP(Table28[[#This Row],[DESCRIPCIÓN ]],INSUMOS!A:D,3,FALSE)</f>
        <v>995.62</v>
      </c>
      <c r="F1081" s="225">
        <f>+Table28[[#This Row],[CANTIDAD]]*Table28[[#This Row],[VALOR UNITARIO]]</f>
        <v>0</v>
      </c>
    </row>
    <row r="1082" spans="1:6" s="193" customFormat="1" ht="28.8" hidden="1" x14ac:dyDescent="0.3">
      <c r="A1082" s="193">
        <v>670</v>
      </c>
      <c r="B1082" s="193" t="s">
        <v>1087</v>
      </c>
      <c r="C1082" s="193" t="s">
        <v>55</v>
      </c>
      <c r="D1082" s="226">
        <f>+ROUNDUP(SUMIFS('MEMORIA CANTIDADES'!E:E,'MEMORIA CANTIDADES'!B:B,Table28[[#This Row],[DESCRIPCIÓN ]],'MEMORIA CANTIDADES'!C:C,Table28[[#This Row],[UNIDAD]]),0)</f>
        <v>0</v>
      </c>
      <c r="E1082" s="225">
        <f>+VLOOKUP(Table28[[#This Row],[DESCRIPCIÓN ]],INSUMOS!A:D,3,FALSE)</f>
        <v>8096.99</v>
      </c>
      <c r="F1082" s="225">
        <f>+Table28[[#This Row],[CANTIDAD]]*Table28[[#This Row],[VALOR UNITARIO]]</f>
        <v>0</v>
      </c>
    </row>
    <row r="1083" spans="1:6" s="193" customFormat="1" ht="28.8" hidden="1" x14ac:dyDescent="0.3">
      <c r="A1083" s="193">
        <v>673</v>
      </c>
      <c r="B1083" s="193" t="s">
        <v>1088</v>
      </c>
      <c r="C1083" s="193" t="s">
        <v>55</v>
      </c>
      <c r="D1083" s="226">
        <f>+ROUNDUP(SUMIFS('MEMORIA CANTIDADES'!E:E,'MEMORIA CANTIDADES'!B:B,Table28[[#This Row],[DESCRIPCIÓN ]],'MEMORIA CANTIDADES'!C:C,Table28[[#This Row],[UNIDAD]]),0)</f>
        <v>0</v>
      </c>
      <c r="E1083" s="225">
        <f>+VLOOKUP(Table28[[#This Row],[DESCRIPCIÓN ]],INSUMOS!A:D,3,FALSE)</f>
        <v>341.42</v>
      </c>
      <c r="F1083" s="225">
        <f>+Table28[[#This Row],[CANTIDAD]]*Table28[[#This Row],[VALOR UNITARIO]]</f>
        <v>0</v>
      </c>
    </row>
    <row r="1084" spans="1:6" s="193" customFormat="1" ht="28.8" hidden="1" x14ac:dyDescent="0.3">
      <c r="A1084" s="193">
        <v>672</v>
      </c>
      <c r="B1084" s="193" t="s">
        <v>1089</v>
      </c>
      <c r="C1084" s="193" t="s">
        <v>55</v>
      </c>
      <c r="D1084" s="226">
        <f>+ROUNDUP(SUMIFS('MEMORIA CANTIDADES'!E:E,'MEMORIA CANTIDADES'!B:B,Table28[[#This Row],[DESCRIPCIÓN ]],'MEMORIA CANTIDADES'!C:C,Table28[[#This Row],[UNIDAD]]),0)</f>
        <v>0</v>
      </c>
      <c r="E1084" s="225">
        <f>+VLOOKUP(Table28[[#This Row],[DESCRIPCIÓN ]],INSUMOS!A:D,3,FALSE)</f>
        <v>384.59</v>
      </c>
      <c r="F1084" s="225">
        <f>+Table28[[#This Row],[CANTIDAD]]*Table28[[#This Row],[VALOR UNITARIO]]</f>
        <v>0</v>
      </c>
    </row>
    <row r="1085" spans="1:6" s="193" customFormat="1" ht="28.8" hidden="1" x14ac:dyDescent="0.3">
      <c r="A1085" s="193">
        <v>671</v>
      </c>
      <c r="B1085" s="193" t="s">
        <v>1090</v>
      </c>
      <c r="C1085" s="193" t="s">
        <v>55</v>
      </c>
      <c r="D1085" s="226">
        <f>+ROUNDUP(SUMIFS('MEMORIA CANTIDADES'!E:E,'MEMORIA CANTIDADES'!B:B,Table28[[#This Row],[DESCRIPCIÓN ]],'MEMORIA CANTIDADES'!C:C,Table28[[#This Row],[UNIDAD]]),0)</f>
        <v>0</v>
      </c>
      <c r="E1085" s="225">
        <f>+VLOOKUP(Table28[[#This Row],[DESCRIPCIÓN ]],INSUMOS!A:D,3,FALSE)</f>
        <v>893.78</v>
      </c>
      <c r="F1085" s="225">
        <f>+Table28[[#This Row],[CANTIDAD]]*Table28[[#This Row],[VALOR UNITARIO]]</f>
        <v>0</v>
      </c>
    </row>
    <row r="1086" spans="1:6" s="193" customFormat="1" ht="28.8" hidden="1" x14ac:dyDescent="0.3">
      <c r="A1086" s="193">
        <v>674</v>
      </c>
      <c r="B1086" s="193" t="s">
        <v>1091</v>
      </c>
      <c r="C1086" s="193" t="s">
        <v>55</v>
      </c>
      <c r="D1086" s="226">
        <f>+ROUNDUP(SUMIFS('MEMORIA CANTIDADES'!E:E,'MEMORIA CANTIDADES'!B:B,Table28[[#This Row],[DESCRIPCIÓN ]],'MEMORIA CANTIDADES'!C:C,Table28[[#This Row],[UNIDAD]]),0)</f>
        <v>0</v>
      </c>
      <c r="E1086" s="225">
        <f>+VLOOKUP(Table28[[#This Row],[DESCRIPCIÓN ]],INSUMOS!A:D,3,FALSE)</f>
        <v>464.77</v>
      </c>
      <c r="F1086" s="225">
        <f>+Table28[[#This Row],[CANTIDAD]]*Table28[[#This Row],[VALOR UNITARIO]]</f>
        <v>0</v>
      </c>
    </row>
    <row r="1087" spans="1:6" s="193" customFormat="1" hidden="1" x14ac:dyDescent="0.3">
      <c r="A1087" s="193">
        <v>364</v>
      </c>
      <c r="B1087" s="193" t="s">
        <v>1092</v>
      </c>
      <c r="C1087" s="193" t="s">
        <v>55</v>
      </c>
      <c r="D1087" s="226">
        <f>+ROUNDUP(SUMIFS('MEMORIA CANTIDADES'!E:E,'MEMORIA CANTIDADES'!B:B,Table28[[#This Row],[DESCRIPCIÓN ]],'MEMORIA CANTIDADES'!C:C,Table28[[#This Row],[UNIDAD]]),0)</f>
        <v>0</v>
      </c>
      <c r="E1087" s="225">
        <f>+VLOOKUP(Table28[[#This Row],[DESCRIPCIÓN ]],INSUMOS!A:D,3,FALSE)</f>
        <v>85966.02</v>
      </c>
      <c r="F1087" s="225">
        <f>+Table28[[#This Row],[CANTIDAD]]*Table28[[#This Row],[VALOR UNITARIO]]</f>
        <v>0</v>
      </c>
    </row>
    <row r="1088" spans="1:6" s="193" customFormat="1" hidden="1" x14ac:dyDescent="0.3">
      <c r="A1088" s="193">
        <v>365</v>
      </c>
      <c r="B1088" s="193" t="s">
        <v>1093</v>
      </c>
      <c r="C1088" s="193" t="s">
        <v>55</v>
      </c>
      <c r="D1088" s="226">
        <f>+ROUNDUP(SUMIFS('MEMORIA CANTIDADES'!E:E,'MEMORIA CANTIDADES'!B:B,Table28[[#This Row],[DESCRIPCIÓN ]],'MEMORIA CANTIDADES'!C:C,Table28[[#This Row],[UNIDAD]]),0)</f>
        <v>0</v>
      </c>
      <c r="E1088" s="225">
        <f>+VLOOKUP(Table28[[#This Row],[DESCRIPCIÓN ]],INSUMOS!A:D,3,FALSE)</f>
        <v>126421.5</v>
      </c>
      <c r="F1088" s="225">
        <f>+Table28[[#This Row],[CANTIDAD]]*Table28[[#This Row],[VALOR UNITARIO]]</f>
        <v>0</v>
      </c>
    </row>
    <row r="1089" spans="1:6" s="193" customFormat="1" hidden="1" x14ac:dyDescent="0.3">
      <c r="A1089" s="193">
        <v>366</v>
      </c>
      <c r="B1089" s="193" t="s">
        <v>1094</v>
      </c>
      <c r="C1089" s="193" t="s">
        <v>55</v>
      </c>
      <c r="D1089" s="226">
        <f>+ROUNDUP(SUMIFS('MEMORIA CANTIDADES'!E:E,'MEMORIA CANTIDADES'!B:B,Table28[[#This Row],[DESCRIPCIÓN ]],'MEMORIA CANTIDADES'!C:C,Table28[[#This Row],[UNIDAD]]),0)</f>
        <v>0</v>
      </c>
      <c r="E1089" s="225">
        <f>+VLOOKUP(Table28[[#This Row],[DESCRIPCIÓN ]],INSUMOS!A:D,3,FALSE)</f>
        <v>49295.47</v>
      </c>
      <c r="F1089" s="225">
        <f>+Table28[[#This Row],[CANTIDAD]]*Table28[[#This Row],[VALOR UNITARIO]]</f>
        <v>0</v>
      </c>
    </row>
    <row r="1090" spans="1:6" s="193" customFormat="1" hidden="1" x14ac:dyDescent="0.3">
      <c r="A1090" s="193">
        <v>1258</v>
      </c>
      <c r="B1090" s="193" t="s">
        <v>1095</v>
      </c>
      <c r="C1090" s="193" t="s">
        <v>55</v>
      </c>
      <c r="D1090" s="226">
        <f>+ROUNDUP(SUMIFS('MEMORIA CANTIDADES'!E:E,'MEMORIA CANTIDADES'!B:B,Table28[[#This Row],[DESCRIPCIÓN ]],'MEMORIA CANTIDADES'!C:C,Table28[[#This Row],[UNIDAD]]),0)</f>
        <v>0</v>
      </c>
      <c r="E1090" s="225" t="e">
        <f>+VLOOKUP(Table28[[#This Row],[DESCRIPCIÓN ]],INSUMOS!A:D,3,FALSE)</f>
        <v>#N/A</v>
      </c>
      <c r="F1090" s="225" t="e">
        <f>+Table28[[#This Row],[CANTIDAD]]*Table28[[#This Row],[VALOR UNITARIO]]</f>
        <v>#N/A</v>
      </c>
    </row>
    <row r="1091" spans="1:6" s="193" customFormat="1" ht="28.8" x14ac:dyDescent="0.3">
      <c r="A1091" s="193">
        <v>1253</v>
      </c>
      <c r="B1091" s="193" t="s">
        <v>1098</v>
      </c>
      <c r="C1091" s="193" t="s">
        <v>55</v>
      </c>
      <c r="D1091" s="226">
        <f>+ROUNDUP(SUMIFS('MEMORIA CANTIDADES'!E:E,'MEMORIA CANTIDADES'!B:B,Table28[[#This Row],[DESCRIPCIÓN ]],'MEMORIA CANTIDADES'!C:C,Table28[[#This Row],[UNIDAD]]),0)</f>
        <v>17</v>
      </c>
      <c r="E1091" s="225">
        <f>+VLOOKUP(Table28[[#This Row],[DESCRIPCIÓN ]],INSUMOS!A:D,3,FALSE)</f>
        <v>380642.01</v>
      </c>
      <c r="F1091" s="225">
        <f>+Table28[[#This Row],[CANTIDAD]]*Table28[[#This Row],[VALOR UNITARIO]]</f>
        <v>6470914.1699999999</v>
      </c>
    </row>
    <row r="1092" spans="1:6" s="193" customFormat="1" x14ac:dyDescent="0.3">
      <c r="A1092" s="193">
        <v>1254</v>
      </c>
      <c r="B1092" s="193" t="s">
        <v>886</v>
      </c>
      <c r="C1092" s="193" t="s">
        <v>55</v>
      </c>
      <c r="D1092" s="226">
        <f>+ROUNDUP(SUMIFS('MEMORIA CANTIDADES'!E:E,'MEMORIA CANTIDADES'!B:B,Table28[[#This Row],[DESCRIPCIÓN ]],'MEMORIA CANTIDADES'!C:C,Table28[[#This Row],[UNIDAD]]),0)</f>
        <v>0</v>
      </c>
      <c r="E1092" s="225"/>
      <c r="F1092" s="225"/>
    </row>
    <row r="1093" spans="1:6" s="193" customFormat="1" x14ac:dyDescent="0.3">
      <c r="A1093" s="193">
        <v>1262</v>
      </c>
      <c r="B1093" s="193" t="s">
        <v>79</v>
      </c>
      <c r="C1093" s="193" t="s">
        <v>2238</v>
      </c>
      <c r="D1093" s="226">
        <f>+ROUNDUP(SUMIFS('MEMORIA CANTIDADES'!E:E,'MEMORIA CANTIDADES'!B:B,Table28[[#This Row],[DESCRIPCIÓN ]],'MEMORIA CANTIDADES'!C:C,Table28[[#This Row],[UNIDAD]]),0)</f>
        <v>47</v>
      </c>
      <c r="E1093" s="225">
        <f>+VLOOKUP(Table28[[#This Row],[DESCRIPCIÓN ]],INSUMOS!A:D,3,FALSE)</f>
        <v>23939.74</v>
      </c>
      <c r="F1093" s="225">
        <f>+Table28[[#This Row],[CANTIDAD]]*Table28[[#This Row],[VALOR UNITARIO]]</f>
        <v>1125167.78</v>
      </c>
    </row>
    <row r="1094" spans="1:6" s="193" customFormat="1" ht="28.8" hidden="1" x14ac:dyDescent="0.3">
      <c r="A1094" s="193">
        <v>1108</v>
      </c>
      <c r="B1094" s="193" t="s">
        <v>1099</v>
      </c>
      <c r="C1094" s="193" t="s">
        <v>55</v>
      </c>
      <c r="D1094" s="226">
        <f>+ROUNDUP(SUMIFS('MEMORIA CANTIDADES'!E:E,'MEMORIA CANTIDADES'!B:B,Table28[[#This Row],[DESCRIPCIÓN ]],'MEMORIA CANTIDADES'!C:C,Table28[[#This Row],[UNIDAD]]),0)</f>
        <v>0</v>
      </c>
      <c r="E1094" s="225">
        <f>+VLOOKUP(Table28[[#This Row],[DESCRIPCIÓN ]],INSUMOS!A:D,3,FALSE)</f>
        <v>142781.29999999999</v>
      </c>
      <c r="F1094" s="225">
        <f>+Table28[[#This Row],[CANTIDAD]]*Table28[[#This Row],[VALOR UNITARIO]]</f>
        <v>0</v>
      </c>
    </row>
    <row r="1095" spans="1:6" s="193" customFormat="1" ht="28.8" hidden="1" x14ac:dyDescent="0.3">
      <c r="A1095" s="193">
        <v>1109</v>
      </c>
      <c r="B1095" s="193" t="s">
        <v>1100</v>
      </c>
      <c r="C1095" s="193" t="s">
        <v>55</v>
      </c>
      <c r="D1095" s="226">
        <f>+ROUNDUP(SUMIFS('MEMORIA CANTIDADES'!E:E,'MEMORIA CANTIDADES'!B:B,Table28[[#This Row],[DESCRIPCIÓN ]],'MEMORIA CANTIDADES'!C:C,Table28[[#This Row],[UNIDAD]]),0)</f>
        <v>0</v>
      </c>
      <c r="E1095" s="225">
        <f>+VLOOKUP(Table28[[#This Row],[DESCRIPCIÓN ]],INSUMOS!A:D,3,FALSE)</f>
        <v>56546.69</v>
      </c>
      <c r="F1095" s="225">
        <f>+Table28[[#This Row],[CANTIDAD]]*Table28[[#This Row],[VALOR UNITARIO]]</f>
        <v>0</v>
      </c>
    </row>
    <row r="1096" spans="1:6" s="193" customFormat="1" ht="28.8" hidden="1" x14ac:dyDescent="0.3">
      <c r="A1096" s="193">
        <v>1110</v>
      </c>
      <c r="B1096" s="193" t="s">
        <v>1101</v>
      </c>
      <c r="C1096" s="193" t="s">
        <v>55</v>
      </c>
      <c r="D1096" s="226">
        <f>+ROUNDUP(SUMIFS('MEMORIA CANTIDADES'!E:E,'MEMORIA CANTIDADES'!B:B,Table28[[#This Row],[DESCRIPCIÓN ]],'MEMORIA CANTIDADES'!C:C,Table28[[#This Row],[UNIDAD]]),0)</f>
        <v>0</v>
      </c>
      <c r="E1096" s="225">
        <f>+VLOOKUP(Table28[[#This Row],[DESCRIPCIÓN ]],INSUMOS!A:D,3,FALSE)</f>
        <v>92828.7</v>
      </c>
      <c r="F1096" s="225">
        <f>+Table28[[#This Row],[CANTIDAD]]*Table28[[#This Row],[VALOR UNITARIO]]</f>
        <v>0</v>
      </c>
    </row>
    <row r="1097" spans="1:6" s="193" customFormat="1" hidden="1" x14ac:dyDescent="0.3">
      <c r="A1097" s="193">
        <v>351</v>
      </c>
      <c r="B1097" s="193" t="s">
        <v>1102</v>
      </c>
      <c r="C1097" s="193" t="s">
        <v>55</v>
      </c>
      <c r="D1097" s="226">
        <f>+ROUNDUP(SUMIFS('MEMORIA CANTIDADES'!E:E,'MEMORIA CANTIDADES'!B:B,Table28[[#This Row],[DESCRIPCIÓN ]],'MEMORIA CANTIDADES'!C:C,Table28[[#This Row],[UNIDAD]]),0)</f>
        <v>0</v>
      </c>
      <c r="E1097" s="225">
        <f>+VLOOKUP(Table28[[#This Row],[DESCRIPCIÓN ]],INSUMOS!A:D,3,FALSE)</f>
        <v>28023.9</v>
      </c>
      <c r="F1097" s="225">
        <f>+Table28[[#This Row],[CANTIDAD]]*Table28[[#This Row],[VALOR UNITARIO]]</f>
        <v>0</v>
      </c>
    </row>
    <row r="1098" spans="1:6" s="193" customFormat="1" hidden="1" x14ac:dyDescent="0.3">
      <c r="A1098" s="193">
        <v>352</v>
      </c>
      <c r="B1098" s="193" t="s">
        <v>1103</v>
      </c>
      <c r="C1098" s="193" t="s">
        <v>55</v>
      </c>
      <c r="D1098" s="226">
        <f>+ROUNDUP(SUMIFS('MEMORIA CANTIDADES'!E:E,'MEMORIA CANTIDADES'!B:B,Table28[[#This Row],[DESCRIPCIÓN ]],'MEMORIA CANTIDADES'!C:C,Table28[[#This Row],[UNIDAD]]),0)</f>
        <v>0</v>
      </c>
      <c r="E1098" s="225">
        <f>+VLOOKUP(Table28[[#This Row],[DESCRIPCIÓN ]],INSUMOS!A:D,3,FALSE)</f>
        <v>18434.650000000001</v>
      </c>
      <c r="F1098" s="225">
        <f>+Table28[[#This Row],[CANTIDAD]]*Table28[[#This Row],[VALOR UNITARIO]]</f>
        <v>0</v>
      </c>
    </row>
    <row r="1099" spans="1:6" s="193" customFormat="1" hidden="1" x14ac:dyDescent="0.3">
      <c r="A1099" s="193">
        <v>353</v>
      </c>
      <c r="B1099" s="193" t="s">
        <v>1104</v>
      </c>
      <c r="C1099" s="193" t="s">
        <v>55</v>
      </c>
      <c r="D1099" s="226">
        <f>+ROUNDUP(SUMIFS('MEMORIA CANTIDADES'!E:E,'MEMORIA CANTIDADES'!B:B,Table28[[#This Row],[DESCRIPCIÓN ]],'MEMORIA CANTIDADES'!C:C,Table28[[#This Row],[UNIDAD]]),0)</f>
        <v>0</v>
      </c>
      <c r="E1099" s="225">
        <f>+VLOOKUP(Table28[[#This Row],[DESCRIPCIÓN ]],INSUMOS!A:D,3,FALSE)</f>
        <v>10166.01</v>
      </c>
      <c r="F1099" s="225">
        <f>+Table28[[#This Row],[CANTIDAD]]*Table28[[#This Row],[VALOR UNITARIO]]</f>
        <v>0</v>
      </c>
    </row>
    <row r="1100" spans="1:6" s="193" customFormat="1" hidden="1" x14ac:dyDescent="0.3">
      <c r="A1100" s="193">
        <v>354</v>
      </c>
      <c r="B1100" s="193" t="s">
        <v>1105</v>
      </c>
      <c r="C1100" s="193" t="s">
        <v>55</v>
      </c>
      <c r="D1100" s="226">
        <f>+ROUNDUP(SUMIFS('MEMORIA CANTIDADES'!E:E,'MEMORIA CANTIDADES'!B:B,Table28[[#This Row],[DESCRIPCIÓN ]],'MEMORIA CANTIDADES'!C:C,Table28[[#This Row],[UNIDAD]]),0)</f>
        <v>0</v>
      </c>
      <c r="E1100" s="225">
        <f>+VLOOKUP(Table28[[#This Row],[DESCRIPCIÓN ]],INSUMOS!A:D,3,FALSE)</f>
        <v>59816.3</v>
      </c>
      <c r="F1100" s="225">
        <f>+Table28[[#This Row],[CANTIDAD]]*Table28[[#This Row],[VALOR UNITARIO]]</f>
        <v>0</v>
      </c>
    </row>
    <row r="1101" spans="1:6" s="193" customFormat="1" hidden="1" x14ac:dyDescent="0.3">
      <c r="A1101" s="193">
        <v>355</v>
      </c>
      <c r="B1101" s="193" t="s">
        <v>1106</v>
      </c>
      <c r="C1101" s="193" t="s">
        <v>55</v>
      </c>
      <c r="D1101" s="226">
        <f>+ROUNDUP(SUMIFS('MEMORIA CANTIDADES'!E:E,'MEMORIA CANTIDADES'!B:B,Table28[[#This Row],[DESCRIPCIÓN ]],'MEMORIA CANTIDADES'!C:C,Table28[[#This Row],[UNIDAD]]),0)</f>
        <v>0</v>
      </c>
      <c r="E1101" s="225">
        <f>+VLOOKUP(Table28[[#This Row],[DESCRIPCIÓN ]],INSUMOS!A:D,3,FALSE)</f>
        <v>12154.19</v>
      </c>
      <c r="F1101" s="225">
        <f>+Table28[[#This Row],[CANTIDAD]]*Table28[[#This Row],[VALOR UNITARIO]]</f>
        <v>0</v>
      </c>
    </row>
    <row r="1102" spans="1:6" s="193" customFormat="1" ht="28.8" hidden="1" x14ac:dyDescent="0.3">
      <c r="A1102" s="193">
        <v>882</v>
      </c>
      <c r="B1102" s="193" t="s">
        <v>1107</v>
      </c>
      <c r="C1102" s="193" t="s">
        <v>55</v>
      </c>
      <c r="D1102" s="226">
        <f>+ROUNDUP(SUMIFS('MEMORIA CANTIDADES'!E:E,'MEMORIA CANTIDADES'!B:B,Table28[[#This Row],[DESCRIPCIÓN ]],'MEMORIA CANTIDADES'!C:C,Table28[[#This Row],[UNIDAD]]),0)</f>
        <v>0</v>
      </c>
      <c r="E1102" s="225">
        <f>+VLOOKUP(Table28[[#This Row],[DESCRIPCIÓN ]],INSUMOS!A:D,3,FALSE)</f>
        <v>46590.05</v>
      </c>
      <c r="F1102" s="225">
        <f>+Table28[[#This Row],[CANTIDAD]]*Table28[[#This Row],[VALOR UNITARIO]]</f>
        <v>0</v>
      </c>
    </row>
    <row r="1103" spans="1:6" s="193" customFormat="1" ht="28.8" hidden="1" x14ac:dyDescent="0.3">
      <c r="A1103" s="193">
        <v>883</v>
      </c>
      <c r="B1103" s="193" t="s">
        <v>1108</v>
      </c>
      <c r="C1103" s="193" t="s">
        <v>55</v>
      </c>
      <c r="D1103" s="226">
        <f>+ROUNDUP(SUMIFS('MEMORIA CANTIDADES'!E:E,'MEMORIA CANTIDADES'!B:B,Table28[[#This Row],[DESCRIPCIÓN ]],'MEMORIA CANTIDADES'!C:C,Table28[[#This Row],[UNIDAD]]),0)</f>
        <v>0</v>
      </c>
      <c r="E1103" s="225">
        <f>+VLOOKUP(Table28[[#This Row],[DESCRIPCIÓN ]],INSUMOS!A:D,3,FALSE)</f>
        <v>44127.28</v>
      </c>
      <c r="F1103" s="225">
        <f>+Table28[[#This Row],[CANTIDAD]]*Table28[[#This Row],[VALOR UNITARIO]]</f>
        <v>0</v>
      </c>
    </row>
    <row r="1104" spans="1:6" s="193" customFormat="1" ht="28.8" hidden="1" x14ac:dyDescent="0.3">
      <c r="A1104" s="193">
        <v>884</v>
      </c>
      <c r="B1104" s="193" t="s">
        <v>1109</v>
      </c>
      <c r="C1104" s="193" t="s">
        <v>55</v>
      </c>
      <c r="D1104" s="226">
        <f>+ROUNDUP(SUMIFS('MEMORIA CANTIDADES'!E:E,'MEMORIA CANTIDADES'!B:B,Table28[[#This Row],[DESCRIPCIÓN ]],'MEMORIA CANTIDADES'!C:C,Table28[[#This Row],[UNIDAD]]),0)</f>
        <v>0</v>
      </c>
      <c r="E1104" s="225">
        <f>+VLOOKUP(Table28[[#This Row],[DESCRIPCIÓN ]],INSUMOS!A:D,3,FALSE)</f>
        <v>31557.08</v>
      </c>
      <c r="F1104" s="225">
        <f>+Table28[[#This Row],[CANTIDAD]]*Table28[[#This Row],[VALOR UNITARIO]]</f>
        <v>0</v>
      </c>
    </row>
    <row r="1105" spans="1:6" s="193" customFormat="1" ht="28.8" hidden="1" x14ac:dyDescent="0.3">
      <c r="A1105" s="193">
        <v>885</v>
      </c>
      <c r="B1105" s="193" t="s">
        <v>1110</v>
      </c>
      <c r="C1105" s="193" t="s">
        <v>55</v>
      </c>
      <c r="D1105" s="226">
        <f>+ROUNDUP(SUMIFS('MEMORIA CANTIDADES'!E:E,'MEMORIA CANTIDADES'!B:B,Table28[[#This Row],[DESCRIPCIÓN ]],'MEMORIA CANTIDADES'!C:C,Table28[[#This Row],[UNIDAD]]),0)</f>
        <v>0</v>
      </c>
      <c r="E1105" s="225">
        <f>+VLOOKUP(Table28[[#This Row],[DESCRIPCIÓN ]],INSUMOS!A:D,3,FALSE)</f>
        <v>162315.28</v>
      </c>
      <c r="F1105" s="225">
        <f>+Table28[[#This Row],[CANTIDAD]]*Table28[[#This Row],[VALOR UNITARIO]]</f>
        <v>0</v>
      </c>
    </row>
    <row r="1106" spans="1:6" s="193" customFormat="1" ht="28.8" hidden="1" x14ac:dyDescent="0.3">
      <c r="A1106" s="193">
        <v>356</v>
      </c>
      <c r="B1106" s="193" t="s">
        <v>1111</v>
      </c>
      <c r="C1106" s="193" t="s">
        <v>1274</v>
      </c>
      <c r="D1106" s="226">
        <f>+ROUNDUP(SUMIFS('MEMORIA CANTIDADES'!E:E,'MEMORIA CANTIDADES'!B:B,Table28[[#This Row],[DESCRIPCIÓN ]],'MEMORIA CANTIDADES'!C:C,Table28[[#This Row],[UNIDAD]]),0)</f>
        <v>0</v>
      </c>
      <c r="E1106" s="225">
        <f>+VLOOKUP(Table28[[#This Row],[DESCRIPCIÓN ]],INSUMOS!A:D,3,FALSE)</f>
        <v>151729.03</v>
      </c>
      <c r="F1106" s="225">
        <f>+Table28[[#This Row],[CANTIDAD]]*Table28[[#This Row],[VALOR UNITARIO]]</f>
        <v>0</v>
      </c>
    </row>
    <row r="1107" spans="1:6" s="193" customFormat="1" ht="28.8" hidden="1" x14ac:dyDescent="0.3">
      <c r="A1107" s="193">
        <v>357</v>
      </c>
      <c r="B1107" s="193" t="s">
        <v>1112</v>
      </c>
      <c r="C1107" s="193" t="s">
        <v>1274</v>
      </c>
      <c r="D1107" s="226">
        <f>+ROUNDUP(SUMIFS('MEMORIA CANTIDADES'!E:E,'MEMORIA CANTIDADES'!B:B,Table28[[#This Row],[DESCRIPCIÓN ]],'MEMORIA CANTIDADES'!C:C,Table28[[#This Row],[UNIDAD]]),0)</f>
        <v>0</v>
      </c>
      <c r="E1107" s="225">
        <f>+VLOOKUP(Table28[[#This Row],[DESCRIPCIÓN ]],INSUMOS!A:D,3,FALSE)</f>
        <v>266480.84999999998</v>
      </c>
      <c r="F1107" s="225">
        <f>+Table28[[#This Row],[CANTIDAD]]*Table28[[#This Row],[VALOR UNITARIO]]</f>
        <v>0</v>
      </c>
    </row>
    <row r="1108" spans="1:6" s="193" customFormat="1" hidden="1" x14ac:dyDescent="0.3">
      <c r="A1108" s="193">
        <v>358</v>
      </c>
      <c r="B1108" s="193" t="s">
        <v>1113</v>
      </c>
      <c r="C1108" s="193" t="s">
        <v>55</v>
      </c>
      <c r="D1108" s="226">
        <f>+ROUNDUP(SUMIFS('MEMORIA CANTIDADES'!E:E,'MEMORIA CANTIDADES'!B:B,Table28[[#This Row],[DESCRIPCIÓN ]],'MEMORIA CANTIDADES'!C:C,Table28[[#This Row],[UNIDAD]]),0)</f>
        <v>0</v>
      </c>
      <c r="E1108" s="225">
        <f>+VLOOKUP(Table28[[#This Row],[DESCRIPCIÓN ]],INSUMOS!A:D,3,FALSE)</f>
        <v>54529.04</v>
      </c>
      <c r="F1108" s="225">
        <f>+Table28[[#This Row],[CANTIDAD]]*Table28[[#This Row],[VALOR UNITARIO]]</f>
        <v>0</v>
      </c>
    </row>
    <row r="1109" spans="1:6" s="193" customFormat="1" ht="28.8" hidden="1" x14ac:dyDescent="0.3">
      <c r="A1109" s="193">
        <v>359</v>
      </c>
      <c r="B1109" s="193" t="s">
        <v>1114</v>
      </c>
      <c r="C1109" s="193" t="s">
        <v>55</v>
      </c>
      <c r="D1109" s="226">
        <f>+ROUNDUP(SUMIFS('MEMORIA CANTIDADES'!E:E,'MEMORIA CANTIDADES'!B:B,Table28[[#This Row],[DESCRIPCIÓN ]],'MEMORIA CANTIDADES'!C:C,Table28[[#This Row],[UNIDAD]]),0)</f>
        <v>0</v>
      </c>
      <c r="E1109" s="225">
        <f>+VLOOKUP(Table28[[#This Row],[DESCRIPCIÓN ]],INSUMOS!A:D,3,FALSE)</f>
        <v>21701.75</v>
      </c>
      <c r="F1109" s="225">
        <f>+Table28[[#This Row],[CANTIDAD]]*Table28[[#This Row],[VALOR UNITARIO]]</f>
        <v>0</v>
      </c>
    </row>
    <row r="1110" spans="1:6" s="193" customFormat="1" ht="28.8" hidden="1" x14ac:dyDescent="0.3">
      <c r="A1110" s="193">
        <v>360</v>
      </c>
      <c r="B1110" s="193" t="s">
        <v>1115</v>
      </c>
      <c r="C1110" s="193" t="s">
        <v>55</v>
      </c>
      <c r="D1110" s="226">
        <f>+ROUNDUP(SUMIFS('MEMORIA CANTIDADES'!E:E,'MEMORIA CANTIDADES'!B:B,Table28[[#This Row],[DESCRIPCIÓN ]],'MEMORIA CANTIDADES'!C:C,Table28[[#This Row],[UNIDAD]]),0)</f>
        <v>0</v>
      </c>
      <c r="E1110" s="225">
        <f>+VLOOKUP(Table28[[#This Row],[DESCRIPCIÓN ]],INSUMOS!A:D,3,FALSE)</f>
        <v>34186.99</v>
      </c>
      <c r="F1110" s="225">
        <f>+Table28[[#This Row],[CANTIDAD]]*Table28[[#This Row],[VALOR UNITARIO]]</f>
        <v>0</v>
      </c>
    </row>
    <row r="1111" spans="1:6" s="193" customFormat="1" ht="28.8" hidden="1" x14ac:dyDescent="0.3">
      <c r="A1111" s="193">
        <v>1111</v>
      </c>
      <c r="B1111" s="193" t="s">
        <v>2224</v>
      </c>
      <c r="C1111" s="193" t="s">
        <v>55</v>
      </c>
      <c r="D1111" s="226">
        <f>+ROUNDUP(SUMIFS('MEMORIA CANTIDADES'!E:E,'MEMORIA CANTIDADES'!B:B,Table28[[#This Row],[DESCRIPCIÓN ]],'MEMORIA CANTIDADES'!C:C,Table28[[#This Row],[UNIDAD]]),0)</f>
        <v>0</v>
      </c>
      <c r="E1111" s="225">
        <f>+VLOOKUP(Table28[[#This Row],[DESCRIPCIÓN ]],INSUMOS!A:D,3,FALSE)</f>
        <v>40530.050000000003</v>
      </c>
      <c r="F1111" s="225">
        <f>+Table28[[#This Row],[CANTIDAD]]*Table28[[#This Row],[VALOR UNITARIO]]</f>
        <v>0</v>
      </c>
    </row>
    <row r="1112" spans="1:6" s="193" customFormat="1" ht="28.8" hidden="1" x14ac:dyDescent="0.3">
      <c r="A1112" s="193">
        <v>1112</v>
      </c>
      <c r="B1112" s="193" t="s">
        <v>1116</v>
      </c>
      <c r="C1112" s="193" t="s">
        <v>55</v>
      </c>
      <c r="D1112" s="226">
        <f>+ROUNDUP(SUMIFS('MEMORIA CANTIDADES'!E:E,'MEMORIA CANTIDADES'!B:B,Table28[[#This Row],[DESCRIPCIÓN ]],'MEMORIA CANTIDADES'!C:C,Table28[[#This Row],[UNIDAD]]),0)</f>
        <v>0</v>
      </c>
      <c r="E1112" s="225">
        <f>+VLOOKUP(Table28[[#This Row],[DESCRIPCIÓN ]],INSUMOS!A:D,3,FALSE)</f>
        <v>55779.07</v>
      </c>
      <c r="F1112" s="225">
        <f>+Table28[[#This Row],[CANTIDAD]]*Table28[[#This Row],[VALOR UNITARIO]]</f>
        <v>0</v>
      </c>
    </row>
    <row r="1113" spans="1:6" s="193" customFormat="1" ht="28.8" hidden="1" x14ac:dyDescent="0.3">
      <c r="A1113" s="193">
        <v>1113</v>
      </c>
      <c r="B1113" s="193" t="s">
        <v>1117</v>
      </c>
      <c r="C1113" s="193" t="s">
        <v>55</v>
      </c>
      <c r="D1113" s="226">
        <f>+ROUNDUP(SUMIFS('MEMORIA CANTIDADES'!E:E,'MEMORIA CANTIDADES'!B:B,Table28[[#This Row],[DESCRIPCIÓN ]],'MEMORIA CANTIDADES'!C:C,Table28[[#This Row],[UNIDAD]]),0)</f>
        <v>0</v>
      </c>
      <c r="E1113" s="225">
        <f>+VLOOKUP(Table28[[#This Row],[DESCRIPCIÓN ]],INSUMOS!A:D,3,FALSE)</f>
        <v>25420.25</v>
      </c>
      <c r="F1113" s="225">
        <f>+Table28[[#This Row],[CANTIDAD]]*Table28[[#This Row],[VALOR UNITARIO]]</f>
        <v>0</v>
      </c>
    </row>
    <row r="1114" spans="1:6" s="193" customFormat="1" ht="28.8" hidden="1" x14ac:dyDescent="0.3">
      <c r="A1114" s="193">
        <v>1114</v>
      </c>
      <c r="B1114" s="193" t="s">
        <v>1118</v>
      </c>
      <c r="C1114" s="193" t="s">
        <v>55</v>
      </c>
      <c r="D1114" s="226">
        <f>+ROUNDUP(SUMIFS('MEMORIA CANTIDADES'!E:E,'MEMORIA CANTIDADES'!B:B,Table28[[#This Row],[DESCRIPCIÓN ]],'MEMORIA CANTIDADES'!C:C,Table28[[#This Row],[UNIDAD]]),0)</f>
        <v>0</v>
      </c>
      <c r="E1114" s="225">
        <f>+VLOOKUP(Table28[[#This Row],[DESCRIPCIÓN ]],INSUMOS!A:D,3,FALSE)</f>
        <v>84149.88</v>
      </c>
      <c r="F1114" s="225">
        <f>+Table28[[#This Row],[CANTIDAD]]*Table28[[#This Row],[VALOR UNITARIO]]</f>
        <v>0</v>
      </c>
    </row>
    <row r="1115" spans="1:6" s="193" customFormat="1" ht="28.8" hidden="1" x14ac:dyDescent="0.3">
      <c r="A1115" s="193">
        <v>1115</v>
      </c>
      <c r="B1115" s="193" t="s">
        <v>1119</v>
      </c>
      <c r="C1115" s="193" t="s">
        <v>55</v>
      </c>
      <c r="D1115" s="226">
        <f>+ROUNDUP(SUMIFS('MEMORIA CANTIDADES'!E:E,'MEMORIA CANTIDADES'!B:B,Table28[[#This Row],[DESCRIPCIÓN ]],'MEMORIA CANTIDADES'!C:C,Table28[[#This Row],[UNIDAD]]),0)</f>
        <v>0</v>
      </c>
      <c r="E1115" s="225">
        <f>+VLOOKUP(Table28[[#This Row],[DESCRIPCIÓN ]],INSUMOS!A:D,3,FALSE)</f>
        <v>82704.740000000005</v>
      </c>
      <c r="F1115" s="225">
        <f>+Table28[[#This Row],[CANTIDAD]]*Table28[[#This Row],[VALOR UNITARIO]]</f>
        <v>0</v>
      </c>
    </row>
    <row r="1116" spans="1:6" s="193" customFormat="1" ht="28.8" hidden="1" x14ac:dyDescent="0.3">
      <c r="A1116" s="193">
        <v>1116</v>
      </c>
      <c r="B1116" s="193" t="s">
        <v>2225</v>
      </c>
      <c r="C1116" s="193" t="s">
        <v>55</v>
      </c>
      <c r="D1116" s="226">
        <f>+ROUNDUP(SUMIFS('MEMORIA CANTIDADES'!E:E,'MEMORIA CANTIDADES'!B:B,Table28[[#This Row],[DESCRIPCIÓN ]],'MEMORIA CANTIDADES'!C:C,Table28[[#This Row],[UNIDAD]]),0)</f>
        <v>0</v>
      </c>
      <c r="E1116" s="225">
        <f>+VLOOKUP(Table28[[#This Row],[DESCRIPCIÓN ]],INSUMOS!A:D,3,FALSE)</f>
        <v>38684.51</v>
      </c>
      <c r="F1116" s="225">
        <f>+Table28[[#This Row],[CANTIDAD]]*Table28[[#This Row],[VALOR UNITARIO]]</f>
        <v>0</v>
      </c>
    </row>
    <row r="1117" spans="1:6" s="193" customFormat="1" ht="28.8" hidden="1" x14ac:dyDescent="0.3">
      <c r="A1117" s="193">
        <v>1117</v>
      </c>
      <c r="B1117" s="193" t="s">
        <v>2226</v>
      </c>
      <c r="C1117" s="193" t="s">
        <v>55</v>
      </c>
      <c r="D1117" s="226">
        <f>+ROUNDUP(SUMIFS('MEMORIA CANTIDADES'!E:E,'MEMORIA CANTIDADES'!B:B,Table28[[#This Row],[DESCRIPCIÓN ]],'MEMORIA CANTIDADES'!C:C,Table28[[#This Row],[UNIDAD]]),0)</f>
        <v>0</v>
      </c>
      <c r="E1117" s="225">
        <f>+VLOOKUP(Table28[[#This Row],[DESCRIPCIÓN ]],INSUMOS!A:D,3,FALSE)</f>
        <v>259728.77</v>
      </c>
      <c r="F1117" s="225">
        <f>+Table28[[#This Row],[CANTIDAD]]*Table28[[#This Row],[VALOR UNITARIO]]</f>
        <v>0</v>
      </c>
    </row>
    <row r="1118" spans="1:6" s="193" customFormat="1" ht="28.8" hidden="1" x14ac:dyDescent="0.3">
      <c r="A1118" s="193">
        <v>1118</v>
      </c>
      <c r="B1118" s="193" t="s">
        <v>1120</v>
      </c>
      <c r="C1118" s="193" t="s">
        <v>55</v>
      </c>
      <c r="D1118" s="226">
        <f>+ROUNDUP(SUMIFS('MEMORIA CANTIDADES'!E:E,'MEMORIA CANTIDADES'!B:B,Table28[[#This Row],[DESCRIPCIÓN ]],'MEMORIA CANTIDADES'!C:C,Table28[[#This Row],[UNIDAD]]),0)</f>
        <v>0</v>
      </c>
      <c r="E1118" s="225">
        <f>+VLOOKUP(Table28[[#This Row],[DESCRIPCIÓN ]],INSUMOS!A:D,3,FALSE)</f>
        <v>134461.64000000001</v>
      </c>
      <c r="F1118" s="225">
        <f>+Table28[[#This Row],[CANTIDAD]]*Table28[[#This Row],[VALOR UNITARIO]]</f>
        <v>0</v>
      </c>
    </row>
    <row r="1119" spans="1:6" s="193" customFormat="1" ht="28.8" hidden="1" x14ac:dyDescent="0.3">
      <c r="A1119" s="193">
        <v>1119</v>
      </c>
      <c r="B1119" s="193" t="s">
        <v>1121</v>
      </c>
      <c r="C1119" s="193" t="s">
        <v>55</v>
      </c>
      <c r="D1119" s="226">
        <f>+ROUNDUP(SUMIFS('MEMORIA CANTIDADES'!E:E,'MEMORIA CANTIDADES'!B:B,Table28[[#This Row],[DESCRIPCIÓN ]],'MEMORIA CANTIDADES'!C:C,Table28[[#This Row],[UNIDAD]]),0)</f>
        <v>0</v>
      </c>
      <c r="E1119" s="225">
        <f>+VLOOKUP(Table28[[#This Row],[DESCRIPCIÓN ]],INSUMOS!A:D,3,FALSE)</f>
        <v>296447.75</v>
      </c>
      <c r="F1119" s="225">
        <f>+Table28[[#This Row],[CANTIDAD]]*Table28[[#This Row],[VALOR UNITARIO]]</f>
        <v>0</v>
      </c>
    </row>
    <row r="1120" spans="1:6" s="193" customFormat="1" ht="28.8" hidden="1" x14ac:dyDescent="0.3">
      <c r="A1120" s="193">
        <v>1120</v>
      </c>
      <c r="B1120" s="193" t="s">
        <v>1122</v>
      </c>
      <c r="C1120" s="193" t="s">
        <v>55</v>
      </c>
      <c r="D1120" s="226">
        <f>+ROUNDUP(SUMIFS('MEMORIA CANTIDADES'!E:E,'MEMORIA CANTIDADES'!B:B,Table28[[#This Row],[DESCRIPCIÓN ]],'MEMORIA CANTIDADES'!C:C,Table28[[#This Row],[UNIDAD]]),0)</f>
        <v>0</v>
      </c>
      <c r="E1120" s="225">
        <f>+VLOOKUP(Table28[[#This Row],[DESCRIPCIÓN ]],INSUMOS!A:D,3,FALSE)</f>
        <v>30686.28</v>
      </c>
      <c r="F1120" s="225">
        <f>+Table28[[#This Row],[CANTIDAD]]*Table28[[#This Row],[VALOR UNITARIO]]</f>
        <v>0</v>
      </c>
    </row>
    <row r="1121" spans="1:6" s="193" customFormat="1" ht="28.8" hidden="1" x14ac:dyDescent="0.3">
      <c r="A1121" s="193">
        <v>1121</v>
      </c>
      <c r="B1121" s="193" t="s">
        <v>1123</v>
      </c>
      <c r="C1121" s="193" t="s">
        <v>55</v>
      </c>
      <c r="D1121" s="226">
        <f>+ROUNDUP(SUMIFS('MEMORIA CANTIDADES'!E:E,'MEMORIA CANTIDADES'!B:B,Table28[[#This Row],[DESCRIPCIÓN ]],'MEMORIA CANTIDADES'!C:C,Table28[[#This Row],[UNIDAD]]),0)</f>
        <v>0</v>
      </c>
      <c r="E1121" s="225">
        <f>+VLOOKUP(Table28[[#This Row],[DESCRIPCIÓN ]],INSUMOS!A:D,3,FALSE)</f>
        <v>594743.62</v>
      </c>
      <c r="F1121" s="225">
        <f>+Table28[[#This Row],[CANTIDAD]]*Table28[[#This Row],[VALOR UNITARIO]]</f>
        <v>0</v>
      </c>
    </row>
    <row r="1122" spans="1:6" s="193" customFormat="1" ht="28.8" hidden="1" x14ac:dyDescent="0.3">
      <c r="A1122" s="193">
        <v>1122</v>
      </c>
      <c r="B1122" s="193" t="s">
        <v>1124</v>
      </c>
      <c r="C1122" s="193" t="s">
        <v>55</v>
      </c>
      <c r="D1122" s="226">
        <f>+ROUNDUP(SUMIFS('MEMORIA CANTIDADES'!E:E,'MEMORIA CANTIDADES'!B:B,Table28[[#This Row],[DESCRIPCIÓN ]],'MEMORIA CANTIDADES'!C:C,Table28[[#This Row],[UNIDAD]]),0)</f>
        <v>0</v>
      </c>
      <c r="E1122" s="225">
        <f>+VLOOKUP(Table28[[#This Row],[DESCRIPCIÓN ]],INSUMOS!A:D,3,FALSE)</f>
        <v>21447.17</v>
      </c>
      <c r="F1122" s="225">
        <f>+Table28[[#This Row],[CANTIDAD]]*Table28[[#This Row],[VALOR UNITARIO]]</f>
        <v>0</v>
      </c>
    </row>
    <row r="1123" spans="1:6" s="193" customFormat="1" ht="28.8" hidden="1" x14ac:dyDescent="0.3">
      <c r="A1123" s="193">
        <v>886</v>
      </c>
      <c r="B1123" s="193" t="s">
        <v>1125</v>
      </c>
      <c r="C1123" s="193" t="s">
        <v>55</v>
      </c>
      <c r="D1123" s="226">
        <f>+ROUNDUP(SUMIFS('MEMORIA CANTIDADES'!E:E,'MEMORIA CANTIDADES'!B:B,Table28[[#This Row],[DESCRIPCIÓN ]],'MEMORIA CANTIDADES'!C:C,Table28[[#This Row],[UNIDAD]]),0)</f>
        <v>0</v>
      </c>
      <c r="E1123" s="225">
        <f>+VLOOKUP(Table28[[#This Row],[DESCRIPCIÓN ]],INSUMOS!A:D,3,FALSE)</f>
        <v>31764.81</v>
      </c>
      <c r="F1123" s="225">
        <f>+Table28[[#This Row],[CANTIDAD]]*Table28[[#This Row],[VALOR UNITARIO]]</f>
        <v>0</v>
      </c>
    </row>
    <row r="1124" spans="1:6" s="193" customFormat="1" ht="28.8" hidden="1" x14ac:dyDescent="0.3">
      <c r="A1124" s="193">
        <v>887</v>
      </c>
      <c r="B1124" s="193" t="s">
        <v>1126</v>
      </c>
      <c r="C1124" s="193" t="s">
        <v>55</v>
      </c>
      <c r="D1124" s="226">
        <f>+ROUNDUP(SUMIFS('MEMORIA CANTIDADES'!E:E,'MEMORIA CANTIDADES'!B:B,Table28[[#This Row],[DESCRIPCIÓN ]],'MEMORIA CANTIDADES'!C:C,Table28[[#This Row],[UNIDAD]]),0)</f>
        <v>0</v>
      </c>
      <c r="E1124" s="225">
        <f>+VLOOKUP(Table28[[#This Row],[DESCRIPCIÓN ]],INSUMOS!A:D,3,FALSE)</f>
        <v>23826.54</v>
      </c>
      <c r="F1124" s="225">
        <f>+Table28[[#This Row],[CANTIDAD]]*Table28[[#This Row],[VALOR UNITARIO]]</f>
        <v>0</v>
      </c>
    </row>
    <row r="1125" spans="1:6" s="193" customFormat="1" ht="28.8" hidden="1" x14ac:dyDescent="0.3">
      <c r="A1125" s="193">
        <v>888</v>
      </c>
      <c r="B1125" s="193" t="s">
        <v>1127</v>
      </c>
      <c r="C1125" s="193" t="s">
        <v>55</v>
      </c>
      <c r="D1125" s="226">
        <f>+ROUNDUP(SUMIFS('MEMORIA CANTIDADES'!E:E,'MEMORIA CANTIDADES'!B:B,Table28[[#This Row],[DESCRIPCIÓN ]],'MEMORIA CANTIDADES'!C:C,Table28[[#This Row],[UNIDAD]]),0)</f>
        <v>0</v>
      </c>
      <c r="E1125" s="225">
        <f>+VLOOKUP(Table28[[#This Row],[DESCRIPCIÓN ]],INSUMOS!A:D,3,FALSE)</f>
        <v>20311.68</v>
      </c>
      <c r="F1125" s="225">
        <f>+Table28[[#This Row],[CANTIDAD]]*Table28[[#This Row],[VALOR UNITARIO]]</f>
        <v>0</v>
      </c>
    </row>
    <row r="1126" spans="1:6" s="193" customFormat="1" ht="28.8" hidden="1" x14ac:dyDescent="0.3">
      <c r="A1126" s="193">
        <v>889</v>
      </c>
      <c r="B1126" s="193" t="s">
        <v>1128</v>
      </c>
      <c r="C1126" s="193" t="s">
        <v>55</v>
      </c>
      <c r="D1126" s="226">
        <f>+ROUNDUP(SUMIFS('MEMORIA CANTIDADES'!E:E,'MEMORIA CANTIDADES'!B:B,Table28[[#This Row],[DESCRIPCIÓN ]],'MEMORIA CANTIDADES'!C:C,Table28[[#This Row],[UNIDAD]]),0)</f>
        <v>0</v>
      </c>
      <c r="E1126" s="225">
        <f>+VLOOKUP(Table28[[#This Row],[DESCRIPCIÓN ]],INSUMOS!A:D,3,FALSE)</f>
        <v>47488.55</v>
      </c>
      <c r="F1126" s="225">
        <f>+Table28[[#This Row],[CANTIDAD]]*Table28[[#This Row],[VALOR UNITARIO]]</f>
        <v>0</v>
      </c>
    </row>
    <row r="1127" spans="1:6" s="193" customFormat="1" ht="28.8" hidden="1" x14ac:dyDescent="0.3">
      <c r="A1127" s="193">
        <v>890</v>
      </c>
      <c r="B1127" s="193" t="s">
        <v>1129</v>
      </c>
      <c r="C1127" s="193" t="s">
        <v>55</v>
      </c>
      <c r="D1127" s="226">
        <f>+ROUNDUP(SUMIFS('MEMORIA CANTIDADES'!E:E,'MEMORIA CANTIDADES'!B:B,Table28[[#This Row],[DESCRIPCIÓN ]],'MEMORIA CANTIDADES'!C:C,Table28[[#This Row],[UNIDAD]]),0)</f>
        <v>0</v>
      </c>
      <c r="E1127" s="225">
        <f>+VLOOKUP(Table28[[#This Row],[DESCRIPCIÓN ]],INSUMOS!A:D,3,FALSE)</f>
        <v>55565.22</v>
      </c>
      <c r="F1127" s="225">
        <f>+Table28[[#This Row],[CANTIDAD]]*Table28[[#This Row],[VALOR UNITARIO]]</f>
        <v>0</v>
      </c>
    </row>
    <row r="1128" spans="1:6" s="193" customFormat="1" ht="28.8" hidden="1" x14ac:dyDescent="0.3">
      <c r="A1128" s="193">
        <v>891</v>
      </c>
      <c r="B1128" s="193" t="s">
        <v>1130</v>
      </c>
      <c r="C1128" s="193" t="s">
        <v>55</v>
      </c>
      <c r="D1128" s="226">
        <f>+ROUNDUP(SUMIFS('MEMORIA CANTIDADES'!E:E,'MEMORIA CANTIDADES'!B:B,Table28[[#This Row],[DESCRIPCIÓN ]],'MEMORIA CANTIDADES'!C:C,Table28[[#This Row],[UNIDAD]]),0)</f>
        <v>0</v>
      </c>
      <c r="E1128" s="225">
        <f>+VLOOKUP(Table28[[#This Row],[DESCRIPCIÓN ]],INSUMOS!A:D,3,FALSE)</f>
        <v>64989.53</v>
      </c>
      <c r="F1128" s="225">
        <f>+Table28[[#This Row],[CANTIDAD]]*Table28[[#This Row],[VALOR UNITARIO]]</f>
        <v>0</v>
      </c>
    </row>
    <row r="1129" spans="1:6" s="193" customFormat="1" ht="28.8" hidden="1" x14ac:dyDescent="0.3">
      <c r="A1129" s="193">
        <v>892</v>
      </c>
      <c r="B1129" s="193" t="s">
        <v>1131</v>
      </c>
      <c r="C1129" s="193" t="s">
        <v>55</v>
      </c>
      <c r="D1129" s="226">
        <f>+ROUNDUP(SUMIFS('MEMORIA CANTIDADES'!E:E,'MEMORIA CANTIDADES'!B:B,Table28[[#This Row],[DESCRIPCIÓN ]],'MEMORIA CANTIDADES'!C:C,Table28[[#This Row],[UNIDAD]]),0)</f>
        <v>0</v>
      </c>
      <c r="E1129" s="225">
        <f>+VLOOKUP(Table28[[#This Row],[DESCRIPCIÓN ]],INSUMOS!A:D,3,FALSE)</f>
        <v>135012.73000000001</v>
      </c>
      <c r="F1129" s="225">
        <f>+Table28[[#This Row],[CANTIDAD]]*Table28[[#This Row],[VALOR UNITARIO]]</f>
        <v>0</v>
      </c>
    </row>
    <row r="1130" spans="1:6" s="193" customFormat="1" ht="28.8" hidden="1" x14ac:dyDescent="0.3">
      <c r="A1130" s="193">
        <v>893</v>
      </c>
      <c r="B1130" s="193" t="s">
        <v>1132</v>
      </c>
      <c r="C1130" s="193" t="s">
        <v>55</v>
      </c>
      <c r="D1130" s="226">
        <f>+ROUNDUP(SUMIFS('MEMORIA CANTIDADES'!E:E,'MEMORIA CANTIDADES'!B:B,Table28[[#This Row],[DESCRIPCIÓN ]],'MEMORIA CANTIDADES'!C:C,Table28[[#This Row],[UNIDAD]]),0)</f>
        <v>0</v>
      </c>
      <c r="E1130" s="225">
        <f>+VLOOKUP(Table28[[#This Row],[DESCRIPCIÓN ]],INSUMOS!A:D,3,FALSE)</f>
        <v>299586.61</v>
      </c>
      <c r="F1130" s="225">
        <f>+Table28[[#This Row],[CANTIDAD]]*Table28[[#This Row],[VALOR UNITARIO]]</f>
        <v>0</v>
      </c>
    </row>
    <row r="1131" spans="1:6" s="193" customFormat="1" ht="28.8" hidden="1" x14ac:dyDescent="0.3">
      <c r="A1131" s="193">
        <v>894</v>
      </c>
      <c r="B1131" s="193" t="s">
        <v>1133</v>
      </c>
      <c r="C1131" s="193" t="s">
        <v>55</v>
      </c>
      <c r="D1131" s="226">
        <f>+ROUNDUP(SUMIFS('MEMORIA CANTIDADES'!E:E,'MEMORIA CANTIDADES'!B:B,Table28[[#This Row],[DESCRIPCIÓN ]],'MEMORIA CANTIDADES'!C:C,Table28[[#This Row],[UNIDAD]]),0)</f>
        <v>0</v>
      </c>
      <c r="E1131" s="225">
        <f>+VLOOKUP(Table28[[#This Row],[DESCRIPCIÓN ]],INSUMOS!A:D,3,FALSE)</f>
        <v>283256.61</v>
      </c>
      <c r="F1131" s="225">
        <f>+Table28[[#This Row],[CANTIDAD]]*Table28[[#This Row],[VALOR UNITARIO]]</f>
        <v>0</v>
      </c>
    </row>
    <row r="1132" spans="1:6" s="193" customFormat="1" ht="28.8" hidden="1" x14ac:dyDescent="0.3">
      <c r="A1132" s="193">
        <v>895</v>
      </c>
      <c r="B1132" s="193" t="s">
        <v>1134</v>
      </c>
      <c r="C1132" s="193" t="s">
        <v>55</v>
      </c>
      <c r="D1132" s="226">
        <f>+ROUNDUP(SUMIFS('MEMORIA CANTIDADES'!E:E,'MEMORIA CANTIDADES'!B:B,Table28[[#This Row],[DESCRIPCIÓN ]],'MEMORIA CANTIDADES'!C:C,Table28[[#This Row],[UNIDAD]]),0)</f>
        <v>0</v>
      </c>
      <c r="E1132" s="225">
        <f>+VLOOKUP(Table28[[#This Row],[DESCRIPCIÓN ]],INSUMOS!A:D,3,FALSE)</f>
        <v>224890.66</v>
      </c>
      <c r="F1132" s="225">
        <f>+Table28[[#This Row],[CANTIDAD]]*Table28[[#This Row],[VALOR UNITARIO]]</f>
        <v>0</v>
      </c>
    </row>
    <row r="1133" spans="1:6" s="193" customFormat="1" ht="28.8" hidden="1" x14ac:dyDescent="0.3">
      <c r="A1133" s="193">
        <v>896</v>
      </c>
      <c r="B1133" s="193" t="s">
        <v>1135</v>
      </c>
      <c r="C1133" s="193" t="s">
        <v>55</v>
      </c>
      <c r="D1133" s="226">
        <f>+ROUNDUP(SUMIFS('MEMORIA CANTIDADES'!E:E,'MEMORIA CANTIDADES'!B:B,Table28[[#This Row],[DESCRIPCIÓN ]],'MEMORIA CANTIDADES'!C:C,Table28[[#This Row],[UNIDAD]]),0)</f>
        <v>0</v>
      </c>
      <c r="E1133" s="225">
        <f>+VLOOKUP(Table28[[#This Row],[DESCRIPCIÓN ]],INSUMOS!A:D,3,FALSE)</f>
        <v>209276.99</v>
      </c>
      <c r="F1133" s="225">
        <f>+Table28[[#This Row],[CANTIDAD]]*Table28[[#This Row],[VALOR UNITARIO]]</f>
        <v>0</v>
      </c>
    </row>
    <row r="1134" spans="1:6" s="193" customFormat="1" ht="28.8" hidden="1" x14ac:dyDescent="0.3">
      <c r="A1134" s="193">
        <v>897</v>
      </c>
      <c r="B1134" s="193" t="s">
        <v>1136</v>
      </c>
      <c r="C1134" s="193" t="s">
        <v>55</v>
      </c>
      <c r="D1134" s="226">
        <f>+ROUNDUP(SUMIFS('MEMORIA CANTIDADES'!E:E,'MEMORIA CANTIDADES'!B:B,Table28[[#This Row],[DESCRIPCIÓN ]],'MEMORIA CANTIDADES'!C:C,Table28[[#This Row],[UNIDAD]]),0)</f>
        <v>0</v>
      </c>
      <c r="E1134" s="225">
        <f>+VLOOKUP(Table28[[#This Row],[DESCRIPCIÓN ]],INSUMOS!A:D,3,FALSE)</f>
        <v>252672.85</v>
      </c>
      <c r="F1134" s="225">
        <f>+Table28[[#This Row],[CANTIDAD]]*Table28[[#This Row],[VALOR UNITARIO]]</f>
        <v>0</v>
      </c>
    </row>
    <row r="1135" spans="1:6" s="193" customFormat="1" ht="28.8" hidden="1" x14ac:dyDescent="0.3">
      <c r="A1135" s="193">
        <v>898</v>
      </c>
      <c r="B1135" s="193" t="s">
        <v>1137</v>
      </c>
      <c r="C1135" s="193" t="s">
        <v>55</v>
      </c>
      <c r="D1135" s="226">
        <f>+ROUNDUP(SUMIFS('MEMORIA CANTIDADES'!E:E,'MEMORIA CANTIDADES'!B:B,Table28[[#This Row],[DESCRIPCIÓN ]],'MEMORIA CANTIDADES'!C:C,Table28[[#This Row],[UNIDAD]]),0)</f>
        <v>0</v>
      </c>
      <c r="E1135" s="225">
        <f>+VLOOKUP(Table28[[#This Row],[DESCRIPCIÓN ]],INSUMOS!A:D,3,FALSE)</f>
        <v>46951</v>
      </c>
      <c r="F1135" s="225">
        <f>+Table28[[#This Row],[CANTIDAD]]*Table28[[#This Row],[VALOR UNITARIO]]</f>
        <v>0</v>
      </c>
    </row>
    <row r="1136" spans="1:6" s="193" customFormat="1" ht="28.8" hidden="1" x14ac:dyDescent="0.3">
      <c r="A1136" s="193">
        <v>902</v>
      </c>
      <c r="B1136" s="193" t="s">
        <v>1138</v>
      </c>
      <c r="C1136" s="193" t="s">
        <v>55</v>
      </c>
      <c r="D1136" s="226">
        <f>+ROUNDUP(SUMIFS('MEMORIA CANTIDADES'!E:E,'MEMORIA CANTIDADES'!B:B,Table28[[#This Row],[DESCRIPCIÓN ]],'MEMORIA CANTIDADES'!C:C,Table28[[#This Row],[UNIDAD]]),0)</f>
        <v>0</v>
      </c>
      <c r="E1136" s="225">
        <f>+VLOOKUP(Table28[[#This Row],[DESCRIPCIÓN ]],INSUMOS!A:D,3,FALSE)</f>
        <v>93874.76</v>
      </c>
      <c r="F1136" s="225">
        <f>+Table28[[#This Row],[CANTIDAD]]*Table28[[#This Row],[VALOR UNITARIO]]</f>
        <v>0</v>
      </c>
    </row>
    <row r="1137" spans="1:6" s="193" customFormat="1" ht="28.8" hidden="1" x14ac:dyDescent="0.3">
      <c r="A1137" s="193">
        <v>901</v>
      </c>
      <c r="B1137" s="193" t="s">
        <v>1139</v>
      </c>
      <c r="C1137" s="193" t="s">
        <v>55</v>
      </c>
      <c r="D1137" s="226">
        <f>+ROUNDUP(SUMIFS('MEMORIA CANTIDADES'!E:E,'MEMORIA CANTIDADES'!B:B,Table28[[#This Row],[DESCRIPCIÓN ]],'MEMORIA CANTIDADES'!C:C,Table28[[#This Row],[UNIDAD]]),0)</f>
        <v>0</v>
      </c>
      <c r="E1137" s="225">
        <f>+VLOOKUP(Table28[[#This Row],[DESCRIPCIÓN ]],INSUMOS!A:D,3,FALSE)</f>
        <v>73677.649999999994</v>
      </c>
      <c r="F1137" s="225">
        <f>+Table28[[#This Row],[CANTIDAD]]*Table28[[#This Row],[VALOR UNITARIO]]</f>
        <v>0</v>
      </c>
    </row>
    <row r="1138" spans="1:6" s="193" customFormat="1" ht="28.8" hidden="1" x14ac:dyDescent="0.3">
      <c r="A1138" s="193">
        <v>899</v>
      </c>
      <c r="B1138" s="193" t="s">
        <v>1140</v>
      </c>
      <c r="C1138" s="193" t="s">
        <v>55</v>
      </c>
      <c r="D1138" s="226">
        <f>+ROUNDUP(SUMIFS('MEMORIA CANTIDADES'!E:E,'MEMORIA CANTIDADES'!B:B,Table28[[#This Row],[DESCRIPCIÓN ]],'MEMORIA CANTIDADES'!C:C,Table28[[#This Row],[UNIDAD]]),0)</f>
        <v>0</v>
      </c>
      <c r="E1138" s="225" t="e">
        <f>+VLOOKUP(Table28[[#This Row],[DESCRIPCIÓN ]],INSUMOS!A:D,3,FALSE)</f>
        <v>#N/A</v>
      </c>
      <c r="F1138" s="225" t="e">
        <f>+Table28[[#This Row],[CANTIDAD]]*Table28[[#This Row],[VALOR UNITARIO]]</f>
        <v>#N/A</v>
      </c>
    </row>
    <row r="1139" spans="1:6" s="193" customFormat="1" ht="28.8" hidden="1" x14ac:dyDescent="0.3">
      <c r="A1139" s="193">
        <v>903</v>
      </c>
      <c r="B1139" s="193" t="s">
        <v>1141</v>
      </c>
      <c r="C1139" s="193" t="s">
        <v>55</v>
      </c>
      <c r="D1139" s="226">
        <f>+ROUNDUP(SUMIFS('MEMORIA CANTIDADES'!E:E,'MEMORIA CANTIDADES'!B:B,Table28[[#This Row],[DESCRIPCIÓN ]],'MEMORIA CANTIDADES'!C:C,Table28[[#This Row],[UNIDAD]]),0)</f>
        <v>0</v>
      </c>
      <c r="E1139" s="225">
        <f>+VLOOKUP(Table28[[#This Row],[DESCRIPCIÓN ]],INSUMOS!A:D,3,FALSE)</f>
        <v>194222.17</v>
      </c>
      <c r="F1139" s="225">
        <f>+Table28[[#This Row],[CANTIDAD]]*Table28[[#This Row],[VALOR UNITARIO]]</f>
        <v>0</v>
      </c>
    </row>
    <row r="1140" spans="1:6" s="193" customFormat="1" ht="28.8" hidden="1" x14ac:dyDescent="0.3">
      <c r="A1140" s="193">
        <v>900</v>
      </c>
      <c r="B1140" s="193" t="s">
        <v>1142</v>
      </c>
      <c r="C1140" s="193" t="s">
        <v>55</v>
      </c>
      <c r="D1140" s="226">
        <f>+ROUNDUP(SUMIFS('MEMORIA CANTIDADES'!E:E,'MEMORIA CANTIDADES'!B:B,Table28[[#This Row],[DESCRIPCIÓN ]],'MEMORIA CANTIDADES'!C:C,Table28[[#This Row],[UNIDAD]]),0)</f>
        <v>0</v>
      </c>
      <c r="E1140" s="225">
        <f>+VLOOKUP(Table28[[#This Row],[DESCRIPCIÓN ]],INSUMOS!A:D,3,FALSE)</f>
        <v>43274.17</v>
      </c>
      <c r="F1140" s="225">
        <f>+Table28[[#This Row],[CANTIDAD]]*Table28[[#This Row],[VALOR UNITARIO]]</f>
        <v>0</v>
      </c>
    </row>
    <row r="1141" spans="1:6" s="193" customFormat="1" ht="28.8" hidden="1" x14ac:dyDescent="0.3">
      <c r="A1141" s="193">
        <v>1123</v>
      </c>
      <c r="B1141" s="193" t="s">
        <v>1143</v>
      </c>
      <c r="C1141" s="193" t="s">
        <v>55</v>
      </c>
      <c r="D1141" s="226">
        <f>+ROUNDUP(SUMIFS('MEMORIA CANTIDADES'!E:E,'MEMORIA CANTIDADES'!B:B,Table28[[#This Row],[DESCRIPCIÓN ]],'MEMORIA CANTIDADES'!C:C,Table28[[#This Row],[UNIDAD]]),0)</f>
        <v>0</v>
      </c>
      <c r="E1141" s="225">
        <f>+VLOOKUP(Table28[[#This Row],[DESCRIPCIÓN ]],INSUMOS!A:D,3,FALSE)</f>
        <v>72120.69</v>
      </c>
      <c r="F1141" s="225">
        <f>+Table28[[#This Row],[CANTIDAD]]*Table28[[#This Row],[VALOR UNITARIO]]</f>
        <v>0</v>
      </c>
    </row>
    <row r="1142" spans="1:6" s="193" customFormat="1" hidden="1" x14ac:dyDescent="0.3">
      <c r="A1142" s="193">
        <v>1124</v>
      </c>
      <c r="B1142" s="193" t="s">
        <v>1144</v>
      </c>
      <c r="C1142" s="193" t="s">
        <v>55</v>
      </c>
      <c r="D1142" s="226">
        <f>+ROUNDUP(SUMIFS('MEMORIA CANTIDADES'!E:E,'MEMORIA CANTIDADES'!B:B,Table28[[#This Row],[DESCRIPCIÓN ]],'MEMORIA CANTIDADES'!C:C,Table28[[#This Row],[UNIDAD]]),0)</f>
        <v>0</v>
      </c>
      <c r="E1142" s="225">
        <f>+VLOOKUP(Table28[[#This Row],[DESCRIPCIÓN ]],INSUMOS!A:D,3,FALSE)</f>
        <v>81474.100000000006</v>
      </c>
      <c r="F1142" s="225">
        <f>+Table28[[#This Row],[CANTIDAD]]*Table28[[#This Row],[VALOR UNITARIO]]</f>
        <v>0</v>
      </c>
    </row>
    <row r="1143" spans="1:6" s="193" customFormat="1" hidden="1" x14ac:dyDescent="0.3">
      <c r="A1143" s="193">
        <v>1125</v>
      </c>
      <c r="B1143" s="193" t="s">
        <v>1145</v>
      </c>
      <c r="C1143" s="193" t="s">
        <v>55</v>
      </c>
      <c r="D1143" s="226">
        <f>+ROUNDUP(SUMIFS('MEMORIA CANTIDADES'!E:E,'MEMORIA CANTIDADES'!B:B,Table28[[#This Row],[DESCRIPCIÓN ]],'MEMORIA CANTIDADES'!C:C,Table28[[#This Row],[UNIDAD]]),0)</f>
        <v>0</v>
      </c>
      <c r="E1143" s="225">
        <f>+VLOOKUP(Table28[[#This Row],[DESCRIPCIÓN ]],INSUMOS!A:D,3,FALSE)</f>
        <v>118052.08</v>
      </c>
      <c r="F1143" s="225">
        <f>+Table28[[#This Row],[CANTIDAD]]*Table28[[#This Row],[VALOR UNITARIO]]</f>
        <v>0</v>
      </c>
    </row>
    <row r="1144" spans="1:6" s="193" customFormat="1" hidden="1" x14ac:dyDescent="0.3">
      <c r="A1144" s="193">
        <v>1126</v>
      </c>
      <c r="B1144" s="193" t="s">
        <v>1146</v>
      </c>
      <c r="C1144" s="193" t="s">
        <v>55</v>
      </c>
      <c r="D1144" s="226">
        <f>+ROUNDUP(SUMIFS('MEMORIA CANTIDADES'!E:E,'MEMORIA CANTIDADES'!B:B,Table28[[#This Row],[DESCRIPCIÓN ]],'MEMORIA CANTIDADES'!C:C,Table28[[#This Row],[UNIDAD]]),0)</f>
        <v>0</v>
      </c>
      <c r="E1144" s="225">
        <f>+VLOOKUP(Table28[[#This Row],[DESCRIPCIÓN ]],INSUMOS!A:D,3,FALSE)</f>
        <v>143722.01999999999</v>
      </c>
      <c r="F1144" s="225">
        <f>+Table28[[#This Row],[CANTIDAD]]*Table28[[#This Row],[VALOR UNITARIO]]</f>
        <v>0</v>
      </c>
    </row>
    <row r="1145" spans="1:6" s="193" customFormat="1" hidden="1" x14ac:dyDescent="0.3">
      <c r="A1145" s="193">
        <v>1127</v>
      </c>
      <c r="B1145" s="193" t="s">
        <v>1147</v>
      </c>
      <c r="C1145" s="193" t="s">
        <v>55</v>
      </c>
      <c r="D1145" s="226">
        <f>+ROUNDUP(SUMIFS('MEMORIA CANTIDADES'!E:E,'MEMORIA CANTIDADES'!B:B,Table28[[#This Row],[DESCRIPCIÓN ]],'MEMORIA CANTIDADES'!C:C,Table28[[#This Row],[UNIDAD]]),0)</f>
        <v>0</v>
      </c>
      <c r="E1145" s="225">
        <f>+VLOOKUP(Table28[[#This Row],[DESCRIPCIÓN ]],INSUMOS!A:D,3,FALSE)</f>
        <v>415842.21</v>
      </c>
      <c r="F1145" s="225">
        <f>+Table28[[#This Row],[CANTIDAD]]*Table28[[#This Row],[VALOR UNITARIO]]</f>
        <v>0</v>
      </c>
    </row>
    <row r="1146" spans="1:6" s="193" customFormat="1" hidden="1" x14ac:dyDescent="0.3">
      <c r="A1146" s="193">
        <v>1128</v>
      </c>
      <c r="B1146" s="193" t="s">
        <v>1148</v>
      </c>
      <c r="C1146" s="193" t="s">
        <v>55</v>
      </c>
      <c r="D1146" s="226">
        <f>+ROUNDUP(SUMIFS('MEMORIA CANTIDADES'!E:E,'MEMORIA CANTIDADES'!B:B,Table28[[#This Row],[DESCRIPCIÓN ]],'MEMORIA CANTIDADES'!C:C,Table28[[#This Row],[UNIDAD]]),0)</f>
        <v>0</v>
      </c>
      <c r="E1146" s="225">
        <f>+VLOOKUP(Table28[[#This Row],[DESCRIPCIÓN ]],INSUMOS!A:D,3,FALSE)</f>
        <v>774299.54</v>
      </c>
      <c r="F1146" s="225">
        <f>+Table28[[#This Row],[CANTIDAD]]*Table28[[#This Row],[VALOR UNITARIO]]</f>
        <v>0</v>
      </c>
    </row>
    <row r="1147" spans="1:6" s="193" customFormat="1" ht="28.8" hidden="1" x14ac:dyDescent="0.3">
      <c r="A1147" s="193">
        <v>1129</v>
      </c>
      <c r="B1147" s="193" t="s">
        <v>1149</v>
      </c>
      <c r="C1147" s="193" t="s">
        <v>55</v>
      </c>
      <c r="D1147" s="226">
        <f>+ROUNDUP(SUMIFS('MEMORIA CANTIDADES'!E:E,'MEMORIA CANTIDADES'!B:B,Table28[[#This Row],[DESCRIPCIÓN ]],'MEMORIA CANTIDADES'!C:C,Table28[[#This Row],[UNIDAD]]),0)</f>
        <v>0</v>
      </c>
      <c r="E1147" s="225">
        <f>+VLOOKUP(Table28[[#This Row],[DESCRIPCIÓN ]],INSUMOS!A:D,3,FALSE)</f>
        <v>66435.97</v>
      </c>
      <c r="F1147" s="225">
        <f>+Table28[[#This Row],[CANTIDAD]]*Table28[[#This Row],[VALOR UNITARIO]]</f>
        <v>0</v>
      </c>
    </row>
    <row r="1148" spans="1:6" s="193" customFormat="1" hidden="1" x14ac:dyDescent="0.3">
      <c r="A1148" s="193">
        <v>1130</v>
      </c>
      <c r="B1148" s="193" t="s">
        <v>1150</v>
      </c>
      <c r="C1148" s="193" t="s">
        <v>55</v>
      </c>
      <c r="D1148" s="226">
        <f>+ROUNDUP(SUMIFS('MEMORIA CANTIDADES'!E:E,'MEMORIA CANTIDADES'!B:B,Table28[[#This Row],[DESCRIPCIÓN ]],'MEMORIA CANTIDADES'!C:C,Table28[[#This Row],[UNIDAD]]),0)</f>
        <v>0</v>
      </c>
      <c r="E1148" s="225">
        <f>+VLOOKUP(Table28[[#This Row],[DESCRIPCIÓN ]],INSUMOS!A:D,3,FALSE)</f>
        <v>65398.6</v>
      </c>
      <c r="F1148" s="225">
        <f>+Table28[[#This Row],[CANTIDAD]]*Table28[[#This Row],[VALOR UNITARIO]]</f>
        <v>0</v>
      </c>
    </row>
    <row r="1149" spans="1:6" s="193" customFormat="1" hidden="1" x14ac:dyDescent="0.3">
      <c r="A1149" s="193">
        <v>1131</v>
      </c>
      <c r="B1149" s="193" t="s">
        <v>1151</v>
      </c>
      <c r="C1149" s="193" t="s">
        <v>55</v>
      </c>
      <c r="D1149" s="226">
        <f>+ROUNDUP(SUMIFS('MEMORIA CANTIDADES'!E:E,'MEMORIA CANTIDADES'!B:B,Table28[[#This Row],[DESCRIPCIÓN ]],'MEMORIA CANTIDADES'!C:C,Table28[[#This Row],[UNIDAD]]),0)</f>
        <v>0</v>
      </c>
      <c r="E1149" s="225">
        <f>+VLOOKUP(Table28[[#This Row],[DESCRIPCIÓN ]],INSUMOS!A:D,3,FALSE)</f>
        <v>93397.97</v>
      </c>
      <c r="F1149" s="225">
        <f>+Table28[[#This Row],[CANTIDAD]]*Table28[[#This Row],[VALOR UNITARIO]]</f>
        <v>0</v>
      </c>
    </row>
    <row r="1150" spans="1:6" s="193" customFormat="1" hidden="1" x14ac:dyDescent="0.3">
      <c r="A1150" s="193">
        <v>1132</v>
      </c>
      <c r="B1150" s="193" t="s">
        <v>1152</v>
      </c>
      <c r="C1150" s="193" t="s">
        <v>55</v>
      </c>
      <c r="D1150" s="226">
        <f>+ROUNDUP(SUMIFS('MEMORIA CANTIDADES'!E:E,'MEMORIA CANTIDADES'!B:B,Table28[[#This Row],[DESCRIPCIÓN ]],'MEMORIA CANTIDADES'!C:C,Table28[[#This Row],[UNIDAD]]),0)</f>
        <v>0</v>
      </c>
      <c r="E1150" s="225">
        <f>+VLOOKUP(Table28[[#This Row],[DESCRIPCIÓN ]],INSUMOS!A:D,3,FALSE)</f>
        <v>144619.18</v>
      </c>
      <c r="F1150" s="225">
        <f>+Table28[[#This Row],[CANTIDAD]]*Table28[[#This Row],[VALOR UNITARIO]]</f>
        <v>0</v>
      </c>
    </row>
    <row r="1151" spans="1:6" s="193" customFormat="1" hidden="1" x14ac:dyDescent="0.3">
      <c r="A1151" s="193">
        <v>678</v>
      </c>
      <c r="B1151" s="193" t="s">
        <v>1153</v>
      </c>
      <c r="C1151" s="193" t="s">
        <v>55</v>
      </c>
      <c r="D1151" s="226">
        <f>+ROUNDUP(SUMIFS('MEMORIA CANTIDADES'!E:E,'MEMORIA CANTIDADES'!B:B,Table28[[#This Row],[DESCRIPCIÓN ]],'MEMORIA CANTIDADES'!C:C,Table28[[#This Row],[UNIDAD]]),0)</f>
        <v>0</v>
      </c>
      <c r="E1151" s="225">
        <f>+VLOOKUP(Table28[[#This Row],[DESCRIPCIÓN ]],INSUMOS!A:D,3,FALSE)</f>
        <v>2574.09</v>
      </c>
      <c r="F1151" s="225">
        <f>+Table28[[#This Row],[CANTIDAD]]*Table28[[#This Row],[VALOR UNITARIO]]</f>
        <v>0</v>
      </c>
    </row>
    <row r="1152" spans="1:6" s="193" customFormat="1" hidden="1" x14ac:dyDescent="0.3">
      <c r="A1152" s="193">
        <v>679</v>
      </c>
      <c r="B1152" s="193" t="s">
        <v>1154</v>
      </c>
      <c r="C1152" s="193" t="s">
        <v>55</v>
      </c>
      <c r="D1152" s="226">
        <f>+ROUNDUP(SUMIFS('MEMORIA CANTIDADES'!E:E,'MEMORIA CANTIDADES'!B:B,Table28[[#This Row],[DESCRIPCIÓN ]],'MEMORIA CANTIDADES'!C:C,Table28[[#This Row],[UNIDAD]]),0)</f>
        <v>0</v>
      </c>
      <c r="E1152" s="225">
        <f>+VLOOKUP(Table28[[#This Row],[DESCRIPCIÓN ]],INSUMOS!A:D,3,FALSE)</f>
        <v>1561.78</v>
      </c>
      <c r="F1152" s="225">
        <f>+Table28[[#This Row],[CANTIDAD]]*Table28[[#This Row],[VALOR UNITARIO]]</f>
        <v>0</v>
      </c>
    </row>
    <row r="1153" spans="1:6" s="193" customFormat="1" hidden="1" x14ac:dyDescent="0.3">
      <c r="A1153" s="193">
        <v>680</v>
      </c>
      <c r="B1153" s="193" t="s">
        <v>1155</v>
      </c>
      <c r="C1153" s="193" t="s">
        <v>55</v>
      </c>
      <c r="D1153" s="226">
        <f>+ROUNDUP(SUMIFS('MEMORIA CANTIDADES'!E:E,'MEMORIA CANTIDADES'!B:B,Table28[[#This Row],[DESCRIPCIÓN ]],'MEMORIA CANTIDADES'!C:C,Table28[[#This Row],[UNIDAD]]),0)</f>
        <v>0</v>
      </c>
      <c r="E1153" s="225">
        <f>+VLOOKUP(Table28[[#This Row],[DESCRIPCIÓN ]],INSUMOS!A:D,3,FALSE)</f>
        <v>337.23</v>
      </c>
      <c r="F1153" s="225">
        <f>+Table28[[#This Row],[CANTIDAD]]*Table28[[#This Row],[VALOR UNITARIO]]</f>
        <v>0</v>
      </c>
    </row>
    <row r="1154" spans="1:6" s="193" customFormat="1" hidden="1" x14ac:dyDescent="0.3">
      <c r="A1154" s="193">
        <v>681</v>
      </c>
      <c r="B1154" s="193" t="s">
        <v>1156</v>
      </c>
      <c r="C1154" s="193" t="s">
        <v>55</v>
      </c>
      <c r="D1154" s="226">
        <f>+ROUNDUP(SUMIFS('MEMORIA CANTIDADES'!E:E,'MEMORIA CANTIDADES'!B:B,Table28[[#This Row],[DESCRIPCIÓN ]],'MEMORIA CANTIDADES'!C:C,Table28[[#This Row],[UNIDAD]]),0)</f>
        <v>0</v>
      </c>
      <c r="E1154" s="225">
        <f>+VLOOKUP(Table28[[#This Row],[DESCRIPCIÓN ]],INSUMOS!A:D,3,FALSE)</f>
        <v>938.79</v>
      </c>
      <c r="F1154" s="225">
        <f>+Table28[[#This Row],[CANTIDAD]]*Table28[[#This Row],[VALOR UNITARIO]]</f>
        <v>0</v>
      </c>
    </row>
    <row r="1155" spans="1:6" s="193" customFormat="1" hidden="1" x14ac:dyDescent="0.3">
      <c r="A1155" s="193">
        <v>682</v>
      </c>
      <c r="B1155" s="193" t="s">
        <v>1157</v>
      </c>
      <c r="C1155" s="193" t="s">
        <v>55</v>
      </c>
      <c r="D1155" s="226">
        <f>+ROUNDUP(SUMIFS('MEMORIA CANTIDADES'!E:E,'MEMORIA CANTIDADES'!B:B,Table28[[#This Row],[DESCRIPCIÓN ]],'MEMORIA CANTIDADES'!C:C,Table28[[#This Row],[UNIDAD]]),0)</f>
        <v>0</v>
      </c>
      <c r="E1155" s="225">
        <f>+VLOOKUP(Table28[[#This Row],[DESCRIPCIÓN ]],INSUMOS!A:D,3,FALSE)</f>
        <v>347.76</v>
      </c>
      <c r="F1155" s="225">
        <f>+Table28[[#This Row],[CANTIDAD]]*Table28[[#This Row],[VALOR UNITARIO]]</f>
        <v>0</v>
      </c>
    </row>
    <row r="1156" spans="1:6" s="193" customFormat="1" hidden="1" x14ac:dyDescent="0.3">
      <c r="A1156" s="193">
        <v>683</v>
      </c>
      <c r="B1156" s="193" t="s">
        <v>1158</v>
      </c>
      <c r="C1156" s="193" t="s">
        <v>55</v>
      </c>
      <c r="D1156" s="226">
        <f>+ROUNDUP(SUMIFS('MEMORIA CANTIDADES'!E:E,'MEMORIA CANTIDADES'!B:B,Table28[[#This Row],[DESCRIPCIÓN ]],'MEMORIA CANTIDADES'!C:C,Table28[[#This Row],[UNIDAD]]),0)</f>
        <v>0</v>
      </c>
      <c r="E1156" s="225">
        <f>+VLOOKUP(Table28[[#This Row],[DESCRIPCIÓN ]],INSUMOS!A:D,3,FALSE)</f>
        <v>3095.03</v>
      </c>
      <c r="F1156" s="225">
        <f>+Table28[[#This Row],[CANTIDAD]]*Table28[[#This Row],[VALOR UNITARIO]]</f>
        <v>0</v>
      </c>
    </row>
    <row r="1157" spans="1:6" s="193" customFormat="1" hidden="1" x14ac:dyDescent="0.3">
      <c r="A1157" s="193">
        <v>684</v>
      </c>
      <c r="B1157" s="193" t="s">
        <v>1159</v>
      </c>
      <c r="C1157" s="193" t="s">
        <v>55</v>
      </c>
      <c r="D1157" s="226">
        <f>+ROUNDUP(SUMIFS('MEMORIA CANTIDADES'!E:E,'MEMORIA CANTIDADES'!B:B,Table28[[#This Row],[DESCRIPCIÓN ]],'MEMORIA CANTIDADES'!C:C,Table28[[#This Row],[UNIDAD]]),0)</f>
        <v>0</v>
      </c>
      <c r="E1157" s="225">
        <f>+VLOOKUP(Table28[[#This Row],[DESCRIPCIÓN ]],INSUMOS!A:D,3,FALSE)</f>
        <v>1533.53</v>
      </c>
      <c r="F1157" s="225">
        <f>+Table28[[#This Row],[CANTIDAD]]*Table28[[#This Row],[VALOR UNITARIO]]</f>
        <v>0</v>
      </c>
    </row>
    <row r="1158" spans="1:6" s="193" customFormat="1" hidden="1" x14ac:dyDescent="0.3">
      <c r="A1158" s="193">
        <v>205</v>
      </c>
      <c r="B1158" s="193" t="s">
        <v>1160</v>
      </c>
      <c r="C1158" s="193" t="s">
        <v>55</v>
      </c>
      <c r="D1158" s="226">
        <f>+ROUNDUP(SUMIFS('MEMORIA CANTIDADES'!E:E,'MEMORIA CANTIDADES'!B:B,Table28[[#This Row],[DESCRIPCIÓN ]],'MEMORIA CANTIDADES'!C:C,Table28[[#This Row],[UNIDAD]]),0)</f>
        <v>0</v>
      </c>
      <c r="E1158" s="225">
        <f>+VLOOKUP(Table28[[#This Row],[DESCRIPCIÓN ]],INSUMOS!A:D,3,FALSE)</f>
        <v>42938.17</v>
      </c>
      <c r="F1158" s="225">
        <f>+Table28[[#This Row],[CANTIDAD]]*Table28[[#This Row],[VALOR UNITARIO]]</f>
        <v>0</v>
      </c>
    </row>
    <row r="1159" spans="1:6" s="193" customFormat="1" hidden="1" x14ac:dyDescent="0.3">
      <c r="A1159" s="193">
        <v>206</v>
      </c>
      <c r="B1159" s="193" t="s">
        <v>1161</v>
      </c>
      <c r="C1159" s="193" t="s">
        <v>55</v>
      </c>
      <c r="D1159" s="226">
        <f>+ROUNDUP(SUMIFS('MEMORIA CANTIDADES'!E:E,'MEMORIA CANTIDADES'!B:B,Table28[[#This Row],[DESCRIPCIÓN ]],'MEMORIA CANTIDADES'!C:C,Table28[[#This Row],[UNIDAD]]),0)</f>
        <v>0</v>
      </c>
      <c r="E1159" s="225">
        <f>+VLOOKUP(Table28[[#This Row],[DESCRIPCIÓN ]],INSUMOS!A:D,3,FALSE)</f>
        <v>16299.03</v>
      </c>
      <c r="F1159" s="225">
        <f>+Table28[[#This Row],[CANTIDAD]]*Table28[[#This Row],[VALOR UNITARIO]]</f>
        <v>0</v>
      </c>
    </row>
    <row r="1160" spans="1:6" s="193" customFormat="1" hidden="1" x14ac:dyDescent="0.3">
      <c r="A1160" s="193">
        <v>207</v>
      </c>
      <c r="B1160" s="193" t="s">
        <v>1162</v>
      </c>
      <c r="C1160" s="193" t="s">
        <v>55</v>
      </c>
      <c r="D1160" s="226">
        <f>+ROUNDUP(SUMIFS('MEMORIA CANTIDADES'!E:E,'MEMORIA CANTIDADES'!B:B,Table28[[#This Row],[DESCRIPCIÓN ]],'MEMORIA CANTIDADES'!C:C,Table28[[#This Row],[UNIDAD]]),0)</f>
        <v>0</v>
      </c>
      <c r="E1160" s="225">
        <f>+VLOOKUP(Table28[[#This Row],[DESCRIPCIÓN ]],INSUMOS!A:D,3,FALSE)</f>
        <v>15676.93</v>
      </c>
      <c r="F1160" s="225">
        <f>+Table28[[#This Row],[CANTIDAD]]*Table28[[#This Row],[VALOR UNITARIO]]</f>
        <v>0</v>
      </c>
    </row>
    <row r="1161" spans="1:6" s="193" customFormat="1" ht="28.8" hidden="1" x14ac:dyDescent="0.3">
      <c r="A1161" s="193">
        <v>208</v>
      </c>
      <c r="B1161" s="193" t="s">
        <v>1163</v>
      </c>
      <c r="C1161" s="193" t="s">
        <v>55</v>
      </c>
      <c r="D1161" s="226">
        <f>+ROUNDUP(SUMIFS('MEMORIA CANTIDADES'!E:E,'MEMORIA CANTIDADES'!B:B,Table28[[#This Row],[DESCRIPCIÓN ]],'MEMORIA CANTIDADES'!C:C,Table28[[#This Row],[UNIDAD]]),0)</f>
        <v>0</v>
      </c>
      <c r="E1161" s="225">
        <f>+VLOOKUP(Table28[[#This Row],[DESCRIPCIÓN ]],INSUMOS!A:D,3,FALSE)</f>
        <v>50896.31</v>
      </c>
      <c r="F1161" s="225">
        <f>+Table28[[#This Row],[CANTIDAD]]*Table28[[#This Row],[VALOR UNITARIO]]</f>
        <v>0</v>
      </c>
    </row>
    <row r="1162" spans="1:6" s="193" customFormat="1" ht="28.8" hidden="1" x14ac:dyDescent="0.3">
      <c r="A1162" s="193">
        <v>209</v>
      </c>
      <c r="B1162" s="193" t="s">
        <v>1164</v>
      </c>
      <c r="C1162" s="193" t="s">
        <v>55</v>
      </c>
      <c r="D1162" s="226">
        <f>+ROUNDUP(SUMIFS('MEMORIA CANTIDADES'!E:E,'MEMORIA CANTIDADES'!B:B,Table28[[#This Row],[DESCRIPCIÓN ]],'MEMORIA CANTIDADES'!C:C,Table28[[#This Row],[UNIDAD]]),0)</f>
        <v>0</v>
      </c>
      <c r="E1162" s="225">
        <f>+VLOOKUP(Table28[[#This Row],[DESCRIPCIÓN ]],INSUMOS!A:D,3,FALSE)</f>
        <v>51138.53</v>
      </c>
      <c r="F1162" s="225">
        <f>+Table28[[#This Row],[CANTIDAD]]*Table28[[#This Row],[VALOR UNITARIO]]</f>
        <v>0</v>
      </c>
    </row>
    <row r="1163" spans="1:6" s="193" customFormat="1" hidden="1" x14ac:dyDescent="0.3">
      <c r="A1163" s="193">
        <v>210</v>
      </c>
      <c r="B1163" s="193" t="s">
        <v>1165</v>
      </c>
      <c r="C1163" s="193" t="s">
        <v>55</v>
      </c>
      <c r="D1163" s="226">
        <f>+ROUNDUP(SUMIFS('MEMORIA CANTIDADES'!E:E,'MEMORIA CANTIDADES'!B:B,Table28[[#This Row],[DESCRIPCIÓN ]],'MEMORIA CANTIDADES'!C:C,Table28[[#This Row],[UNIDAD]]),0)</f>
        <v>0</v>
      </c>
      <c r="E1163" s="225">
        <f>+VLOOKUP(Table28[[#This Row],[DESCRIPCIÓN ]],INSUMOS!A:D,3,FALSE)</f>
        <v>20568.79</v>
      </c>
      <c r="F1163" s="225">
        <f>+Table28[[#This Row],[CANTIDAD]]*Table28[[#This Row],[VALOR UNITARIO]]</f>
        <v>0</v>
      </c>
    </row>
    <row r="1164" spans="1:6" s="193" customFormat="1" ht="28.8" hidden="1" x14ac:dyDescent="0.3">
      <c r="A1164" s="193">
        <v>1133</v>
      </c>
      <c r="B1164" s="193" t="s">
        <v>1166</v>
      </c>
      <c r="C1164" s="193" t="s">
        <v>55</v>
      </c>
      <c r="D1164" s="226">
        <f>+ROUNDUP(SUMIFS('MEMORIA CANTIDADES'!E:E,'MEMORIA CANTIDADES'!B:B,Table28[[#This Row],[DESCRIPCIÓN ]],'MEMORIA CANTIDADES'!C:C,Table28[[#This Row],[UNIDAD]]),0)</f>
        <v>0</v>
      </c>
      <c r="E1164" s="225">
        <f>+VLOOKUP(Table28[[#This Row],[DESCRIPCIÓN ]],INSUMOS!A:D,3,FALSE)</f>
        <v>17698.34</v>
      </c>
      <c r="F1164" s="225">
        <f>+Table28[[#This Row],[CANTIDAD]]*Table28[[#This Row],[VALOR UNITARIO]]</f>
        <v>0</v>
      </c>
    </row>
    <row r="1165" spans="1:6" s="193" customFormat="1" ht="28.8" hidden="1" x14ac:dyDescent="0.3">
      <c r="A1165" s="193">
        <v>1134</v>
      </c>
      <c r="B1165" s="193" t="s">
        <v>1167</v>
      </c>
      <c r="C1165" s="193" t="s">
        <v>55</v>
      </c>
      <c r="D1165" s="226">
        <f>+ROUNDUP(SUMIFS('MEMORIA CANTIDADES'!E:E,'MEMORIA CANTIDADES'!B:B,Table28[[#This Row],[DESCRIPCIÓN ]],'MEMORIA CANTIDADES'!C:C,Table28[[#This Row],[UNIDAD]]),0)</f>
        <v>0</v>
      </c>
      <c r="E1165" s="225">
        <f>+VLOOKUP(Table28[[#This Row],[DESCRIPCIÓN ]],INSUMOS!A:D,3,FALSE)</f>
        <v>1927.03</v>
      </c>
      <c r="F1165" s="225">
        <f>+Table28[[#This Row],[CANTIDAD]]*Table28[[#This Row],[VALOR UNITARIO]]</f>
        <v>0</v>
      </c>
    </row>
    <row r="1166" spans="1:6" s="193" customFormat="1" ht="28.8" hidden="1" x14ac:dyDescent="0.3">
      <c r="A1166" s="193">
        <v>1135</v>
      </c>
      <c r="B1166" s="193" t="s">
        <v>1168</v>
      </c>
      <c r="C1166" s="193" t="s">
        <v>55</v>
      </c>
      <c r="D1166" s="226">
        <f>+ROUNDUP(SUMIFS('MEMORIA CANTIDADES'!E:E,'MEMORIA CANTIDADES'!B:B,Table28[[#This Row],[DESCRIPCIÓN ]],'MEMORIA CANTIDADES'!C:C,Table28[[#This Row],[UNIDAD]]),0)</f>
        <v>0</v>
      </c>
      <c r="E1166" s="225">
        <f>+VLOOKUP(Table28[[#This Row],[DESCRIPCIÓN ]],INSUMOS!A:D,3,FALSE)</f>
        <v>2649.6</v>
      </c>
      <c r="F1166" s="225">
        <f>+Table28[[#This Row],[CANTIDAD]]*Table28[[#This Row],[VALOR UNITARIO]]</f>
        <v>0</v>
      </c>
    </row>
    <row r="1167" spans="1:6" s="193" customFormat="1" hidden="1" x14ac:dyDescent="0.3">
      <c r="A1167" s="193">
        <v>211</v>
      </c>
      <c r="B1167" s="193" t="s">
        <v>1169</v>
      </c>
      <c r="C1167" s="193" t="s">
        <v>55</v>
      </c>
      <c r="D1167" s="226">
        <f>+ROUNDUP(SUMIFS('MEMORIA CANTIDADES'!E:E,'MEMORIA CANTIDADES'!B:B,Table28[[#This Row],[DESCRIPCIÓN ]],'MEMORIA CANTIDADES'!C:C,Table28[[#This Row],[UNIDAD]]),0)</f>
        <v>0</v>
      </c>
      <c r="E1167" s="225">
        <f>+VLOOKUP(Table28[[#This Row],[DESCRIPCIÓN ]],INSUMOS!A:D,3,FALSE)</f>
        <v>58252.09</v>
      </c>
      <c r="F1167" s="225">
        <f>+Table28[[#This Row],[CANTIDAD]]*Table28[[#This Row],[VALOR UNITARIO]]</f>
        <v>0</v>
      </c>
    </row>
    <row r="1168" spans="1:6" s="193" customFormat="1" hidden="1" x14ac:dyDescent="0.3">
      <c r="A1168" s="193">
        <v>212</v>
      </c>
      <c r="B1168" s="193" t="s">
        <v>1170</v>
      </c>
      <c r="C1168" s="193" t="s">
        <v>55</v>
      </c>
      <c r="D1168" s="226">
        <f>+ROUNDUP(SUMIFS('MEMORIA CANTIDADES'!E:E,'MEMORIA CANTIDADES'!B:B,Table28[[#This Row],[DESCRIPCIÓN ]],'MEMORIA CANTIDADES'!C:C,Table28[[#This Row],[UNIDAD]]),0)</f>
        <v>0</v>
      </c>
      <c r="E1168" s="225">
        <f>+VLOOKUP(Table28[[#This Row],[DESCRIPCIÓN ]],INSUMOS!A:D,3,FALSE)</f>
        <v>20263.77</v>
      </c>
      <c r="F1168" s="225">
        <f>+Table28[[#This Row],[CANTIDAD]]*Table28[[#This Row],[VALOR UNITARIO]]</f>
        <v>0</v>
      </c>
    </row>
    <row r="1169" spans="1:6" s="193" customFormat="1" hidden="1" x14ac:dyDescent="0.3">
      <c r="A1169" s="193">
        <v>213</v>
      </c>
      <c r="B1169" s="193" t="s">
        <v>1171</v>
      </c>
      <c r="C1169" s="193" t="s">
        <v>55</v>
      </c>
      <c r="D1169" s="226">
        <f>+ROUNDUP(SUMIFS('MEMORIA CANTIDADES'!E:E,'MEMORIA CANTIDADES'!B:B,Table28[[#This Row],[DESCRIPCIÓN ]],'MEMORIA CANTIDADES'!C:C,Table28[[#This Row],[UNIDAD]]),0)</f>
        <v>0</v>
      </c>
      <c r="E1169" s="225">
        <f>+VLOOKUP(Table28[[#This Row],[DESCRIPCIÓN ]],INSUMOS!A:D,3,FALSE)</f>
        <v>20660.54</v>
      </c>
      <c r="F1169" s="225">
        <f>+Table28[[#This Row],[CANTIDAD]]*Table28[[#This Row],[VALOR UNITARIO]]</f>
        <v>0</v>
      </c>
    </row>
    <row r="1170" spans="1:6" s="193" customFormat="1" hidden="1" x14ac:dyDescent="0.3">
      <c r="A1170" s="193">
        <v>214</v>
      </c>
      <c r="B1170" s="193" t="s">
        <v>1172</v>
      </c>
      <c r="C1170" s="193" t="s">
        <v>55</v>
      </c>
      <c r="D1170" s="226">
        <f>+ROUNDUP(SUMIFS('MEMORIA CANTIDADES'!E:E,'MEMORIA CANTIDADES'!B:B,Table28[[#This Row],[DESCRIPCIÓN ]],'MEMORIA CANTIDADES'!C:C,Table28[[#This Row],[UNIDAD]]),0)</f>
        <v>0</v>
      </c>
      <c r="E1170" s="225">
        <f>+VLOOKUP(Table28[[#This Row],[DESCRIPCIÓN ]],INSUMOS!A:D,3,FALSE)</f>
        <v>33686.06</v>
      </c>
      <c r="F1170" s="225">
        <f>+Table28[[#This Row],[CANTIDAD]]*Table28[[#This Row],[VALOR UNITARIO]]</f>
        <v>0</v>
      </c>
    </row>
    <row r="1171" spans="1:6" s="193" customFormat="1" hidden="1" x14ac:dyDescent="0.3">
      <c r="A1171" s="193">
        <v>215</v>
      </c>
      <c r="B1171" s="193" t="s">
        <v>1173</v>
      </c>
      <c r="C1171" s="193" t="s">
        <v>55</v>
      </c>
      <c r="D1171" s="226">
        <f>+ROUNDUP(SUMIFS('MEMORIA CANTIDADES'!E:E,'MEMORIA CANTIDADES'!B:B,Table28[[#This Row],[DESCRIPCIÓN ]],'MEMORIA CANTIDADES'!C:C,Table28[[#This Row],[UNIDAD]]),0)</f>
        <v>0</v>
      </c>
      <c r="E1171" s="225">
        <f>+VLOOKUP(Table28[[#This Row],[DESCRIPCIÓN ]],INSUMOS!A:D,3,FALSE)</f>
        <v>33873.629999999997</v>
      </c>
      <c r="F1171" s="225">
        <f>+Table28[[#This Row],[CANTIDAD]]*Table28[[#This Row],[VALOR UNITARIO]]</f>
        <v>0</v>
      </c>
    </row>
    <row r="1172" spans="1:6" s="193" customFormat="1" hidden="1" x14ac:dyDescent="0.3">
      <c r="A1172" s="193">
        <v>361</v>
      </c>
      <c r="B1172" s="193" t="s">
        <v>1174</v>
      </c>
      <c r="C1172" s="193" t="s">
        <v>55</v>
      </c>
      <c r="D1172" s="226">
        <f>+ROUNDUP(SUMIFS('MEMORIA CANTIDADES'!E:E,'MEMORIA CANTIDADES'!B:B,Table28[[#This Row],[DESCRIPCIÓN ]],'MEMORIA CANTIDADES'!C:C,Table28[[#This Row],[UNIDAD]]),0)</f>
        <v>0</v>
      </c>
      <c r="E1172" s="225">
        <f>+VLOOKUP(Table28[[#This Row],[DESCRIPCIÓN ]],INSUMOS!A:D,3,FALSE)</f>
        <v>2555.83</v>
      </c>
      <c r="F1172" s="225">
        <f>+Table28[[#This Row],[CANTIDAD]]*Table28[[#This Row],[VALOR UNITARIO]]</f>
        <v>0</v>
      </c>
    </row>
    <row r="1173" spans="1:6" s="193" customFormat="1" hidden="1" x14ac:dyDescent="0.3">
      <c r="A1173" s="193">
        <v>362</v>
      </c>
      <c r="B1173" s="193" t="s">
        <v>1175</v>
      </c>
      <c r="C1173" s="193" t="s">
        <v>55</v>
      </c>
      <c r="D1173" s="226">
        <f>+ROUNDUP(SUMIFS('MEMORIA CANTIDADES'!E:E,'MEMORIA CANTIDADES'!B:B,Table28[[#This Row],[DESCRIPCIÓN ]],'MEMORIA CANTIDADES'!C:C,Table28[[#This Row],[UNIDAD]]),0)</f>
        <v>0</v>
      </c>
      <c r="E1173" s="225">
        <f>+VLOOKUP(Table28[[#This Row],[DESCRIPCIÓN ]],INSUMOS!A:D,3,FALSE)</f>
        <v>876.75</v>
      </c>
      <c r="F1173" s="225">
        <f>+Table28[[#This Row],[CANTIDAD]]*Table28[[#This Row],[VALOR UNITARIO]]</f>
        <v>0</v>
      </c>
    </row>
    <row r="1174" spans="1:6" s="193" customFormat="1" hidden="1" x14ac:dyDescent="0.3">
      <c r="A1174" s="193">
        <v>363</v>
      </c>
      <c r="B1174" s="193" t="s">
        <v>1176</v>
      </c>
      <c r="C1174" s="193" t="s">
        <v>55</v>
      </c>
      <c r="D1174" s="226">
        <f>+ROUNDUP(SUMIFS('MEMORIA CANTIDADES'!E:E,'MEMORIA CANTIDADES'!B:B,Table28[[#This Row],[DESCRIPCIÓN ]],'MEMORIA CANTIDADES'!C:C,Table28[[#This Row],[UNIDAD]]),0)</f>
        <v>0</v>
      </c>
      <c r="E1174" s="225">
        <f>+VLOOKUP(Table28[[#This Row],[DESCRIPCIÓN ]],INSUMOS!A:D,3,FALSE)</f>
        <v>1788.7</v>
      </c>
      <c r="F1174" s="225">
        <f>+Table28[[#This Row],[CANTIDAD]]*Table28[[#This Row],[VALOR UNITARIO]]</f>
        <v>0</v>
      </c>
    </row>
    <row r="1175" spans="1:6" s="193" customFormat="1" hidden="1" x14ac:dyDescent="0.3">
      <c r="A1175" s="193">
        <v>1136</v>
      </c>
      <c r="B1175" s="193" t="s">
        <v>1177</v>
      </c>
      <c r="C1175" s="193" t="s">
        <v>55</v>
      </c>
      <c r="D1175" s="226">
        <f>+ROUNDUP(SUMIFS('MEMORIA CANTIDADES'!E:E,'MEMORIA CANTIDADES'!B:B,Table28[[#This Row],[DESCRIPCIÓN ]],'MEMORIA CANTIDADES'!C:C,Table28[[#This Row],[UNIDAD]]),0)</f>
        <v>0</v>
      </c>
      <c r="E1175" s="225">
        <f>+VLOOKUP(Table28[[#This Row],[DESCRIPCIÓN ]],INSUMOS!A:D,3,FALSE)</f>
        <v>12565.85</v>
      </c>
      <c r="F1175" s="225">
        <f>+Table28[[#This Row],[CANTIDAD]]*Table28[[#This Row],[VALOR UNITARIO]]</f>
        <v>0</v>
      </c>
    </row>
    <row r="1176" spans="1:6" s="193" customFormat="1" hidden="1" x14ac:dyDescent="0.3">
      <c r="A1176" s="193">
        <v>1137</v>
      </c>
      <c r="B1176" s="193" t="s">
        <v>1178</v>
      </c>
      <c r="C1176" s="193" t="s">
        <v>55</v>
      </c>
      <c r="D1176" s="226">
        <f>+ROUNDUP(SUMIFS('MEMORIA CANTIDADES'!E:E,'MEMORIA CANTIDADES'!B:B,Table28[[#This Row],[DESCRIPCIÓN ]],'MEMORIA CANTIDADES'!C:C,Table28[[#This Row],[UNIDAD]]),0)</f>
        <v>0</v>
      </c>
      <c r="E1176" s="225">
        <f>+VLOOKUP(Table28[[#This Row],[DESCRIPCIÓN ]],INSUMOS!A:D,3,FALSE)</f>
        <v>12275.57</v>
      </c>
      <c r="F1176" s="225">
        <f>+Table28[[#This Row],[CANTIDAD]]*Table28[[#This Row],[VALOR UNITARIO]]</f>
        <v>0</v>
      </c>
    </row>
    <row r="1177" spans="1:6" s="193" customFormat="1" hidden="1" x14ac:dyDescent="0.3">
      <c r="A1177" s="193">
        <v>1138</v>
      </c>
      <c r="B1177" s="193" t="s">
        <v>1179</v>
      </c>
      <c r="C1177" s="193" t="s">
        <v>55</v>
      </c>
      <c r="D1177" s="226">
        <f>+ROUNDUP(SUMIFS('MEMORIA CANTIDADES'!E:E,'MEMORIA CANTIDADES'!B:B,Table28[[#This Row],[DESCRIPCIÓN ]],'MEMORIA CANTIDADES'!C:C,Table28[[#This Row],[UNIDAD]]),0)</f>
        <v>0</v>
      </c>
      <c r="E1177" s="225">
        <f>+VLOOKUP(Table28[[#This Row],[DESCRIPCIÓN ]],INSUMOS!A:D,3,FALSE)</f>
        <v>4223.43</v>
      </c>
      <c r="F1177" s="225">
        <f>+Table28[[#This Row],[CANTIDAD]]*Table28[[#This Row],[VALOR UNITARIO]]</f>
        <v>0</v>
      </c>
    </row>
    <row r="1178" spans="1:6" s="193" customFormat="1" ht="28.8" hidden="1" x14ac:dyDescent="0.3">
      <c r="A1178" s="193">
        <v>1139</v>
      </c>
      <c r="B1178" s="193" t="s">
        <v>1180</v>
      </c>
      <c r="C1178" s="193" t="s">
        <v>55</v>
      </c>
      <c r="D1178" s="226">
        <f>+ROUNDUP(SUMIFS('MEMORIA CANTIDADES'!E:E,'MEMORIA CANTIDADES'!B:B,Table28[[#This Row],[DESCRIPCIÓN ]],'MEMORIA CANTIDADES'!C:C,Table28[[#This Row],[UNIDAD]]),0)</f>
        <v>0</v>
      </c>
      <c r="E1178" s="225">
        <f>+VLOOKUP(Table28[[#This Row],[DESCRIPCIÓN ]],INSUMOS!A:D,3,FALSE)</f>
        <v>4096.45</v>
      </c>
      <c r="F1178" s="225">
        <f>+Table28[[#This Row],[CANTIDAD]]*Table28[[#This Row],[VALOR UNITARIO]]</f>
        <v>0</v>
      </c>
    </row>
    <row r="1179" spans="1:6" s="193" customFormat="1" ht="28.8" hidden="1" x14ac:dyDescent="0.3">
      <c r="A1179" s="193">
        <v>1140</v>
      </c>
      <c r="B1179" s="193" t="s">
        <v>1181</v>
      </c>
      <c r="C1179" s="193" t="s">
        <v>55</v>
      </c>
      <c r="D1179" s="226">
        <f>+ROUNDUP(SUMIFS('MEMORIA CANTIDADES'!E:E,'MEMORIA CANTIDADES'!B:B,Table28[[#This Row],[DESCRIPCIÓN ]],'MEMORIA CANTIDADES'!C:C,Table28[[#This Row],[UNIDAD]]),0)</f>
        <v>0</v>
      </c>
      <c r="E1179" s="225">
        <f>+VLOOKUP(Table28[[#This Row],[DESCRIPCIÓN ]],INSUMOS!A:D,3,FALSE)</f>
        <v>3094.47</v>
      </c>
      <c r="F1179" s="225">
        <f>+Table28[[#This Row],[CANTIDAD]]*Table28[[#This Row],[VALOR UNITARIO]]</f>
        <v>0</v>
      </c>
    </row>
    <row r="1180" spans="1:6" s="193" customFormat="1" hidden="1" x14ac:dyDescent="0.3">
      <c r="A1180" s="193">
        <v>1141</v>
      </c>
      <c r="B1180" s="193" t="s">
        <v>1182</v>
      </c>
      <c r="C1180" s="193" t="s">
        <v>55</v>
      </c>
      <c r="D1180" s="226">
        <f>+ROUNDUP(SUMIFS('MEMORIA CANTIDADES'!E:E,'MEMORIA CANTIDADES'!B:B,Table28[[#This Row],[DESCRIPCIÓN ]],'MEMORIA CANTIDADES'!C:C,Table28[[#This Row],[UNIDAD]]),0)</f>
        <v>0</v>
      </c>
      <c r="E1180" s="225">
        <f>+VLOOKUP(Table28[[#This Row],[DESCRIPCIÓN ]],INSUMOS!A:D,3,FALSE)</f>
        <v>1700.04</v>
      </c>
      <c r="F1180" s="225">
        <f>+Table28[[#This Row],[CANTIDAD]]*Table28[[#This Row],[VALOR UNITARIO]]</f>
        <v>0</v>
      </c>
    </row>
    <row r="1181" spans="1:6" s="193" customFormat="1" hidden="1" x14ac:dyDescent="0.3">
      <c r="A1181" s="193">
        <v>1142</v>
      </c>
      <c r="B1181" s="193" t="s">
        <v>1183</v>
      </c>
      <c r="C1181" s="193" t="s">
        <v>55</v>
      </c>
      <c r="D1181" s="226">
        <f>+ROUNDUP(SUMIFS('MEMORIA CANTIDADES'!E:E,'MEMORIA CANTIDADES'!B:B,Table28[[#This Row],[DESCRIPCIÓN ]],'MEMORIA CANTIDADES'!C:C,Table28[[#This Row],[UNIDAD]]),0)</f>
        <v>0</v>
      </c>
      <c r="E1181" s="225">
        <f>+VLOOKUP(Table28[[#This Row],[DESCRIPCIÓN ]],INSUMOS!A:D,3,FALSE)</f>
        <v>566.12</v>
      </c>
      <c r="F1181" s="225">
        <f>+Table28[[#This Row],[CANTIDAD]]*Table28[[#This Row],[VALOR UNITARIO]]</f>
        <v>0</v>
      </c>
    </row>
    <row r="1182" spans="1:6" s="193" customFormat="1" ht="28.8" hidden="1" x14ac:dyDescent="0.3">
      <c r="A1182" s="193">
        <v>1143</v>
      </c>
      <c r="B1182" s="193" t="s">
        <v>1184</v>
      </c>
      <c r="C1182" s="193" t="s">
        <v>55</v>
      </c>
      <c r="D1182" s="226">
        <f>+ROUNDUP(SUMIFS('MEMORIA CANTIDADES'!E:E,'MEMORIA CANTIDADES'!B:B,Table28[[#This Row],[DESCRIPCIÓN ]],'MEMORIA CANTIDADES'!C:C,Table28[[#This Row],[UNIDAD]]),0)</f>
        <v>0</v>
      </c>
      <c r="E1182" s="225">
        <f>+VLOOKUP(Table28[[#This Row],[DESCRIPCIÓN ]],INSUMOS!A:D,3,FALSE)</f>
        <v>27504.97</v>
      </c>
      <c r="F1182" s="225">
        <f>+Table28[[#This Row],[CANTIDAD]]*Table28[[#This Row],[VALOR UNITARIO]]</f>
        <v>0</v>
      </c>
    </row>
    <row r="1183" spans="1:6" s="193" customFormat="1" hidden="1" x14ac:dyDescent="0.3">
      <c r="A1183" s="193">
        <v>1144</v>
      </c>
      <c r="B1183" s="193" t="s">
        <v>1185</v>
      </c>
      <c r="C1183" s="193" t="s">
        <v>55</v>
      </c>
      <c r="D1183" s="226">
        <f>+ROUNDUP(SUMIFS('MEMORIA CANTIDADES'!E:E,'MEMORIA CANTIDADES'!B:B,Table28[[#This Row],[DESCRIPCIÓN ]],'MEMORIA CANTIDADES'!C:C,Table28[[#This Row],[UNIDAD]]),0)</f>
        <v>0</v>
      </c>
      <c r="E1183" s="225">
        <f>+VLOOKUP(Table28[[#This Row],[DESCRIPCIÓN ]],INSUMOS!A:D,3,FALSE)</f>
        <v>6962.05</v>
      </c>
      <c r="F1183" s="225">
        <f>+Table28[[#This Row],[CANTIDAD]]*Table28[[#This Row],[VALOR UNITARIO]]</f>
        <v>0</v>
      </c>
    </row>
    <row r="1184" spans="1:6" s="193" customFormat="1" hidden="1" x14ac:dyDescent="0.3">
      <c r="A1184" s="193">
        <v>1145</v>
      </c>
      <c r="B1184" s="193" t="s">
        <v>1186</v>
      </c>
      <c r="C1184" s="193" t="s">
        <v>55</v>
      </c>
      <c r="D1184" s="226">
        <f>+ROUNDUP(SUMIFS('MEMORIA CANTIDADES'!E:E,'MEMORIA CANTIDADES'!B:B,Table28[[#This Row],[DESCRIPCIÓN ]],'MEMORIA CANTIDADES'!C:C,Table28[[#This Row],[UNIDAD]]),0)</f>
        <v>0</v>
      </c>
      <c r="E1184" s="225">
        <f>+VLOOKUP(Table28[[#This Row],[DESCRIPCIÓN ]],INSUMOS!A:D,3,FALSE)</f>
        <v>37256.75</v>
      </c>
      <c r="F1184" s="225">
        <f>+Table28[[#This Row],[CANTIDAD]]*Table28[[#This Row],[VALOR UNITARIO]]</f>
        <v>0</v>
      </c>
    </row>
    <row r="1185" spans="1:6" s="193" customFormat="1" hidden="1" x14ac:dyDescent="0.3">
      <c r="A1185" s="193">
        <v>1146</v>
      </c>
      <c r="B1185" s="193" t="s">
        <v>1187</v>
      </c>
      <c r="C1185" s="193" t="s">
        <v>55</v>
      </c>
      <c r="D1185" s="226">
        <f>+ROUNDUP(SUMIFS('MEMORIA CANTIDADES'!E:E,'MEMORIA CANTIDADES'!B:B,Table28[[#This Row],[DESCRIPCIÓN ]],'MEMORIA CANTIDADES'!C:C,Table28[[#This Row],[UNIDAD]]),0)</f>
        <v>0</v>
      </c>
      <c r="E1185" s="225">
        <f>+VLOOKUP(Table28[[#This Row],[DESCRIPCIÓN ]],INSUMOS!A:D,3,FALSE)</f>
        <v>1071.05</v>
      </c>
      <c r="F1185" s="225">
        <f>+Table28[[#This Row],[CANTIDAD]]*Table28[[#This Row],[VALOR UNITARIO]]</f>
        <v>0</v>
      </c>
    </row>
    <row r="1186" spans="1:6" s="193" customFormat="1" hidden="1" x14ac:dyDescent="0.3">
      <c r="A1186" s="193">
        <v>1147</v>
      </c>
      <c r="B1186" s="193" t="s">
        <v>1188</v>
      </c>
      <c r="C1186" s="193" t="s">
        <v>55</v>
      </c>
      <c r="D1186" s="226">
        <f>+ROUNDUP(SUMIFS('MEMORIA CANTIDADES'!E:E,'MEMORIA CANTIDADES'!B:B,Table28[[#This Row],[DESCRIPCIÓN ]],'MEMORIA CANTIDADES'!C:C,Table28[[#This Row],[UNIDAD]]),0)</f>
        <v>0</v>
      </c>
      <c r="E1186" s="225">
        <f>+VLOOKUP(Table28[[#This Row],[DESCRIPCIÓN ]],INSUMOS!A:D,3,FALSE)</f>
        <v>56437.25</v>
      </c>
      <c r="F1186" s="225">
        <f>+Table28[[#This Row],[CANTIDAD]]*Table28[[#This Row],[VALOR UNITARIO]]</f>
        <v>0</v>
      </c>
    </row>
    <row r="1187" spans="1:6" s="193" customFormat="1" hidden="1" x14ac:dyDescent="0.3">
      <c r="A1187" s="193">
        <v>1148</v>
      </c>
      <c r="B1187" s="193" t="s">
        <v>1189</v>
      </c>
      <c r="C1187" s="193" t="s">
        <v>55</v>
      </c>
      <c r="D1187" s="226">
        <f>+ROUNDUP(SUMIFS('MEMORIA CANTIDADES'!E:E,'MEMORIA CANTIDADES'!B:B,Table28[[#This Row],[DESCRIPCIÓN ]],'MEMORIA CANTIDADES'!C:C,Table28[[#This Row],[UNIDAD]]),0)</f>
        <v>0</v>
      </c>
      <c r="E1187" s="225">
        <f>+VLOOKUP(Table28[[#This Row],[DESCRIPCIÓN ]],INSUMOS!A:D,3,FALSE)</f>
        <v>1598.19</v>
      </c>
      <c r="F1187" s="225">
        <f>+Table28[[#This Row],[CANTIDAD]]*Table28[[#This Row],[VALOR UNITARIO]]</f>
        <v>0</v>
      </c>
    </row>
    <row r="1188" spans="1:6" s="193" customFormat="1" hidden="1" x14ac:dyDescent="0.3">
      <c r="A1188" s="193">
        <v>1149</v>
      </c>
      <c r="B1188" s="193" t="s">
        <v>1190</v>
      </c>
      <c r="C1188" s="193" t="s">
        <v>55</v>
      </c>
      <c r="D1188" s="226">
        <f>+ROUNDUP(SUMIFS('MEMORIA CANTIDADES'!E:E,'MEMORIA CANTIDADES'!B:B,Table28[[#This Row],[DESCRIPCIÓN ]],'MEMORIA CANTIDADES'!C:C,Table28[[#This Row],[UNIDAD]]),0)</f>
        <v>0</v>
      </c>
      <c r="E1188" s="225">
        <f>+VLOOKUP(Table28[[#This Row],[DESCRIPCIÓN ]],INSUMOS!A:D,3,FALSE)</f>
        <v>2403.9499999999998</v>
      </c>
      <c r="F1188" s="225">
        <f>+Table28[[#This Row],[CANTIDAD]]*Table28[[#This Row],[VALOR UNITARIO]]</f>
        <v>0</v>
      </c>
    </row>
    <row r="1189" spans="1:6" s="193" customFormat="1" hidden="1" x14ac:dyDescent="0.3">
      <c r="A1189" s="193">
        <v>1150</v>
      </c>
      <c r="B1189" s="193" t="s">
        <v>1191</v>
      </c>
      <c r="C1189" s="193" t="s">
        <v>55</v>
      </c>
      <c r="D1189" s="226">
        <f>+ROUNDUP(SUMIFS('MEMORIA CANTIDADES'!E:E,'MEMORIA CANTIDADES'!B:B,Table28[[#This Row],[DESCRIPCIÓN ]],'MEMORIA CANTIDADES'!C:C,Table28[[#This Row],[UNIDAD]]),0)</f>
        <v>0</v>
      </c>
      <c r="E1189" s="225">
        <f>+VLOOKUP(Table28[[#This Row],[DESCRIPCIÓN ]],INSUMOS!A:D,3,FALSE)</f>
        <v>1326.05</v>
      </c>
      <c r="F1189" s="225">
        <f>+Table28[[#This Row],[CANTIDAD]]*Table28[[#This Row],[VALOR UNITARIO]]</f>
        <v>0</v>
      </c>
    </row>
    <row r="1190" spans="1:6" s="193" customFormat="1" ht="28.8" hidden="1" x14ac:dyDescent="0.3">
      <c r="A1190" s="193">
        <v>1246</v>
      </c>
      <c r="B1190" s="193" t="s">
        <v>1192</v>
      </c>
      <c r="C1190" s="193" t="s">
        <v>55</v>
      </c>
      <c r="D1190" s="226">
        <f>+ROUNDUP(SUMIFS('MEMORIA CANTIDADES'!E:E,'MEMORIA CANTIDADES'!B:B,Table28[[#This Row],[DESCRIPCIÓN ]],'MEMORIA CANTIDADES'!C:C,Table28[[#This Row],[UNIDAD]]),0)</f>
        <v>0</v>
      </c>
      <c r="E1190" s="225">
        <f>+VLOOKUP(Table28[[#This Row],[DESCRIPCIÓN ]],INSUMOS!A:D,3,FALSE)</f>
        <v>66858.11</v>
      </c>
      <c r="F1190" s="225">
        <f>+Table28[[#This Row],[CANTIDAD]]*Table28[[#This Row],[VALOR UNITARIO]]</f>
        <v>0</v>
      </c>
    </row>
    <row r="1191" spans="1:6" s="193" customFormat="1" ht="28.8" hidden="1" x14ac:dyDescent="0.3">
      <c r="A1191" s="193">
        <v>685</v>
      </c>
      <c r="B1191" s="193" t="s">
        <v>2205</v>
      </c>
      <c r="C1191" s="193" t="s">
        <v>55</v>
      </c>
      <c r="D1191" s="226">
        <f>+ROUNDUP(SUMIFS('MEMORIA CANTIDADES'!E:E,'MEMORIA CANTIDADES'!B:B,Table28[[#This Row],[DESCRIPCIÓN ]],'MEMORIA CANTIDADES'!C:C,Table28[[#This Row],[UNIDAD]]),0)</f>
        <v>0</v>
      </c>
      <c r="E1191" s="225">
        <f>+VLOOKUP(Table28[[#This Row],[DESCRIPCIÓN ]],INSUMOS!A:D,3,FALSE)</f>
        <v>73221.19</v>
      </c>
      <c r="F1191" s="225">
        <f>+Table28[[#This Row],[CANTIDAD]]*Table28[[#This Row],[VALOR UNITARIO]]</f>
        <v>0</v>
      </c>
    </row>
    <row r="1192" spans="1:6" s="193" customFormat="1" ht="28.8" hidden="1" x14ac:dyDescent="0.3">
      <c r="A1192" s="193">
        <v>686</v>
      </c>
      <c r="B1192" s="193" t="s">
        <v>2206</v>
      </c>
      <c r="C1192" s="193" t="s">
        <v>55</v>
      </c>
      <c r="D1192" s="226">
        <f>+ROUNDUP(SUMIFS('MEMORIA CANTIDADES'!E:E,'MEMORIA CANTIDADES'!B:B,Table28[[#This Row],[DESCRIPCIÓN ]],'MEMORIA CANTIDADES'!C:C,Table28[[#This Row],[UNIDAD]]),0)</f>
        <v>0</v>
      </c>
      <c r="E1192" s="225">
        <f>+VLOOKUP(Table28[[#This Row],[DESCRIPCIÓN ]],INSUMOS!A:D,3,FALSE)</f>
        <v>117395.98</v>
      </c>
      <c r="F1192" s="225">
        <f>+Table28[[#This Row],[CANTIDAD]]*Table28[[#This Row],[VALOR UNITARIO]]</f>
        <v>0</v>
      </c>
    </row>
    <row r="1193" spans="1:6" s="193" customFormat="1" hidden="1" x14ac:dyDescent="0.3">
      <c r="A1193" s="193">
        <v>1151</v>
      </c>
      <c r="B1193" s="193" t="s">
        <v>1193</v>
      </c>
      <c r="C1193" s="193" t="s">
        <v>55</v>
      </c>
      <c r="D1193" s="226">
        <f>+ROUNDUP(SUMIFS('MEMORIA CANTIDADES'!E:E,'MEMORIA CANTIDADES'!B:B,Table28[[#This Row],[DESCRIPCIÓN ]],'MEMORIA CANTIDADES'!C:C,Table28[[#This Row],[UNIDAD]]),0)</f>
        <v>0</v>
      </c>
      <c r="E1193" s="225">
        <f>+VLOOKUP(Table28[[#This Row],[DESCRIPCIÓN ]],INSUMOS!A:D,3,FALSE)</f>
        <v>3668.49</v>
      </c>
      <c r="F1193" s="225">
        <f>+Table28[[#This Row],[CANTIDAD]]*Table28[[#This Row],[VALOR UNITARIO]]</f>
        <v>0</v>
      </c>
    </row>
    <row r="1194" spans="1:6" s="193" customFormat="1" hidden="1" x14ac:dyDescent="0.3">
      <c r="A1194" s="193">
        <v>1152</v>
      </c>
      <c r="B1194" s="193" t="s">
        <v>1194</v>
      </c>
      <c r="C1194" s="193" t="s">
        <v>55</v>
      </c>
      <c r="D1194" s="226">
        <f>+ROUNDUP(SUMIFS('MEMORIA CANTIDADES'!E:E,'MEMORIA CANTIDADES'!B:B,Table28[[#This Row],[DESCRIPCIÓN ]],'MEMORIA CANTIDADES'!C:C,Table28[[#This Row],[UNIDAD]]),0)</f>
        <v>0</v>
      </c>
      <c r="E1194" s="225">
        <f>+VLOOKUP(Table28[[#This Row],[DESCRIPCIÓN ]],INSUMOS!A:D,3,FALSE)</f>
        <v>5725.53</v>
      </c>
      <c r="F1194" s="225">
        <f>+Table28[[#This Row],[CANTIDAD]]*Table28[[#This Row],[VALOR UNITARIO]]</f>
        <v>0</v>
      </c>
    </row>
    <row r="1195" spans="1:6" s="193" customFormat="1" hidden="1" x14ac:dyDescent="0.3">
      <c r="A1195" s="193">
        <v>1153</v>
      </c>
      <c r="B1195" s="193" t="s">
        <v>1195</v>
      </c>
      <c r="C1195" s="193" t="s">
        <v>55</v>
      </c>
      <c r="D1195" s="226">
        <f>+ROUNDUP(SUMIFS('MEMORIA CANTIDADES'!E:E,'MEMORIA CANTIDADES'!B:B,Table28[[#This Row],[DESCRIPCIÓN ]],'MEMORIA CANTIDADES'!C:C,Table28[[#This Row],[UNIDAD]]),0)</f>
        <v>0</v>
      </c>
      <c r="E1195" s="225">
        <f>+VLOOKUP(Table28[[#This Row],[DESCRIPCIÓN ]],INSUMOS!A:D,3,FALSE)</f>
        <v>4905.1400000000003</v>
      </c>
      <c r="F1195" s="225">
        <f>+Table28[[#This Row],[CANTIDAD]]*Table28[[#This Row],[VALOR UNITARIO]]</f>
        <v>0</v>
      </c>
    </row>
    <row r="1196" spans="1:6" s="193" customFormat="1" hidden="1" x14ac:dyDescent="0.3">
      <c r="A1196" s="193">
        <v>1154</v>
      </c>
      <c r="B1196" s="193" t="s">
        <v>1196</v>
      </c>
      <c r="C1196" s="193" t="s">
        <v>55</v>
      </c>
      <c r="D1196" s="226">
        <f>+ROUNDUP(SUMIFS('MEMORIA CANTIDADES'!E:E,'MEMORIA CANTIDADES'!B:B,Table28[[#This Row],[DESCRIPCIÓN ]],'MEMORIA CANTIDADES'!C:C,Table28[[#This Row],[UNIDAD]]),0)</f>
        <v>0</v>
      </c>
      <c r="E1196" s="225">
        <f>+VLOOKUP(Table28[[#This Row],[DESCRIPCIÓN ]],INSUMOS!A:D,3,FALSE)</f>
        <v>8754.35</v>
      </c>
      <c r="F1196" s="225">
        <f>+Table28[[#This Row],[CANTIDAD]]*Table28[[#This Row],[VALOR UNITARIO]]</f>
        <v>0</v>
      </c>
    </row>
    <row r="1197" spans="1:6" s="193" customFormat="1" hidden="1" x14ac:dyDescent="0.3">
      <c r="A1197" s="193">
        <v>1155</v>
      </c>
      <c r="B1197" s="193" t="s">
        <v>1197</v>
      </c>
      <c r="C1197" s="193" t="s">
        <v>55</v>
      </c>
      <c r="D1197" s="226">
        <f>+ROUNDUP(SUMIFS('MEMORIA CANTIDADES'!E:E,'MEMORIA CANTIDADES'!B:B,Table28[[#This Row],[DESCRIPCIÓN ]],'MEMORIA CANTIDADES'!C:C,Table28[[#This Row],[UNIDAD]]),0)</f>
        <v>0</v>
      </c>
      <c r="E1197" s="225">
        <f>+VLOOKUP(Table28[[#This Row],[DESCRIPCIÓN ]],INSUMOS!A:D,3,FALSE)</f>
        <v>39863.46</v>
      </c>
      <c r="F1197" s="225">
        <f>+Table28[[#This Row],[CANTIDAD]]*Table28[[#This Row],[VALOR UNITARIO]]</f>
        <v>0</v>
      </c>
    </row>
    <row r="1198" spans="1:6" s="193" customFormat="1" ht="28.8" hidden="1" x14ac:dyDescent="0.3">
      <c r="A1198" s="193">
        <v>1156</v>
      </c>
      <c r="B1198" s="193" t="s">
        <v>1198</v>
      </c>
      <c r="C1198" s="193" t="s">
        <v>55</v>
      </c>
      <c r="D1198" s="226">
        <f>+ROUNDUP(SUMIFS('MEMORIA CANTIDADES'!E:E,'MEMORIA CANTIDADES'!B:B,Table28[[#This Row],[DESCRIPCIÓN ]],'MEMORIA CANTIDADES'!C:C,Table28[[#This Row],[UNIDAD]]),0)</f>
        <v>0</v>
      </c>
      <c r="E1198" s="225">
        <f>+VLOOKUP(Table28[[#This Row],[DESCRIPCIÓN ]],INSUMOS!A:D,3,FALSE)</f>
        <v>16317.47</v>
      </c>
      <c r="F1198" s="225">
        <f>+Table28[[#This Row],[CANTIDAD]]*Table28[[#This Row],[VALOR UNITARIO]]</f>
        <v>0</v>
      </c>
    </row>
    <row r="1199" spans="1:6" s="193" customFormat="1" ht="28.8" hidden="1" x14ac:dyDescent="0.3">
      <c r="A1199" s="193">
        <v>1157</v>
      </c>
      <c r="B1199" s="193" t="s">
        <v>1199</v>
      </c>
      <c r="C1199" s="193" t="s">
        <v>55</v>
      </c>
      <c r="D1199" s="226">
        <f>+ROUNDUP(SUMIFS('MEMORIA CANTIDADES'!E:E,'MEMORIA CANTIDADES'!B:B,Table28[[#This Row],[DESCRIPCIÓN ]],'MEMORIA CANTIDADES'!C:C,Table28[[#This Row],[UNIDAD]]),0)</f>
        <v>0</v>
      </c>
      <c r="E1199" s="225">
        <f>+VLOOKUP(Table28[[#This Row],[DESCRIPCIÓN ]],INSUMOS!A:D,3,FALSE)</f>
        <v>8660.3700000000008</v>
      </c>
      <c r="F1199" s="225">
        <f>+Table28[[#This Row],[CANTIDAD]]*Table28[[#This Row],[VALOR UNITARIO]]</f>
        <v>0</v>
      </c>
    </row>
    <row r="1200" spans="1:6" s="193" customFormat="1" ht="28.8" hidden="1" x14ac:dyDescent="0.3">
      <c r="A1200" s="193">
        <v>1158</v>
      </c>
      <c r="B1200" s="193" t="s">
        <v>1200</v>
      </c>
      <c r="C1200" s="193" t="s">
        <v>55</v>
      </c>
      <c r="D1200" s="226">
        <f>+ROUNDUP(SUMIFS('MEMORIA CANTIDADES'!E:E,'MEMORIA CANTIDADES'!B:B,Table28[[#This Row],[DESCRIPCIÓN ]],'MEMORIA CANTIDADES'!C:C,Table28[[#This Row],[UNIDAD]]),0)</f>
        <v>0</v>
      </c>
      <c r="E1200" s="225">
        <f>+VLOOKUP(Table28[[#This Row],[DESCRIPCIÓN ]],INSUMOS!A:D,3,FALSE)</f>
        <v>12965.18</v>
      </c>
      <c r="F1200" s="225">
        <f>+Table28[[#This Row],[CANTIDAD]]*Table28[[#This Row],[VALOR UNITARIO]]</f>
        <v>0</v>
      </c>
    </row>
    <row r="1201" spans="1:6" s="193" customFormat="1" ht="28.8" hidden="1" x14ac:dyDescent="0.3">
      <c r="A1201" s="193">
        <v>1159</v>
      </c>
      <c r="B1201" s="193" t="s">
        <v>1201</v>
      </c>
      <c r="C1201" s="193" t="s">
        <v>55</v>
      </c>
      <c r="D1201" s="226">
        <f>+ROUNDUP(SUMIFS('MEMORIA CANTIDADES'!E:E,'MEMORIA CANTIDADES'!B:B,Table28[[#This Row],[DESCRIPCIÓN ]],'MEMORIA CANTIDADES'!C:C,Table28[[#This Row],[UNIDAD]]),0)</f>
        <v>0</v>
      </c>
      <c r="E1201" s="225">
        <f>+VLOOKUP(Table28[[#This Row],[DESCRIPCIÓN ]],INSUMOS!A:D,3,FALSE)</f>
        <v>232176.08</v>
      </c>
      <c r="F1201" s="225">
        <f>+Table28[[#This Row],[CANTIDAD]]*Table28[[#This Row],[VALOR UNITARIO]]</f>
        <v>0</v>
      </c>
    </row>
    <row r="1202" spans="1:6" s="193" customFormat="1" hidden="1" x14ac:dyDescent="0.3">
      <c r="A1202" s="193">
        <v>1160</v>
      </c>
      <c r="B1202" s="193" t="s">
        <v>1202</v>
      </c>
      <c r="C1202" s="193" t="s">
        <v>55</v>
      </c>
      <c r="D1202" s="226">
        <f>+ROUNDUP(SUMIFS('MEMORIA CANTIDADES'!E:E,'MEMORIA CANTIDADES'!B:B,Table28[[#This Row],[DESCRIPCIÓN ]],'MEMORIA CANTIDADES'!C:C,Table28[[#This Row],[UNIDAD]]),0)</f>
        <v>0</v>
      </c>
      <c r="E1202" s="225">
        <f>+VLOOKUP(Table28[[#This Row],[DESCRIPCIÓN ]],INSUMOS!A:D,3,FALSE)</f>
        <v>175984.39</v>
      </c>
      <c r="F1202" s="225">
        <f>+Table28[[#This Row],[CANTIDAD]]*Table28[[#This Row],[VALOR UNITARIO]]</f>
        <v>0</v>
      </c>
    </row>
    <row r="1203" spans="1:6" s="193" customFormat="1" hidden="1" x14ac:dyDescent="0.3">
      <c r="A1203" s="193">
        <v>1161</v>
      </c>
      <c r="B1203" s="193" t="s">
        <v>1203</v>
      </c>
      <c r="C1203" s="193" t="s">
        <v>55</v>
      </c>
      <c r="D1203" s="226">
        <f>+ROUNDUP(SUMIFS('MEMORIA CANTIDADES'!E:E,'MEMORIA CANTIDADES'!B:B,Table28[[#This Row],[DESCRIPCIÓN ]],'MEMORIA CANTIDADES'!C:C,Table28[[#This Row],[UNIDAD]]),0)</f>
        <v>0</v>
      </c>
      <c r="E1203" s="225">
        <f>+VLOOKUP(Table28[[#This Row],[DESCRIPCIÓN ]],INSUMOS!A:D,3,FALSE)</f>
        <v>168797.28</v>
      </c>
      <c r="F1203" s="225">
        <f>+Table28[[#This Row],[CANTIDAD]]*Table28[[#This Row],[VALOR UNITARIO]]</f>
        <v>0</v>
      </c>
    </row>
    <row r="1204" spans="1:6" s="193" customFormat="1" hidden="1" x14ac:dyDescent="0.3">
      <c r="A1204" s="193">
        <v>1162</v>
      </c>
      <c r="B1204" s="193" t="s">
        <v>1204</v>
      </c>
      <c r="C1204" s="193" t="s">
        <v>55</v>
      </c>
      <c r="D1204" s="226">
        <f>+ROUNDUP(SUMIFS('MEMORIA CANTIDADES'!E:E,'MEMORIA CANTIDADES'!B:B,Table28[[#This Row],[DESCRIPCIÓN ]],'MEMORIA CANTIDADES'!C:C,Table28[[#This Row],[UNIDAD]]),0)</f>
        <v>0</v>
      </c>
      <c r="E1204" s="225">
        <f>+VLOOKUP(Table28[[#This Row],[DESCRIPCIÓN ]],INSUMOS!A:D,3,FALSE)</f>
        <v>63847.08</v>
      </c>
      <c r="F1204" s="225">
        <f>+Table28[[#This Row],[CANTIDAD]]*Table28[[#This Row],[VALOR UNITARIO]]</f>
        <v>0</v>
      </c>
    </row>
    <row r="1205" spans="1:6" s="193" customFormat="1" hidden="1" x14ac:dyDescent="0.3">
      <c r="A1205" s="193">
        <v>1163</v>
      </c>
      <c r="B1205" s="193" t="s">
        <v>1205</v>
      </c>
      <c r="C1205" s="193" t="s">
        <v>55</v>
      </c>
      <c r="D1205" s="226">
        <f>+ROUNDUP(SUMIFS('MEMORIA CANTIDADES'!E:E,'MEMORIA CANTIDADES'!B:B,Table28[[#This Row],[DESCRIPCIÓN ]],'MEMORIA CANTIDADES'!C:C,Table28[[#This Row],[UNIDAD]]),0)</f>
        <v>0</v>
      </c>
      <c r="E1205" s="225">
        <f>+VLOOKUP(Table28[[#This Row],[DESCRIPCIÓN ]],INSUMOS!A:D,3,FALSE)</f>
        <v>27107.94</v>
      </c>
      <c r="F1205" s="225">
        <f>+Table28[[#This Row],[CANTIDAD]]*Table28[[#This Row],[VALOR UNITARIO]]</f>
        <v>0</v>
      </c>
    </row>
    <row r="1206" spans="1:6" s="193" customFormat="1" hidden="1" x14ac:dyDescent="0.3">
      <c r="A1206" s="193">
        <v>1164</v>
      </c>
      <c r="B1206" s="193" t="s">
        <v>1206</v>
      </c>
      <c r="C1206" s="193" t="s">
        <v>55</v>
      </c>
      <c r="D1206" s="226">
        <f>+ROUNDUP(SUMIFS('MEMORIA CANTIDADES'!E:E,'MEMORIA CANTIDADES'!B:B,Table28[[#This Row],[DESCRIPCIÓN ]],'MEMORIA CANTIDADES'!C:C,Table28[[#This Row],[UNIDAD]]),0)</f>
        <v>0</v>
      </c>
      <c r="E1206" s="225">
        <f>+VLOOKUP(Table28[[#This Row],[DESCRIPCIÓN ]],INSUMOS!A:D,3,FALSE)</f>
        <v>56594.49</v>
      </c>
      <c r="F1206" s="225">
        <f>+Table28[[#This Row],[CANTIDAD]]*Table28[[#This Row],[VALOR UNITARIO]]</f>
        <v>0</v>
      </c>
    </row>
    <row r="1207" spans="1:6" s="193" customFormat="1" hidden="1" x14ac:dyDescent="0.3">
      <c r="A1207" s="193">
        <v>1165</v>
      </c>
      <c r="B1207" s="193" t="s">
        <v>1207</v>
      </c>
      <c r="C1207" s="193" t="s">
        <v>55</v>
      </c>
      <c r="D1207" s="226">
        <f>+ROUNDUP(SUMIFS('MEMORIA CANTIDADES'!E:E,'MEMORIA CANTIDADES'!B:B,Table28[[#This Row],[DESCRIPCIÓN ]],'MEMORIA CANTIDADES'!C:C,Table28[[#This Row],[UNIDAD]]),0)</f>
        <v>0</v>
      </c>
      <c r="E1207" s="225">
        <f>+VLOOKUP(Table28[[#This Row],[DESCRIPCIÓN ]],INSUMOS!A:D,3,FALSE)</f>
        <v>33957.949999999997</v>
      </c>
      <c r="F1207" s="225">
        <f>+Table28[[#This Row],[CANTIDAD]]*Table28[[#This Row],[VALOR UNITARIO]]</f>
        <v>0</v>
      </c>
    </row>
    <row r="1208" spans="1:6" s="193" customFormat="1" hidden="1" x14ac:dyDescent="0.3">
      <c r="A1208" s="193">
        <v>1166</v>
      </c>
      <c r="B1208" s="193" t="s">
        <v>1208</v>
      </c>
      <c r="C1208" s="193" t="s">
        <v>55</v>
      </c>
      <c r="D1208" s="226">
        <f>+ROUNDUP(SUMIFS('MEMORIA CANTIDADES'!E:E,'MEMORIA CANTIDADES'!B:B,Table28[[#This Row],[DESCRIPCIÓN ]],'MEMORIA CANTIDADES'!C:C,Table28[[#This Row],[UNIDAD]]),0)</f>
        <v>0</v>
      </c>
      <c r="E1208" s="225">
        <f>+VLOOKUP(Table28[[#This Row],[DESCRIPCIÓN ]],INSUMOS!A:D,3,FALSE)</f>
        <v>101105.66</v>
      </c>
      <c r="F1208" s="225">
        <f>+Table28[[#This Row],[CANTIDAD]]*Table28[[#This Row],[VALOR UNITARIO]]</f>
        <v>0</v>
      </c>
    </row>
    <row r="1209" spans="1:6" s="193" customFormat="1" hidden="1" x14ac:dyDescent="0.3">
      <c r="A1209" s="193">
        <v>1167</v>
      </c>
      <c r="B1209" s="193" t="s">
        <v>1209</v>
      </c>
      <c r="C1209" s="193" t="s">
        <v>55</v>
      </c>
      <c r="D1209" s="226">
        <f>+ROUNDUP(SUMIFS('MEMORIA CANTIDADES'!E:E,'MEMORIA CANTIDADES'!B:B,Table28[[#This Row],[DESCRIPCIÓN ]],'MEMORIA CANTIDADES'!C:C,Table28[[#This Row],[UNIDAD]]),0)</f>
        <v>0</v>
      </c>
      <c r="E1209" s="225">
        <f>+VLOOKUP(Table28[[#This Row],[DESCRIPCIÓN ]],INSUMOS!A:D,3,FALSE)</f>
        <v>39874.080000000002</v>
      </c>
      <c r="F1209" s="225">
        <f>+Table28[[#This Row],[CANTIDAD]]*Table28[[#This Row],[VALOR UNITARIO]]</f>
        <v>0</v>
      </c>
    </row>
    <row r="1210" spans="1:6" s="193" customFormat="1" hidden="1" x14ac:dyDescent="0.3">
      <c r="A1210" s="193">
        <v>1168</v>
      </c>
      <c r="B1210" s="193" t="s">
        <v>1210</v>
      </c>
      <c r="C1210" s="193" t="s">
        <v>55</v>
      </c>
      <c r="D1210" s="226">
        <f>+ROUNDUP(SUMIFS('MEMORIA CANTIDADES'!E:E,'MEMORIA CANTIDADES'!B:B,Table28[[#This Row],[DESCRIPCIÓN ]],'MEMORIA CANTIDADES'!C:C,Table28[[#This Row],[UNIDAD]]),0)</f>
        <v>0</v>
      </c>
      <c r="E1210" s="225">
        <f>+VLOOKUP(Table28[[#This Row],[DESCRIPCIÓN ]],INSUMOS!A:D,3,FALSE)</f>
        <v>82479.53</v>
      </c>
      <c r="F1210" s="225">
        <f>+Table28[[#This Row],[CANTIDAD]]*Table28[[#This Row],[VALOR UNITARIO]]</f>
        <v>0</v>
      </c>
    </row>
    <row r="1211" spans="1:6" s="193" customFormat="1" hidden="1" x14ac:dyDescent="0.3">
      <c r="A1211" s="193">
        <v>1169</v>
      </c>
      <c r="B1211" s="193" t="s">
        <v>1211</v>
      </c>
      <c r="C1211" s="193" t="s">
        <v>55</v>
      </c>
      <c r="D1211" s="226">
        <f>+ROUNDUP(SUMIFS('MEMORIA CANTIDADES'!E:E,'MEMORIA CANTIDADES'!B:B,Table28[[#This Row],[DESCRIPCIÓN ]],'MEMORIA CANTIDADES'!C:C,Table28[[#This Row],[UNIDAD]]),0)</f>
        <v>0</v>
      </c>
      <c r="E1211" s="225">
        <f>+VLOOKUP(Table28[[#This Row],[DESCRIPCIÓN ]],INSUMOS!A:D,3,FALSE)</f>
        <v>81203.490000000005</v>
      </c>
      <c r="F1211" s="225">
        <f>+Table28[[#This Row],[CANTIDAD]]*Table28[[#This Row],[VALOR UNITARIO]]</f>
        <v>0</v>
      </c>
    </row>
    <row r="1212" spans="1:6" s="193" customFormat="1" hidden="1" x14ac:dyDescent="0.3">
      <c r="A1212" s="193">
        <v>1170</v>
      </c>
      <c r="B1212" s="193" t="s">
        <v>1212</v>
      </c>
      <c r="C1212" s="193" t="s">
        <v>55</v>
      </c>
      <c r="D1212" s="226">
        <f>+ROUNDUP(SUMIFS('MEMORIA CANTIDADES'!E:E,'MEMORIA CANTIDADES'!B:B,Table28[[#This Row],[DESCRIPCIÓN ]],'MEMORIA CANTIDADES'!C:C,Table28[[#This Row],[UNIDAD]]),0)</f>
        <v>0</v>
      </c>
      <c r="E1212" s="225">
        <f>+VLOOKUP(Table28[[#This Row],[DESCRIPCIÓN ]],INSUMOS!A:D,3,FALSE)</f>
        <v>35581.61</v>
      </c>
      <c r="F1212" s="225">
        <f>+Table28[[#This Row],[CANTIDAD]]*Table28[[#This Row],[VALOR UNITARIO]]</f>
        <v>0</v>
      </c>
    </row>
    <row r="1213" spans="1:6" s="193" customFormat="1" hidden="1" x14ac:dyDescent="0.3">
      <c r="A1213" s="193">
        <v>1171</v>
      </c>
      <c r="B1213" s="193" t="s">
        <v>1213</v>
      </c>
      <c r="C1213" s="193" t="s">
        <v>55</v>
      </c>
      <c r="D1213" s="226">
        <f>+ROUNDUP(SUMIFS('MEMORIA CANTIDADES'!E:E,'MEMORIA CANTIDADES'!B:B,Table28[[#This Row],[DESCRIPCIÓN ]],'MEMORIA CANTIDADES'!C:C,Table28[[#This Row],[UNIDAD]]),0)</f>
        <v>0</v>
      </c>
      <c r="E1213" s="225">
        <f>+VLOOKUP(Table28[[#This Row],[DESCRIPCIÓN ]],INSUMOS!A:D,3,FALSE)</f>
        <v>36996</v>
      </c>
      <c r="F1213" s="225">
        <f>+Table28[[#This Row],[CANTIDAD]]*Table28[[#This Row],[VALOR UNITARIO]]</f>
        <v>0</v>
      </c>
    </row>
    <row r="1214" spans="1:6" s="193" customFormat="1" hidden="1" x14ac:dyDescent="0.3">
      <c r="A1214" s="193">
        <v>1172</v>
      </c>
      <c r="B1214" s="193" t="s">
        <v>1214</v>
      </c>
      <c r="C1214" s="193" t="s">
        <v>55</v>
      </c>
      <c r="D1214" s="226">
        <f>+ROUNDUP(SUMIFS('MEMORIA CANTIDADES'!E:E,'MEMORIA CANTIDADES'!B:B,Table28[[#This Row],[DESCRIPCIÓN ]],'MEMORIA CANTIDADES'!C:C,Table28[[#This Row],[UNIDAD]]),0)</f>
        <v>0</v>
      </c>
      <c r="E1214" s="225">
        <f>+VLOOKUP(Table28[[#This Row],[DESCRIPCIÓN ]],INSUMOS!A:D,3,FALSE)</f>
        <v>26626.34</v>
      </c>
      <c r="F1214" s="225">
        <f>+Table28[[#This Row],[CANTIDAD]]*Table28[[#This Row],[VALOR UNITARIO]]</f>
        <v>0</v>
      </c>
    </row>
    <row r="1215" spans="1:6" s="193" customFormat="1" ht="28.8" hidden="1" x14ac:dyDescent="0.3">
      <c r="A1215" s="193">
        <v>802</v>
      </c>
      <c r="B1215" s="193" t="s">
        <v>1215</v>
      </c>
      <c r="C1215" s="193" t="s">
        <v>55</v>
      </c>
      <c r="D1215" s="226">
        <f>+ROUNDUP(SUMIFS('MEMORIA CANTIDADES'!E:E,'MEMORIA CANTIDADES'!B:B,Table28[[#This Row],[DESCRIPCIÓN ]],'MEMORIA CANTIDADES'!C:C,Table28[[#This Row],[UNIDAD]]),0)</f>
        <v>0</v>
      </c>
      <c r="E1215" s="225">
        <f>+VLOOKUP(Table28[[#This Row],[DESCRIPCIÓN ]],INSUMOS!A:D,3,FALSE)</f>
        <v>67848.88</v>
      </c>
      <c r="F1215" s="225">
        <f>+Table28[[#This Row],[CANTIDAD]]*Table28[[#This Row],[VALOR UNITARIO]]</f>
        <v>0</v>
      </c>
    </row>
    <row r="1216" spans="1:6" s="193" customFormat="1" ht="28.8" hidden="1" x14ac:dyDescent="0.3">
      <c r="A1216" s="193">
        <v>374</v>
      </c>
      <c r="B1216" s="193" t="s">
        <v>2196</v>
      </c>
      <c r="C1216" s="193" t="s">
        <v>55</v>
      </c>
      <c r="D1216" s="226">
        <f>+ROUNDUP(SUMIFS('MEMORIA CANTIDADES'!E:E,'MEMORIA CANTIDADES'!B:B,Table28[[#This Row],[DESCRIPCIÓN ]],'MEMORIA CANTIDADES'!C:C,Table28[[#This Row],[UNIDAD]]),0)</f>
        <v>0</v>
      </c>
      <c r="E1216" s="225">
        <f>+VLOOKUP(Table28[[#This Row],[DESCRIPCIÓN ]],INSUMOS!A:D,3,FALSE)</f>
        <v>246961.67</v>
      </c>
      <c r="F1216" s="225">
        <f>+Table28[[#This Row],[CANTIDAD]]*Table28[[#This Row],[VALOR UNITARIO]]</f>
        <v>0</v>
      </c>
    </row>
    <row r="1217" spans="1:6" s="193" customFormat="1" ht="28.8" hidden="1" x14ac:dyDescent="0.3">
      <c r="A1217" s="193">
        <v>375</v>
      </c>
      <c r="B1217" s="193" t="s">
        <v>2197</v>
      </c>
      <c r="C1217" s="193" t="s">
        <v>55</v>
      </c>
      <c r="D1217" s="226">
        <f>+ROUNDUP(SUMIFS('MEMORIA CANTIDADES'!E:E,'MEMORIA CANTIDADES'!B:B,Table28[[#This Row],[DESCRIPCIÓN ]],'MEMORIA CANTIDADES'!C:C,Table28[[#This Row],[UNIDAD]]),0)</f>
        <v>0</v>
      </c>
      <c r="E1217" s="225">
        <f>+VLOOKUP(Table28[[#This Row],[DESCRIPCIÓN ]],INSUMOS!A:D,3,FALSE)</f>
        <v>326065.5</v>
      </c>
      <c r="F1217" s="225">
        <f>+Table28[[#This Row],[CANTIDAD]]*Table28[[#This Row],[VALOR UNITARIO]]</f>
        <v>0</v>
      </c>
    </row>
    <row r="1218" spans="1:6" s="193" customFormat="1" ht="28.8" hidden="1" x14ac:dyDescent="0.3">
      <c r="A1218" s="193">
        <v>376</v>
      </c>
      <c r="B1218" s="193" t="s">
        <v>2198</v>
      </c>
      <c r="C1218" s="193" t="s">
        <v>55</v>
      </c>
      <c r="D1218" s="226">
        <f>+ROUNDUP(SUMIFS('MEMORIA CANTIDADES'!E:E,'MEMORIA CANTIDADES'!B:B,Table28[[#This Row],[DESCRIPCIÓN ]],'MEMORIA CANTIDADES'!C:C,Table28[[#This Row],[UNIDAD]]),0)</f>
        <v>0</v>
      </c>
      <c r="E1218" s="225">
        <f>+VLOOKUP(Table28[[#This Row],[DESCRIPCIÓN ]],INSUMOS!A:D,3,FALSE)</f>
        <v>405216.44</v>
      </c>
      <c r="F1218" s="225">
        <f>+Table28[[#This Row],[CANTIDAD]]*Table28[[#This Row],[VALOR UNITARIO]]</f>
        <v>0</v>
      </c>
    </row>
    <row r="1219" spans="1:6" s="193" customFormat="1" hidden="1" x14ac:dyDescent="0.3">
      <c r="A1219" s="193">
        <v>687</v>
      </c>
      <c r="B1219" s="193" t="s">
        <v>1216</v>
      </c>
      <c r="C1219" s="193" t="s">
        <v>55</v>
      </c>
      <c r="D1219" s="226">
        <f>+ROUNDUP(SUMIFS('MEMORIA CANTIDADES'!E:E,'MEMORIA CANTIDADES'!B:B,Table28[[#This Row],[DESCRIPCIÓN ]],'MEMORIA CANTIDADES'!C:C,Table28[[#This Row],[UNIDAD]]),0)</f>
        <v>0</v>
      </c>
      <c r="E1219" s="225">
        <f>+VLOOKUP(Table28[[#This Row],[DESCRIPCIÓN ]],INSUMOS!A:D,3,FALSE)</f>
        <v>23773.89</v>
      </c>
      <c r="F1219" s="225">
        <f>+Table28[[#This Row],[CANTIDAD]]*Table28[[#This Row],[VALOR UNITARIO]]</f>
        <v>0</v>
      </c>
    </row>
    <row r="1220" spans="1:6" s="193" customFormat="1" hidden="1" x14ac:dyDescent="0.3">
      <c r="A1220" s="193">
        <v>688</v>
      </c>
      <c r="B1220" s="193" t="s">
        <v>1217</v>
      </c>
      <c r="C1220" s="193" t="s">
        <v>55</v>
      </c>
      <c r="D1220" s="226">
        <f>+ROUNDUP(SUMIFS('MEMORIA CANTIDADES'!E:E,'MEMORIA CANTIDADES'!B:B,Table28[[#This Row],[DESCRIPCIÓN ]],'MEMORIA CANTIDADES'!C:C,Table28[[#This Row],[UNIDAD]]),0)</f>
        <v>0</v>
      </c>
      <c r="E1220" s="225">
        <f>+VLOOKUP(Table28[[#This Row],[DESCRIPCIÓN ]],INSUMOS!A:D,3,FALSE)</f>
        <v>9025.3700000000008</v>
      </c>
      <c r="F1220" s="225">
        <f>+Table28[[#This Row],[CANTIDAD]]*Table28[[#This Row],[VALOR UNITARIO]]</f>
        <v>0</v>
      </c>
    </row>
    <row r="1221" spans="1:6" s="193" customFormat="1" hidden="1" x14ac:dyDescent="0.3">
      <c r="A1221" s="193">
        <v>689</v>
      </c>
      <c r="B1221" s="193" t="s">
        <v>1218</v>
      </c>
      <c r="C1221" s="193" t="s">
        <v>55</v>
      </c>
      <c r="D1221" s="226">
        <f>+ROUNDUP(SUMIFS('MEMORIA CANTIDADES'!E:E,'MEMORIA CANTIDADES'!B:B,Table28[[#This Row],[DESCRIPCIÓN ]],'MEMORIA CANTIDADES'!C:C,Table28[[#This Row],[UNIDAD]]),0)</f>
        <v>0</v>
      </c>
      <c r="E1221" s="225">
        <f>+VLOOKUP(Table28[[#This Row],[DESCRIPCIÓN ]],INSUMOS!A:D,3,FALSE)</f>
        <v>13091.99</v>
      </c>
      <c r="F1221" s="225">
        <f>+Table28[[#This Row],[CANTIDAD]]*Table28[[#This Row],[VALOR UNITARIO]]</f>
        <v>0</v>
      </c>
    </row>
    <row r="1222" spans="1:6" s="193" customFormat="1" hidden="1" x14ac:dyDescent="0.3">
      <c r="A1222" s="193">
        <v>690</v>
      </c>
      <c r="B1222" s="193" t="s">
        <v>1219</v>
      </c>
      <c r="C1222" s="193" t="s">
        <v>55</v>
      </c>
      <c r="D1222" s="226">
        <f>+ROUNDUP(SUMIFS('MEMORIA CANTIDADES'!E:E,'MEMORIA CANTIDADES'!B:B,Table28[[#This Row],[DESCRIPCIÓN ]],'MEMORIA CANTIDADES'!C:C,Table28[[#This Row],[UNIDAD]]),0)</f>
        <v>0</v>
      </c>
      <c r="E1222" s="225">
        <f>+VLOOKUP(Table28[[#This Row],[DESCRIPCIÓN ]],INSUMOS!A:D,3,FALSE)</f>
        <v>6583.45</v>
      </c>
      <c r="F1222" s="225">
        <f>+Table28[[#This Row],[CANTIDAD]]*Table28[[#This Row],[VALOR UNITARIO]]</f>
        <v>0</v>
      </c>
    </row>
    <row r="1223" spans="1:6" s="193" customFormat="1" hidden="1" x14ac:dyDescent="0.3">
      <c r="A1223" s="193">
        <v>691</v>
      </c>
      <c r="B1223" s="193" t="s">
        <v>1220</v>
      </c>
      <c r="C1223" s="193" t="s">
        <v>55</v>
      </c>
      <c r="D1223" s="226">
        <f>+ROUNDUP(SUMIFS('MEMORIA CANTIDADES'!E:E,'MEMORIA CANTIDADES'!B:B,Table28[[#This Row],[DESCRIPCIÓN ]],'MEMORIA CANTIDADES'!C:C,Table28[[#This Row],[UNIDAD]]),0)</f>
        <v>0</v>
      </c>
      <c r="E1223" s="225">
        <f>+VLOOKUP(Table28[[#This Row],[DESCRIPCIÓN ]],INSUMOS!A:D,3,FALSE)</f>
        <v>4255.93</v>
      </c>
      <c r="F1223" s="225">
        <f>+Table28[[#This Row],[CANTIDAD]]*Table28[[#This Row],[VALOR UNITARIO]]</f>
        <v>0</v>
      </c>
    </row>
    <row r="1224" spans="1:6" s="193" customFormat="1" hidden="1" x14ac:dyDescent="0.3">
      <c r="A1224" s="193">
        <v>692</v>
      </c>
      <c r="B1224" s="193" t="s">
        <v>1221</v>
      </c>
      <c r="C1224" s="193" t="s">
        <v>55</v>
      </c>
      <c r="D1224" s="226">
        <f>+ROUNDUP(SUMIFS('MEMORIA CANTIDADES'!E:E,'MEMORIA CANTIDADES'!B:B,Table28[[#This Row],[DESCRIPCIÓN ]],'MEMORIA CANTIDADES'!C:C,Table28[[#This Row],[UNIDAD]]),0)</f>
        <v>0</v>
      </c>
      <c r="E1224" s="225">
        <f>+VLOOKUP(Table28[[#This Row],[DESCRIPCIÓN ]],INSUMOS!A:D,3,FALSE)</f>
        <v>6090.28</v>
      </c>
      <c r="F1224" s="225">
        <f>+Table28[[#This Row],[CANTIDAD]]*Table28[[#This Row],[VALOR UNITARIO]]</f>
        <v>0</v>
      </c>
    </row>
    <row r="1225" spans="1:6" s="193" customFormat="1" hidden="1" x14ac:dyDescent="0.3">
      <c r="A1225" s="193">
        <v>693</v>
      </c>
      <c r="B1225" s="193" t="s">
        <v>1222</v>
      </c>
      <c r="C1225" s="193" t="s">
        <v>55</v>
      </c>
      <c r="D1225" s="226">
        <f>+ROUNDUP(SUMIFS('MEMORIA CANTIDADES'!E:E,'MEMORIA CANTIDADES'!B:B,Table28[[#This Row],[DESCRIPCIÓN ]],'MEMORIA CANTIDADES'!C:C,Table28[[#This Row],[UNIDAD]]),0)</f>
        <v>0</v>
      </c>
      <c r="E1225" s="225">
        <f>+VLOOKUP(Table28[[#This Row],[DESCRIPCIÓN ]],INSUMOS!A:D,3,FALSE)</f>
        <v>5961.88</v>
      </c>
      <c r="F1225" s="225">
        <f>+Table28[[#This Row],[CANTIDAD]]*Table28[[#This Row],[VALOR UNITARIO]]</f>
        <v>0</v>
      </c>
    </row>
    <row r="1226" spans="1:6" s="193" customFormat="1" hidden="1" x14ac:dyDescent="0.3">
      <c r="A1226" s="193">
        <v>694</v>
      </c>
      <c r="B1226" s="193" t="s">
        <v>1223</v>
      </c>
      <c r="C1226" s="193" t="s">
        <v>55</v>
      </c>
      <c r="D1226" s="226">
        <f>+ROUNDUP(SUMIFS('MEMORIA CANTIDADES'!E:E,'MEMORIA CANTIDADES'!B:B,Table28[[#This Row],[DESCRIPCIÓN ]],'MEMORIA CANTIDADES'!C:C,Table28[[#This Row],[UNIDAD]]),0)</f>
        <v>0</v>
      </c>
      <c r="E1226" s="225">
        <f>+VLOOKUP(Table28[[#This Row],[DESCRIPCIÓN ]],INSUMOS!A:D,3,FALSE)</f>
        <v>4045.65</v>
      </c>
      <c r="F1226" s="225">
        <f>+Table28[[#This Row],[CANTIDAD]]*Table28[[#This Row],[VALOR UNITARIO]]</f>
        <v>0</v>
      </c>
    </row>
    <row r="1227" spans="1:6" s="193" customFormat="1" hidden="1" x14ac:dyDescent="0.3">
      <c r="A1227" s="193">
        <v>695</v>
      </c>
      <c r="B1227" s="193" t="s">
        <v>1224</v>
      </c>
      <c r="C1227" s="193" t="s">
        <v>55</v>
      </c>
      <c r="D1227" s="226">
        <f>+ROUNDUP(SUMIFS('MEMORIA CANTIDADES'!E:E,'MEMORIA CANTIDADES'!B:B,Table28[[#This Row],[DESCRIPCIÓN ]],'MEMORIA CANTIDADES'!C:C,Table28[[#This Row],[UNIDAD]]),0)</f>
        <v>0</v>
      </c>
      <c r="E1227" s="225">
        <f>+VLOOKUP(Table28[[#This Row],[DESCRIPCIÓN ]],INSUMOS!A:D,3,FALSE)</f>
        <v>6232.12</v>
      </c>
      <c r="F1227" s="225">
        <f>+Table28[[#This Row],[CANTIDAD]]*Table28[[#This Row],[VALOR UNITARIO]]</f>
        <v>0</v>
      </c>
    </row>
    <row r="1228" spans="1:6" s="193" customFormat="1" hidden="1" x14ac:dyDescent="0.3">
      <c r="A1228" s="193">
        <v>696</v>
      </c>
      <c r="B1228" s="193" t="s">
        <v>1225</v>
      </c>
      <c r="C1228" s="193" t="s">
        <v>55</v>
      </c>
      <c r="D1228" s="226">
        <f>+ROUNDUP(SUMIFS('MEMORIA CANTIDADES'!E:E,'MEMORIA CANTIDADES'!B:B,Table28[[#This Row],[DESCRIPCIÓN ]],'MEMORIA CANTIDADES'!C:C,Table28[[#This Row],[UNIDAD]]),0)</f>
        <v>0</v>
      </c>
      <c r="E1228" s="225">
        <f>+VLOOKUP(Table28[[#This Row],[DESCRIPCIÓN ]],INSUMOS!A:D,3,FALSE)</f>
        <v>12180.06</v>
      </c>
      <c r="F1228" s="225">
        <f>+Table28[[#This Row],[CANTIDAD]]*Table28[[#This Row],[VALOR UNITARIO]]</f>
        <v>0</v>
      </c>
    </row>
    <row r="1229" spans="1:6" s="193" customFormat="1" hidden="1" x14ac:dyDescent="0.3">
      <c r="A1229" s="193">
        <v>697</v>
      </c>
      <c r="B1229" s="193" t="s">
        <v>1226</v>
      </c>
      <c r="C1229" s="193" t="s">
        <v>55</v>
      </c>
      <c r="D1229" s="226">
        <f>+ROUNDUP(SUMIFS('MEMORIA CANTIDADES'!E:E,'MEMORIA CANTIDADES'!B:B,Table28[[#This Row],[DESCRIPCIÓN ]],'MEMORIA CANTIDADES'!C:C,Table28[[#This Row],[UNIDAD]]),0)</f>
        <v>0</v>
      </c>
      <c r="E1229" s="225">
        <f>+VLOOKUP(Table28[[#This Row],[DESCRIPCIÓN ]],INSUMOS!A:D,3,FALSE)</f>
        <v>8264.2000000000007</v>
      </c>
      <c r="F1229" s="225">
        <f>+Table28[[#This Row],[CANTIDAD]]*Table28[[#This Row],[VALOR UNITARIO]]</f>
        <v>0</v>
      </c>
    </row>
    <row r="1230" spans="1:6" s="193" customFormat="1" hidden="1" x14ac:dyDescent="0.3">
      <c r="A1230" s="193">
        <v>698</v>
      </c>
      <c r="B1230" s="193" t="s">
        <v>1227</v>
      </c>
      <c r="C1230" s="193" t="s">
        <v>55</v>
      </c>
      <c r="D1230" s="226">
        <f>+ROUNDUP(SUMIFS('MEMORIA CANTIDADES'!E:E,'MEMORIA CANTIDADES'!B:B,Table28[[#This Row],[DESCRIPCIÓN ]],'MEMORIA CANTIDADES'!C:C,Table28[[#This Row],[UNIDAD]]),0)</f>
        <v>0</v>
      </c>
      <c r="E1230" s="225">
        <f>+VLOOKUP(Table28[[#This Row],[DESCRIPCIÓN ]],INSUMOS!A:D,3,FALSE)</f>
        <v>8989.2800000000007</v>
      </c>
      <c r="F1230" s="225">
        <f>+Table28[[#This Row],[CANTIDAD]]*Table28[[#This Row],[VALOR UNITARIO]]</f>
        <v>0</v>
      </c>
    </row>
    <row r="1231" spans="1:6" s="193" customFormat="1" hidden="1" x14ac:dyDescent="0.3">
      <c r="A1231" s="193">
        <v>699</v>
      </c>
      <c r="B1231" s="193" t="s">
        <v>1228</v>
      </c>
      <c r="C1231" s="193" t="s">
        <v>55</v>
      </c>
      <c r="D1231" s="226">
        <f>+ROUNDUP(SUMIFS('MEMORIA CANTIDADES'!E:E,'MEMORIA CANTIDADES'!B:B,Table28[[#This Row],[DESCRIPCIÓN ]],'MEMORIA CANTIDADES'!C:C,Table28[[#This Row],[UNIDAD]]),0)</f>
        <v>0</v>
      </c>
      <c r="E1231" s="225">
        <f>+VLOOKUP(Table28[[#This Row],[DESCRIPCIÓN ]],INSUMOS!A:D,3,FALSE)</f>
        <v>13244.11</v>
      </c>
      <c r="F1231" s="225">
        <f>+Table28[[#This Row],[CANTIDAD]]*Table28[[#This Row],[VALOR UNITARIO]]</f>
        <v>0</v>
      </c>
    </row>
    <row r="1232" spans="1:6" s="193" customFormat="1" hidden="1" x14ac:dyDescent="0.3">
      <c r="A1232" s="193">
        <v>700</v>
      </c>
      <c r="B1232" s="193" t="s">
        <v>1229</v>
      </c>
      <c r="C1232" s="193" t="s">
        <v>55</v>
      </c>
      <c r="D1232" s="226">
        <f>+ROUNDUP(SUMIFS('MEMORIA CANTIDADES'!E:E,'MEMORIA CANTIDADES'!B:B,Table28[[#This Row],[DESCRIPCIÓN ]],'MEMORIA CANTIDADES'!C:C,Table28[[#This Row],[UNIDAD]]),0)</f>
        <v>0</v>
      </c>
      <c r="E1232" s="225">
        <f>+VLOOKUP(Table28[[#This Row],[DESCRIPCIÓN ]],INSUMOS!A:D,3,FALSE)</f>
        <v>5169.9799999999996</v>
      </c>
      <c r="F1232" s="225">
        <f>+Table28[[#This Row],[CANTIDAD]]*Table28[[#This Row],[VALOR UNITARIO]]</f>
        <v>0</v>
      </c>
    </row>
    <row r="1233" spans="1:6" s="193" customFormat="1" hidden="1" x14ac:dyDescent="0.3">
      <c r="A1233" s="193">
        <v>701</v>
      </c>
      <c r="B1233" s="193" t="s">
        <v>1230</v>
      </c>
      <c r="C1233" s="193" t="s">
        <v>55</v>
      </c>
      <c r="D1233" s="226">
        <f>+ROUNDUP(SUMIFS('MEMORIA CANTIDADES'!E:E,'MEMORIA CANTIDADES'!B:B,Table28[[#This Row],[DESCRIPCIÓN ]],'MEMORIA CANTIDADES'!C:C,Table28[[#This Row],[UNIDAD]]),0)</f>
        <v>0</v>
      </c>
      <c r="E1233" s="225">
        <f>+VLOOKUP(Table28[[#This Row],[DESCRIPCIÓN ]],INSUMOS!A:D,3,FALSE)</f>
        <v>6707.48</v>
      </c>
      <c r="F1233" s="225">
        <f>+Table28[[#This Row],[CANTIDAD]]*Table28[[#This Row],[VALOR UNITARIO]]</f>
        <v>0</v>
      </c>
    </row>
    <row r="1234" spans="1:6" s="193" customFormat="1" ht="28.8" hidden="1" x14ac:dyDescent="0.3">
      <c r="A1234" s="193">
        <v>143</v>
      </c>
      <c r="B1234" s="193" t="s">
        <v>1231</v>
      </c>
      <c r="C1234" s="193" t="s">
        <v>1272</v>
      </c>
      <c r="D1234" s="226">
        <f>+ROUNDUP(SUMIFS('MEMORIA CANTIDADES'!E:E,'MEMORIA CANTIDADES'!B:B,Table28[[#This Row],[DESCRIPCIÓN ]],'MEMORIA CANTIDADES'!C:C,Table28[[#This Row],[UNIDAD]]),0)</f>
        <v>0</v>
      </c>
      <c r="E1234" s="225">
        <f>+VLOOKUP(Table28[[#This Row],[DESCRIPCIÓN ]],INSUMOS!A:D,3,FALSE)</f>
        <v>652411.21</v>
      </c>
      <c r="F1234" s="225">
        <f>+Table28[[#This Row],[CANTIDAD]]*Table28[[#This Row],[VALOR UNITARIO]]</f>
        <v>0</v>
      </c>
    </row>
    <row r="1235" spans="1:6" s="193" customFormat="1" ht="28.8" hidden="1" x14ac:dyDescent="0.3">
      <c r="A1235" s="193">
        <v>144</v>
      </c>
      <c r="B1235" s="193" t="s">
        <v>1232</v>
      </c>
      <c r="C1235" s="193" t="s">
        <v>1272</v>
      </c>
      <c r="D1235" s="226">
        <f>+ROUNDUP(SUMIFS('MEMORIA CANTIDADES'!E:E,'MEMORIA CANTIDADES'!B:B,Table28[[#This Row],[DESCRIPCIÓN ]],'MEMORIA CANTIDADES'!C:C,Table28[[#This Row],[UNIDAD]]),0)</f>
        <v>0</v>
      </c>
      <c r="E1235" s="225">
        <f>+VLOOKUP(Table28[[#This Row],[DESCRIPCIÓN ]],INSUMOS!A:D,3,FALSE)</f>
        <v>698697.65</v>
      </c>
      <c r="F1235" s="225">
        <f>+Table28[[#This Row],[CANTIDAD]]*Table28[[#This Row],[VALOR UNITARIO]]</f>
        <v>0</v>
      </c>
    </row>
    <row r="1236" spans="1:6" s="193" customFormat="1" ht="28.8" hidden="1" x14ac:dyDescent="0.3">
      <c r="A1236" s="193">
        <v>145</v>
      </c>
      <c r="B1236" s="193" t="s">
        <v>1233</v>
      </c>
      <c r="C1236" s="193" t="s">
        <v>1272</v>
      </c>
      <c r="D1236" s="226">
        <f>+ROUNDUP(SUMIFS('MEMORIA CANTIDADES'!E:E,'MEMORIA CANTIDADES'!B:B,Table28[[#This Row],[DESCRIPCIÓN ]],'MEMORIA CANTIDADES'!C:C,Table28[[#This Row],[UNIDAD]]),0)</f>
        <v>0</v>
      </c>
      <c r="E1236" s="225">
        <f>+VLOOKUP(Table28[[#This Row],[DESCRIPCIÓN ]],INSUMOS!A:D,3,FALSE)</f>
        <v>716850.42</v>
      </c>
      <c r="F1236" s="225">
        <f>+Table28[[#This Row],[CANTIDAD]]*Table28[[#This Row],[VALOR UNITARIO]]</f>
        <v>0</v>
      </c>
    </row>
    <row r="1237" spans="1:6" s="193" customFormat="1" ht="28.8" hidden="1" x14ac:dyDescent="0.3">
      <c r="A1237" s="193">
        <v>146</v>
      </c>
      <c r="B1237" s="193" t="s">
        <v>1234</v>
      </c>
      <c r="C1237" s="193" t="s">
        <v>1272</v>
      </c>
      <c r="D1237" s="226">
        <f>+ROUNDUP(SUMIFS('MEMORIA CANTIDADES'!E:E,'MEMORIA CANTIDADES'!B:B,Table28[[#This Row],[DESCRIPCIÓN ]],'MEMORIA CANTIDADES'!C:C,Table28[[#This Row],[UNIDAD]]),0)</f>
        <v>0</v>
      </c>
      <c r="E1237" s="225">
        <f>+VLOOKUP(Table28[[#This Row],[DESCRIPCIÓN ]],INSUMOS!A:D,3,FALSE)</f>
        <v>763237.28</v>
      </c>
      <c r="F1237" s="225">
        <f>+Table28[[#This Row],[CANTIDAD]]*Table28[[#This Row],[VALOR UNITARIO]]</f>
        <v>0</v>
      </c>
    </row>
    <row r="1238" spans="1:6" s="193" customFormat="1" ht="28.8" hidden="1" x14ac:dyDescent="0.3">
      <c r="A1238" s="193">
        <v>147</v>
      </c>
      <c r="B1238" s="193" t="s">
        <v>1235</v>
      </c>
      <c r="C1238" s="193" t="s">
        <v>1272</v>
      </c>
      <c r="D1238" s="226">
        <f>+ROUNDUP(SUMIFS('MEMORIA CANTIDADES'!E:E,'MEMORIA CANTIDADES'!B:B,Table28[[#This Row],[DESCRIPCIÓN ]],'MEMORIA CANTIDADES'!C:C,Table28[[#This Row],[UNIDAD]]),0)</f>
        <v>0</v>
      </c>
      <c r="E1238" s="225">
        <f>+VLOOKUP(Table28[[#This Row],[DESCRIPCIÓN ]],INSUMOS!A:D,3,FALSE)</f>
        <v>429314.14</v>
      </c>
      <c r="F1238" s="225">
        <f>+Table28[[#This Row],[CANTIDAD]]*Table28[[#This Row],[VALOR UNITARIO]]</f>
        <v>0</v>
      </c>
    </row>
    <row r="1239" spans="1:6" s="193" customFormat="1" ht="28.8" hidden="1" x14ac:dyDescent="0.3">
      <c r="A1239" s="193">
        <v>841</v>
      </c>
      <c r="B1239" s="193" t="s">
        <v>1236</v>
      </c>
      <c r="C1239" s="193" t="s">
        <v>1272</v>
      </c>
      <c r="D1239" s="226">
        <f>+ROUNDUP(SUMIFS('MEMORIA CANTIDADES'!E:E,'MEMORIA CANTIDADES'!B:B,Table28[[#This Row],[DESCRIPCIÓN ]],'MEMORIA CANTIDADES'!C:C,Table28[[#This Row],[UNIDAD]]),0)</f>
        <v>0</v>
      </c>
      <c r="E1239" s="225">
        <f>+VLOOKUP(Table28[[#This Row],[DESCRIPCIÓN ]],INSUMOS!A:D,3,FALSE)</f>
        <v>102934.72</v>
      </c>
      <c r="F1239" s="225">
        <f>+Table28[[#This Row],[CANTIDAD]]*Table28[[#This Row],[VALOR UNITARIO]]</f>
        <v>0</v>
      </c>
    </row>
    <row r="1240" spans="1:6" s="193" customFormat="1" ht="28.8" hidden="1" x14ac:dyDescent="0.3">
      <c r="A1240" s="193">
        <v>842</v>
      </c>
      <c r="B1240" s="193" t="s">
        <v>1237</v>
      </c>
      <c r="C1240" s="193" t="s">
        <v>1272</v>
      </c>
      <c r="D1240" s="226">
        <f>+ROUNDUP(SUMIFS('MEMORIA CANTIDADES'!E:E,'MEMORIA CANTIDADES'!B:B,Table28[[#This Row],[DESCRIPCIÓN ]],'MEMORIA CANTIDADES'!C:C,Table28[[#This Row],[UNIDAD]]),0)</f>
        <v>0</v>
      </c>
      <c r="E1240" s="225">
        <f>+VLOOKUP(Table28[[#This Row],[DESCRIPCIÓN ]],INSUMOS!A:D,3,FALSE)</f>
        <v>125822.5</v>
      </c>
      <c r="F1240" s="225">
        <f>+Table28[[#This Row],[CANTIDAD]]*Table28[[#This Row],[VALOR UNITARIO]]</f>
        <v>0</v>
      </c>
    </row>
    <row r="1241" spans="1:6" s="193" customFormat="1" ht="28.8" hidden="1" x14ac:dyDescent="0.3">
      <c r="A1241" s="193">
        <v>843</v>
      </c>
      <c r="B1241" s="193" t="s">
        <v>1238</v>
      </c>
      <c r="C1241" s="193" t="s">
        <v>1272</v>
      </c>
      <c r="D1241" s="226">
        <f>+ROUNDUP(SUMIFS('MEMORIA CANTIDADES'!E:E,'MEMORIA CANTIDADES'!B:B,Table28[[#This Row],[DESCRIPCIÓN ]],'MEMORIA CANTIDADES'!C:C,Table28[[#This Row],[UNIDAD]]),0)</f>
        <v>0</v>
      </c>
      <c r="E1241" s="225">
        <f>+VLOOKUP(Table28[[#This Row],[DESCRIPCIÓN ]],INSUMOS!A:D,3,FALSE)</f>
        <v>146273.34</v>
      </c>
      <c r="F1241" s="225">
        <f>+Table28[[#This Row],[CANTIDAD]]*Table28[[#This Row],[VALOR UNITARIO]]</f>
        <v>0</v>
      </c>
    </row>
    <row r="1242" spans="1:6" s="193" customFormat="1" ht="28.8" hidden="1" x14ac:dyDescent="0.3">
      <c r="A1242" s="193">
        <v>844</v>
      </c>
      <c r="B1242" s="193" t="s">
        <v>1239</v>
      </c>
      <c r="C1242" s="193" t="s">
        <v>1272</v>
      </c>
      <c r="D1242" s="226">
        <f>+ROUNDUP(SUMIFS('MEMORIA CANTIDADES'!E:E,'MEMORIA CANTIDADES'!B:B,Table28[[#This Row],[DESCRIPCIÓN ]],'MEMORIA CANTIDADES'!C:C,Table28[[#This Row],[UNIDAD]]),0)</f>
        <v>0</v>
      </c>
      <c r="E1242" s="225">
        <f>+VLOOKUP(Table28[[#This Row],[DESCRIPCIÓN ]],INSUMOS!A:D,3,FALSE)</f>
        <v>124592.28</v>
      </c>
      <c r="F1242" s="225">
        <f>+Table28[[#This Row],[CANTIDAD]]*Table28[[#This Row],[VALOR UNITARIO]]</f>
        <v>0</v>
      </c>
    </row>
    <row r="1243" spans="1:6" s="193" customFormat="1" ht="28.8" hidden="1" x14ac:dyDescent="0.3">
      <c r="A1243" s="193">
        <v>845</v>
      </c>
      <c r="B1243" s="193" t="s">
        <v>1240</v>
      </c>
      <c r="C1243" s="193" t="s">
        <v>1272</v>
      </c>
      <c r="D1243" s="226">
        <f>+ROUNDUP(SUMIFS('MEMORIA CANTIDADES'!E:E,'MEMORIA CANTIDADES'!B:B,Table28[[#This Row],[DESCRIPCIÓN ]],'MEMORIA CANTIDADES'!C:C,Table28[[#This Row],[UNIDAD]]),0)</f>
        <v>0</v>
      </c>
      <c r="E1243" s="225">
        <f>+VLOOKUP(Table28[[#This Row],[DESCRIPCIÓN ]],INSUMOS!A:D,3,FALSE)</f>
        <v>422084</v>
      </c>
      <c r="F1243" s="225">
        <f>+Table28[[#This Row],[CANTIDAD]]*Table28[[#This Row],[VALOR UNITARIO]]</f>
        <v>0</v>
      </c>
    </row>
    <row r="1244" spans="1:6" s="193" customFormat="1" ht="28.8" hidden="1" x14ac:dyDescent="0.3">
      <c r="A1244" s="193">
        <v>846</v>
      </c>
      <c r="B1244" s="193" t="s">
        <v>1241</v>
      </c>
      <c r="C1244" s="193" t="s">
        <v>1272</v>
      </c>
      <c r="D1244" s="226">
        <f>+ROUNDUP(SUMIFS('MEMORIA CANTIDADES'!E:E,'MEMORIA CANTIDADES'!B:B,Table28[[#This Row],[DESCRIPCIÓN ]],'MEMORIA CANTIDADES'!C:C,Table28[[#This Row],[UNIDAD]]),0)</f>
        <v>0</v>
      </c>
      <c r="E1244" s="225">
        <f>+VLOOKUP(Table28[[#This Row],[DESCRIPCIÓN ]],INSUMOS!A:D,3,FALSE)</f>
        <v>206209.63</v>
      </c>
      <c r="F1244" s="225">
        <f>+Table28[[#This Row],[CANTIDAD]]*Table28[[#This Row],[VALOR UNITARIO]]</f>
        <v>0</v>
      </c>
    </row>
    <row r="1245" spans="1:6" s="193" customFormat="1" ht="28.8" hidden="1" x14ac:dyDescent="0.3">
      <c r="A1245" s="193">
        <v>847</v>
      </c>
      <c r="B1245" s="193" t="s">
        <v>1242</v>
      </c>
      <c r="C1245" s="193" t="s">
        <v>1272</v>
      </c>
      <c r="D1245" s="226">
        <f>+ROUNDUP(SUMIFS('MEMORIA CANTIDADES'!E:E,'MEMORIA CANTIDADES'!B:B,Table28[[#This Row],[DESCRIPCIÓN ]],'MEMORIA CANTIDADES'!C:C,Table28[[#This Row],[UNIDAD]]),0)</f>
        <v>0</v>
      </c>
      <c r="E1245" s="225">
        <f>+VLOOKUP(Table28[[#This Row],[DESCRIPCIÓN ]],INSUMOS!A:D,3,FALSE)</f>
        <v>276048.46000000002</v>
      </c>
      <c r="F1245" s="225">
        <f>+Table28[[#This Row],[CANTIDAD]]*Table28[[#This Row],[VALOR UNITARIO]]</f>
        <v>0</v>
      </c>
    </row>
    <row r="1246" spans="1:6" s="193" customFormat="1" ht="28.8" hidden="1" x14ac:dyDescent="0.3">
      <c r="A1246" s="193">
        <v>702</v>
      </c>
      <c r="B1246" s="193" t="s">
        <v>1243</v>
      </c>
      <c r="C1246" s="193" t="s">
        <v>55</v>
      </c>
      <c r="D1246" s="226">
        <f>+ROUNDUP(SUMIFS('MEMORIA CANTIDADES'!E:E,'MEMORIA CANTIDADES'!B:B,Table28[[#This Row],[DESCRIPCIÓN ]],'MEMORIA CANTIDADES'!C:C,Table28[[#This Row],[UNIDAD]]),0)</f>
        <v>0</v>
      </c>
      <c r="E1246" s="225">
        <f>+VLOOKUP(Table28[[#This Row],[DESCRIPCIÓN ]],INSUMOS!A:D,3,FALSE)</f>
        <v>943082.1</v>
      </c>
      <c r="F1246" s="225">
        <f>+Table28[[#This Row],[CANTIDAD]]*Table28[[#This Row],[VALOR UNITARIO]]</f>
        <v>0</v>
      </c>
    </row>
    <row r="1247" spans="1:6" s="193" customFormat="1" ht="28.8" hidden="1" x14ac:dyDescent="0.3">
      <c r="A1247" s="193">
        <v>703</v>
      </c>
      <c r="B1247" s="193" t="s">
        <v>1244</v>
      </c>
      <c r="C1247" s="193" t="s">
        <v>55</v>
      </c>
      <c r="D1247" s="226">
        <f>+ROUNDUP(SUMIFS('MEMORIA CANTIDADES'!E:E,'MEMORIA CANTIDADES'!B:B,Table28[[#This Row],[DESCRIPCIÓN ]],'MEMORIA CANTIDADES'!C:C,Table28[[#This Row],[UNIDAD]]),0)</f>
        <v>0</v>
      </c>
      <c r="E1247" s="225" t="e">
        <f>+VLOOKUP(Table28[[#This Row],[DESCRIPCIÓN ]],INSUMOS!A:D,3,FALSE)</f>
        <v>#N/A</v>
      </c>
      <c r="F1247" s="225" t="e">
        <f>+Table28[[#This Row],[CANTIDAD]]*Table28[[#This Row],[VALOR UNITARIO]]</f>
        <v>#N/A</v>
      </c>
    </row>
    <row r="1248" spans="1:6" s="193" customFormat="1" ht="28.8" hidden="1" x14ac:dyDescent="0.3">
      <c r="A1248" s="193">
        <v>421</v>
      </c>
      <c r="B1248" s="193" t="s">
        <v>1245</v>
      </c>
      <c r="C1248" s="193" t="s">
        <v>55</v>
      </c>
      <c r="D1248" s="226">
        <f>+ROUNDUP(SUMIFS('MEMORIA CANTIDADES'!E:E,'MEMORIA CANTIDADES'!B:B,Table28[[#This Row],[DESCRIPCIÓN ]],'MEMORIA CANTIDADES'!C:C,Table28[[#This Row],[UNIDAD]]),0)</f>
        <v>0</v>
      </c>
      <c r="E1248" s="225">
        <f>+VLOOKUP(Table28[[#This Row],[DESCRIPCIÓN ]],INSUMOS!A:D,3,FALSE)</f>
        <v>404138.87</v>
      </c>
      <c r="F1248" s="225">
        <f>+Table28[[#This Row],[CANTIDAD]]*Table28[[#This Row],[VALOR UNITARIO]]</f>
        <v>0</v>
      </c>
    </row>
    <row r="1249" spans="1:6" s="193" customFormat="1" ht="28.8" hidden="1" x14ac:dyDescent="0.3">
      <c r="A1249" s="193">
        <v>422</v>
      </c>
      <c r="B1249" s="193" t="s">
        <v>1246</v>
      </c>
      <c r="C1249" s="193" t="s">
        <v>55</v>
      </c>
      <c r="D1249" s="226">
        <f>+ROUNDUP(SUMIFS('MEMORIA CANTIDADES'!E:E,'MEMORIA CANTIDADES'!B:B,Table28[[#This Row],[DESCRIPCIÓN ]],'MEMORIA CANTIDADES'!C:C,Table28[[#This Row],[UNIDAD]]),0)</f>
        <v>0</v>
      </c>
      <c r="E1249" s="225">
        <f>+VLOOKUP(Table28[[#This Row],[DESCRIPCIÓN ]],INSUMOS!A:D,3,FALSE)</f>
        <v>302451.18</v>
      </c>
      <c r="F1249" s="225">
        <f>+Table28[[#This Row],[CANTIDAD]]*Table28[[#This Row],[VALOR UNITARIO]]</f>
        <v>0</v>
      </c>
    </row>
    <row r="1250" spans="1:6" s="193" customFormat="1" hidden="1" x14ac:dyDescent="0.3">
      <c r="A1250" s="193">
        <v>423</v>
      </c>
      <c r="B1250" s="193" t="s">
        <v>1247</v>
      </c>
      <c r="C1250" s="193" t="s">
        <v>55</v>
      </c>
      <c r="D1250" s="226">
        <f>+ROUNDUP(SUMIFS('MEMORIA CANTIDADES'!E:E,'MEMORIA CANTIDADES'!B:B,Table28[[#This Row],[DESCRIPCIÓN ]],'MEMORIA CANTIDADES'!C:C,Table28[[#This Row],[UNIDAD]]),0)</f>
        <v>0</v>
      </c>
      <c r="E1250" s="225">
        <f>+VLOOKUP(Table28[[#This Row],[DESCRIPCIÓN ]],INSUMOS!A:D,3,FALSE)</f>
        <v>375985.21</v>
      </c>
      <c r="F1250" s="225">
        <f>+Table28[[#This Row],[CANTIDAD]]*Table28[[#This Row],[VALOR UNITARIO]]</f>
        <v>0</v>
      </c>
    </row>
    <row r="1251" spans="1:6" s="193" customFormat="1" hidden="1" x14ac:dyDescent="0.3">
      <c r="A1251" s="193">
        <v>704</v>
      </c>
      <c r="B1251" s="193" t="s">
        <v>2207</v>
      </c>
      <c r="C1251" s="193" t="s">
        <v>2145</v>
      </c>
      <c r="D1251" s="226">
        <f>+ROUNDUP(SUMIFS('MEMORIA CANTIDADES'!E:E,'MEMORIA CANTIDADES'!B:B,Table28[[#This Row],[DESCRIPCIÓN ]],'MEMORIA CANTIDADES'!C:C,Table28[[#This Row],[UNIDAD]]),0)</f>
        <v>0</v>
      </c>
      <c r="E1251" s="225">
        <f>+VLOOKUP(Table28[[#This Row],[DESCRIPCIÓN ]],INSUMOS!A:D,3,FALSE)</f>
        <v>27013.62</v>
      </c>
      <c r="F1251" s="225">
        <f>+Table28[[#This Row],[CANTIDAD]]*Table28[[#This Row],[VALOR UNITARIO]]</f>
        <v>0</v>
      </c>
    </row>
    <row r="1252" spans="1:6" s="193" customFormat="1" hidden="1" x14ac:dyDescent="0.3">
      <c r="A1252" s="193">
        <v>850</v>
      </c>
      <c r="B1252" s="193" t="s">
        <v>1248</v>
      </c>
      <c r="C1252" s="193" t="s">
        <v>55</v>
      </c>
      <c r="D1252" s="226">
        <f>+ROUNDUP(SUMIFS('MEMORIA CANTIDADES'!E:E,'MEMORIA CANTIDADES'!B:B,Table28[[#This Row],[DESCRIPCIÓN ]],'MEMORIA CANTIDADES'!C:C,Table28[[#This Row],[UNIDAD]]),0)</f>
        <v>0</v>
      </c>
      <c r="E1252" s="225">
        <f>+VLOOKUP(Table28[[#This Row],[DESCRIPCIÓN ]],INSUMOS!A:D,3,FALSE)</f>
        <v>29481.35</v>
      </c>
      <c r="F1252" s="225">
        <f>+Table28[[#This Row],[CANTIDAD]]*Table28[[#This Row],[VALOR UNITARIO]]</f>
        <v>0</v>
      </c>
    </row>
    <row r="1253" spans="1:6" s="193" customFormat="1" hidden="1" x14ac:dyDescent="0.3">
      <c r="A1253" s="193">
        <v>851</v>
      </c>
      <c r="B1253" s="193" t="s">
        <v>1249</v>
      </c>
      <c r="C1253" s="193" t="s">
        <v>55</v>
      </c>
      <c r="D1253" s="226">
        <f>+ROUNDUP(SUMIFS('MEMORIA CANTIDADES'!E:E,'MEMORIA CANTIDADES'!B:B,Table28[[#This Row],[DESCRIPCIÓN ]],'MEMORIA CANTIDADES'!C:C,Table28[[#This Row],[UNIDAD]]),0)</f>
        <v>0</v>
      </c>
      <c r="E1253" s="225">
        <f>+VLOOKUP(Table28[[#This Row],[DESCRIPCIÓN ]],INSUMOS!A:D,3,FALSE)</f>
        <v>10990.66</v>
      </c>
      <c r="F1253" s="225">
        <f>+Table28[[#This Row],[CANTIDAD]]*Table28[[#This Row],[VALOR UNITARIO]]</f>
        <v>0</v>
      </c>
    </row>
    <row r="1254" spans="1:6" s="193" customFormat="1" ht="28.8" hidden="1" x14ac:dyDescent="0.3">
      <c r="A1254" s="193">
        <v>1173</v>
      </c>
      <c r="B1254" s="193" t="s">
        <v>1250</v>
      </c>
      <c r="C1254" s="193" t="s">
        <v>55</v>
      </c>
      <c r="D1254" s="226">
        <f>+ROUNDUP(SUMIFS('MEMORIA CANTIDADES'!E:E,'MEMORIA CANTIDADES'!B:B,Table28[[#This Row],[DESCRIPCIÓN ]],'MEMORIA CANTIDADES'!C:C,Table28[[#This Row],[UNIDAD]]),0)</f>
        <v>0</v>
      </c>
      <c r="E1254" s="225">
        <f>+VLOOKUP(Table28[[#This Row],[DESCRIPCIÓN ]],INSUMOS!A:D,3,FALSE)</f>
        <v>37200.559999999998</v>
      </c>
      <c r="F1254" s="225">
        <f>+Table28[[#This Row],[CANTIDAD]]*Table28[[#This Row],[VALOR UNITARIO]]</f>
        <v>0</v>
      </c>
    </row>
    <row r="1255" spans="1:6" s="193" customFormat="1" ht="28.8" hidden="1" x14ac:dyDescent="0.3">
      <c r="A1255" s="193">
        <v>1174</v>
      </c>
      <c r="B1255" s="193" t="s">
        <v>1251</v>
      </c>
      <c r="C1255" s="193" t="s">
        <v>55</v>
      </c>
      <c r="D1255" s="226">
        <f>+ROUNDUP(SUMIFS('MEMORIA CANTIDADES'!E:E,'MEMORIA CANTIDADES'!B:B,Table28[[#This Row],[DESCRIPCIÓN ]],'MEMORIA CANTIDADES'!C:C,Table28[[#This Row],[UNIDAD]]),0)</f>
        <v>0</v>
      </c>
      <c r="E1255" s="225">
        <f>+VLOOKUP(Table28[[#This Row],[DESCRIPCIÓN ]],INSUMOS!A:D,3,FALSE)</f>
        <v>44781.41</v>
      </c>
      <c r="F1255" s="225">
        <f>+Table28[[#This Row],[CANTIDAD]]*Table28[[#This Row],[VALOR UNITARIO]]</f>
        <v>0</v>
      </c>
    </row>
    <row r="1256" spans="1:6" s="193" customFormat="1" ht="28.8" hidden="1" x14ac:dyDescent="0.3">
      <c r="A1256" s="193">
        <v>1175</v>
      </c>
      <c r="B1256" s="193" t="s">
        <v>1252</v>
      </c>
      <c r="C1256" s="193" t="s">
        <v>55</v>
      </c>
      <c r="D1256" s="226">
        <f>+ROUNDUP(SUMIFS('MEMORIA CANTIDADES'!E:E,'MEMORIA CANTIDADES'!B:B,Table28[[#This Row],[DESCRIPCIÓN ]],'MEMORIA CANTIDADES'!C:C,Table28[[#This Row],[UNIDAD]]),0)</f>
        <v>0</v>
      </c>
      <c r="E1256" s="225">
        <f>+VLOOKUP(Table28[[#This Row],[DESCRIPCIÓN ]],INSUMOS!A:D,3,FALSE)</f>
        <v>47725.2</v>
      </c>
      <c r="F1256" s="225">
        <f>+Table28[[#This Row],[CANTIDAD]]*Table28[[#This Row],[VALOR UNITARIO]]</f>
        <v>0</v>
      </c>
    </row>
    <row r="1257" spans="1:6" s="193" customFormat="1" hidden="1" x14ac:dyDescent="0.3">
      <c r="A1257" s="193">
        <v>1176</v>
      </c>
      <c r="B1257" s="193" t="s">
        <v>1253</v>
      </c>
      <c r="C1257" s="193" t="s">
        <v>55</v>
      </c>
      <c r="D1257" s="226">
        <f>+ROUNDUP(SUMIFS('MEMORIA CANTIDADES'!E:E,'MEMORIA CANTIDADES'!B:B,Table28[[#This Row],[DESCRIPCIÓN ]],'MEMORIA CANTIDADES'!C:C,Table28[[#This Row],[UNIDAD]]),0)</f>
        <v>0</v>
      </c>
      <c r="E1257" s="225">
        <f>+VLOOKUP(Table28[[#This Row],[DESCRIPCIÓN ]],INSUMOS!A:D,3,FALSE)</f>
        <v>16402.5</v>
      </c>
      <c r="F1257" s="225">
        <f>+Table28[[#This Row],[CANTIDAD]]*Table28[[#This Row],[VALOR UNITARIO]]</f>
        <v>0</v>
      </c>
    </row>
    <row r="1258" spans="1:6" s="193" customFormat="1" hidden="1" x14ac:dyDescent="0.3">
      <c r="A1258" s="193">
        <v>1177</v>
      </c>
      <c r="B1258" s="193" t="s">
        <v>1254</v>
      </c>
      <c r="C1258" s="193" t="s">
        <v>55</v>
      </c>
      <c r="D1258" s="226">
        <f>+ROUNDUP(SUMIFS('MEMORIA CANTIDADES'!E:E,'MEMORIA CANTIDADES'!B:B,Table28[[#This Row],[DESCRIPCIÓN ]],'MEMORIA CANTIDADES'!C:C,Table28[[#This Row],[UNIDAD]]),0)</f>
        <v>0</v>
      </c>
      <c r="E1258" s="225">
        <f>+VLOOKUP(Table28[[#This Row],[DESCRIPCIÓN ]],INSUMOS!A:D,3,FALSE)</f>
        <v>40164.639999999999</v>
      </c>
      <c r="F1258" s="225">
        <f>+Table28[[#This Row],[CANTIDAD]]*Table28[[#This Row],[VALOR UNITARIO]]</f>
        <v>0</v>
      </c>
    </row>
    <row r="1259" spans="1:6" s="193" customFormat="1" hidden="1" x14ac:dyDescent="0.3">
      <c r="A1259" s="193">
        <v>1178</v>
      </c>
      <c r="B1259" s="193" t="s">
        <v>1255</v>
      </c>
      <c r="C1259" s="193" t="s">
        <v>55</v>
      </c>
      <c r="D1259" s="226">
        <f>+ROUNDUP(SUMIFS('MEMORIA CANTIDADES'!E:E,'MEMORIA CANTIDADES'!B:B,Table28[[#This Row],[DESCRIPCIÓN ]],'MEMORIA CANTIDADES'!C:C,Table28[[#This Row],[UNIDAD]]),0)</f>
        <v>0</v>
      </c>
      <c r="E1259" s="225">
        <f>+VLOOKUP(Table28[[#This Row],[DESCRIPCIÓN ]],INSUMOS!A:D,3,FALSE)</f>
        <v>65797.47</v>
      </c>
      <c r="F1259" s="225">
        <f>+Table28[[#This Row],[CANTIDAD]]*Table28[[#This Row],[VALOR UNITARIO]]</f>
        <v>0</v>
      </c>
    </row>
    <row r="1260" spans="1:6" s="193" customFormat="1" ht="28.8" hidden="1" x14ac:dyDescent="0.3">
      <c r="A1260" s="193">
        <v>1179</v>
      </c>
      <c r="B1260" s="193" t="s">
        <v>1256</v>
      </c>
      <c r="C1260" s="193" t="s">
        <v>55</v>
      </c>
      <c r="D1260" s="226">
        <f>+ROUNDUP(SUMIFS('MEMORIA CANTIDADES'!E:E,'MEMORIA CANTIDADES'!B:B,Table28[[#This Row],[DESCRIPCIÓN ]],'MEMORIA CANTIDADES'!C:C,Table28[[#This Row],[UNIDAD]]),0)</f>
        <v>0</v>
      </c>
      <c r="E1260" s="225">
        <f>+VLOOKUP(Table28[[#This Row],[DESCRIPCIÓN ]],INSUMOS!A:D,3,FALSE)</f>
        <v>21203.45</v>
      </c>
      <c r="F1260" s="225">
        <f>+Table28[[#This Row],[CANTIDAD]]*Table28[[#This Row],[VALOR UNITARIO]]</f>
        <v>0</v>
      </c>
    </row>
    <row r="1261" spans="1:6" s="193" customFormat="1" ht="28.8" hidden="1" x14ac:dyDescent="0.3">
      <c r="A1261" s="193">
        <v>1180</v>
      </c>
      <c r="B1261" s="193" t="s">
        <v>1257</v>
      </c>
      <c r="C1261" s="193" t="s">
        <v>55</v>
      </c>
      <c r="D1261" s="226">
        <f>+ROUNDUP(SUMIFS('MEMORIA CANTIDADES'!E:E,'MEMORIA CANTIDADES'!B:B,Table28[[#This Row],[DESCRIPCIÓN ]],'MEMORIA CANTIDADES'!C:C,Table28[[#This Row],[UNIDAD]]),0)</f>
        <v>0</v>
      </c>
      <c r="E1261" s="225">
        <f>+VLOOKUP(Table28[[#This Row],[DESCRIPCIÓN ]],INSUMOS!A:D,3,FALSE)</f>
        <v>32334.63</v>
      </c>
      <c r="F1261" s="225">
        <f>+Table28[[#This Row],[CANTIDAD]]*Table28[[#This Row],[VALOR UNITARIO]]</f>
        <v>0</v>
      </c>
    </row>
    <row r="1262" spans="1:6" s="193" customFormat="1" ht="28.8" hidden="1" x14ac:dyDescent="0.3">
      <c r="A1262" s="193">
        <v>1181</v>
      </c>
      <c r="B1262" s="193" t="s">
        <v>1258</v>
      </c>
      <c r="C1262" s="193" t="s">
        <v>55</v>
      </c>
      <c r="D1262" s="226">
        <f>+ROUNDUP(SUMIFS('MEMORIA CANTIDADES'!E:E,'MEMORIA CANTIDADES'!B:B,Table28[[#This Row],[DESCRIPCIÓN ]],'MEMORIA CANTIDADES'!C:C,Table28[[#This Row],[UNIDAD]]),0)</f>
        <v>0</v>
      </c>
      <c r="E1262" s="225">
        <f>+VLOOKUP(Table28[[#This Row],[DESCRIPCIÓN ]],INSUMOS!A:D,3,FALSE)</f>
        <v>32377.82</v>
      </c>
      <c r="F1262" s="225">
        <f>+Table28[[#This Row],[CANTIDAD]]*Table28[[#This Row],[VALOR UNITARIO]]</f>
        <v>0</v>
      </c>
    </row>
    <row r="1263" spans="1:6" s="193" customFormat="1" ht="28.8" hidden="1" x14ac:dyDescent="0.3">
      <c r="A1263" s="193">
        <v>1182</v>
      </c>
      <c r="B1263" s="193" t="s">
        <v>1259</v>
      </c>
      <c r="C1263" s="193" t="s">
        <v>55</v>
      </c>
      <c r="D1263" s="226">
        <f>+ROUNDUP(SUMIFS('MEMORIA CANTIDADES'!E:E,'MEMORIA CANTIDADES'!B:B,Table28[[#This Row],[DESCRIPCIÓN ]],'MEMORIA CANTIDADES'!C:C,Table28[[#This Row],[UNIDAD]]),0)</f>
        <v>0</v>
      </c>
      <c r="E1263" s="225">
        <f>+VLOOKUP(Table28[[#This Row],[DESCRIPCIÓN ]],INSUMOS!A:D,3,FALSE)</f>
        <v>171882.52</v>
      </c>
      <c r="F1263" s="225">
        <f>+Table28[[#This Row],[CANTIDAD]]*Table28[[#This Row],[VALOR UNITARIO]]</f>
        <v>0</v>
      </c>
    </row>
    <row r="1264" spans="1:6" s="193" customFormat="1" hidden="1" x14ac:dyDescent="0.3">
      <c r="A1264" s="193">
        <v>1183</v>
      </c>
      <c r="B1264" s="193" t="s">
        <v>1260</v>
      </c>
      <c r="C1264" s="193" t="s">
        <v>55</v>
      </c>
      <c r="D1264" s="226">
        <f>+ROUNDUP(SUMIFS('MEMORIA CANTIDADES'!E:E,'MEMORIA CANTIDADES'!B:B,Table28[[#This Row],[DESCRIPCIÓN ]],'MEMORIA CANTIDADES'!C:C,Table28[[#This Row],[UNIDAD]]),0)</f>
        <v>0</v>
      </c>
      <c r="E1264" s="225">
        <f>+VLOOKUP(Table28[[#This Row],[DESCRIPCIÓN ]],INSUMOS!A:D,3,FALSE)</f>
        <v>19512.36</v>
      </c>
      <c r="F1264" s="225">
        <f>+Table28[[#This Row],[CANTIDAD]]*Table28[[#This Row],[VALOR UNITARIO]]</f>
        <v>0</v>
      </c>
    </row>
    <row r="1265" spans="1:10" s="193" customFormat="1" hidden="1" x14ac:dyDescent="0.3">
      <c r="A1265" s="193">
        <v>1184</v>
      </c>
      <c r="B1265" s="193" t="s">
        <v>1261</v>
      </c>
      <c r="C1265" s="193" t="s">
        <v>55</v>
      </c>
      <c r="D1265" s="226">
        <f>+ROUNDUP(SUMIFS('MEMORIA CANTIDADES'!E:E,'MEMORIA CANTIDADES'!B:B,Table28[[#This Row],[DESCRIPCIÓN ]],'MEMORIA CANTIDADES'!C:C,Table28[[#This Row],[UNIDAD]]),0)</f>
        <v>0</v>
      </c>
      <c r="E1265" s="225">
        <f>+VLOOKUP(Table28[[#This Row],[DESCRIPCIÓN ]],INSUMOS!A:D,3,FALSE)</f>
        <v>36129.72</v>
      </c>
      <c r="F1265" s="225">
        <f>+Table28[[#This Row],[CANTIDAD]]*Table28[[#This Row],[VALOR UNITARIO]]</f>
        <v>0</v>
      </c>
    </row>
    <row r="1266" spans="1:10" s="193" customFormat="1" hidden="1" x14ac:dyDescent="0.3">
      <c r="A1266" s="193">
        <v>1185</v>
      </c>
      <c r="B1266" s="193" t="s">
        <v>1262</v>
      </c>
      <c r="C1266" s="193" t="s">
        <v>55</v>
      </c>
      <c r="D1266" s="226">
        <f>+ROUNDUP(SUMIFS('MEMORIA CANTIDADES'!E:E,'MEMORIA CANTIDADES'!B:B,Table28[[#This Row],[DESCRIPCIÓN ]],'MEMORIA CANTIDADES'!C:C,Table28[[#This Row],[UNIDAD]]),0)</f>
        <v>0</v>
      </c>
      <c r="E1266" s="225">
        <f>+VLOOKUP(Table28[[#This Row],[DESCRIPCIÓN ]],INSUMOS!A:D,3,FALSE)</f>
        <v>190433.98</v>
      </c>
      <c r="F1266" s="225">
        <f>+Table28[[#This Row],[CANTIDAD]]*Table28[[#This Row],[VALOR UNITARIO]]</f>
        <v>0</v>
      </c>
    </row>
    <row r="1267" spans="1:10" s="193" customFormat="1" hidden="1" x14ac:dyDescent="0.3">
      <c r="A1267" s="193">
        <v>848</v>
      </c>
      <c r="B1267" s="193" t="s">
        <v>1263</v>
      </c>
      <c r="C1267" s="193" t="s">
        <v>2145</v>
      </c>
      <c r="D1267" s="226">
        <f>+ROUNDUP(SUMIFS('MEMORIA CANTIDADES'!E:E,'MEMORIA CANTIDADES'!B:B,Table28[[#This Row],[DESCRIPCIÓN ]],'MEMORIA CANTIDADES'!C:C,Table28[[#This Row],[UNIDAD]]),0)</f>
        <v>0</v>
      </c>
      <c r="E1267" s="225">
        <f>+VLOOKUP(Table28[[#This Row],[DESCRIPCIÓN ]],INSUMOS!A:D,3,FALSE)</f>
        <v>14814.82</v>
      </c>
      <c r="F1267" s="225">
        <f>+Table28[[#This Row],[CANTIDAD]]*Table28[[#This Row],[VALOR UNITARIO]]</f>
        <v>0</v>
      </c>
    </row>
    <row r="1268" spans="1:10" s="193" customFormat="1" ht="43.2" x14ac:dyDescent="0.3">
      <c r="A1268" s="193">
        <v>306</v>
      </c>
      <c r="B1268" s="484" t="s">
        <v>828</v>
      </c>
      <c r="C1268" s="484" t="s">
        <v>55</v>
      </c>
      <c r="D1268" s="485">
        <v>4</v>
      </c>
      <c r="E1268" s="486">
        <v>1269058.6399999999</v>
      </c>
      <c r="F1268" s="486">
        <f>D1268*E1268</f>
        <v>5076234.5599999996</v>
      </c>
    </row>
    <row r="1269" spans="1:10" s="193" customFormat="1" x14ac:dyDescent="0.3">
      <c r="A1269" s="13" t="s">
        <v>45</v>
      </c>
      <c r="B1269" s="228">
        <f>SUBTOTAL(103,Table28[[DESCRIPCIÓN ]])</f>
        <v>33</v>
      </c>
      <c r="C1269"/>
      <c r="D1269"/>
      <c r="E1269"/>
      <c r="F1269" s="227">
        <f>SUBTOTAL(109,Table28[VALOR TOTAL])</f>
        <v>264927760.41</v>
      </c>
    </row>
    <row r="1270" spans="1:10" s="193" customFormat="1" x14ac:dyDescent="0.3">
      <c r="D1270"/>
      <c r="E1270"/>
      <c r="F1270"/>
      <c r="G1270"/>
      <c r="H1270"/>
      <c r="I1270"/>
      <c r="J1270"/>
    </row>
  </sheetData>
  <phoneticPr fontId="19" type="noConversion"/>
  <pageMargins left="0.7" right="0.7" top="0.75" bottom="0.75" header="0.3" footer="0.3"/>
  <drawing r:id="rId1"/>
  <tableParts count="1">
    <tablePart r:id="rId2"/>
  </tableParts>
  <extLst>
    <ext xmlns:x15="http://schemas.microsoft.com/office/spreadsheetml/2010/11/main" uri="{3A4CF648-6AED-40f4-86FF-DC5316D8AED3}">
      <x14:slicerList xmlns:x14="http://schemas.microsoft.com/office/spreadsheetml/2009/9/main">
        <x14:slicer r:id="rId3"/>
      </x14:slicerList>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569123-A0B0-4EAD-80DB-4F99CBFF0EB2}">
  <sheetPr codeName="Sheet8"/>
  <dimension ref="A1:R50"/>
  <sheetViews>
    <sheetView topLeftCell="A12" workbookViewId="0"/>
  </sheetViews>
  <sheetFormatPr baseColWidth="10" defaultColWidth="9.109375" defaultRowHeight="14.4" x14ac:dyDescent="0.3"/>
  <cols>
    <col min="1" max="1" width="26.33203125" customWidth="1"/>
    <col min="2" max="2" width="9.44140625" customWidth="1"/>
    <col min="3" max="3" width="12.33203125" customWidth="1"/>
    <col min="4" max="4" width="13" customWidth="1"/>
    <col min="5" max="5" width="12.33203125" customWidth="1"/>
    <col min="6" max="7" width="11.6640625" customWidth="1"/>
    <col min="8" max="8" width="13.6640625" customWidth="1"/>
    <col min="9" max="9" width="13.6640625" style="329" customWidth="1"/>
    <col min="10" max="10" width="13.6640625" style="195" customWidth="1"/>
    <col min="11" max="11" width="8.88671875" style="195"/>
    <col min="12" max="12" width="10.44140625" style="195" customWidth="1"/>
    <col min="13" max="13" width="9.44140625" style="195" bestFit="1" customWidth="1"/>
    <col min="14" max="14" width="11" style="48" bestFit="1" customWidth="1"/>
    <col min="15" max="15" width="8.88671875" style="48"/>
    <col min="16" max="16" width="8.88671875" style="52"/>
    <col min="17" max="18" width="9.109375" style="52"/>
  </cols>
  <sheetData>
    <row r="1" spans="1:11" x14ac:dyDescent="0.3">
      <c r="A1" s="63" t="str">
        <f>+'INF. GENERAL'!$B$13</f>
        <v>REPUBLICA DE COLOMBIA</v>
      </c>
      <c r="B1" s="64"/>
      <c r="C1" s="64"/>
      <c r="D1" s="64"/>
      <c r="E1" s="64"/>
      <c r="F1" s="65"/>
      <c r="G1" s="66"/>
      <c r="H1" s="67"/>
    </row>
    <row r="2" spans="1:11" x14ac:dyDescent="0.3">
      <c r="A2" s="68" t="str">
        <f>+'INF. GENERAL'!$B$14</f>
        <v>FUNDACIÓN</v>
      </c>
      <c r="B2" s="69"/>
      <c r="C2" s="69"/>
      <c r="D2" s="69"/>
      <c r="E2" s="69"/>
      <c r="F2" s="70"/>
      <c r="G2" s="71"/>
      <c r="H2" s="72"/>
    </row>
    <row r="3" spans="1:11" ht="15" thickBot="1" x14ac:dyDescent="0.35">
      <c r="A3" s="73" t="str">
        <f>+'INF. GENERAL'!$B$15</f>
        <v>MAGDALENA</v>
      </c>
      <c r="B3" s="74"/>
      <c r="C3" s="74"/>
      <c r="D3" s="74"/>
      <c r="E3" s="74"/>
      <c r="F3" s="75"/>
      <c r="G3" s="71"/>
      <c r="H3" s="72"/>
    </row>
    <row r="4" spans="1:11" ht="28.2" thickBot="1" x14ac:dyDescent="0.35">
      <c r="A4" s="202" t="str">
        <f>+CONCATENATE('INF. GENERAL'!$A$4,'INF. GENERAL'!$B$4)</f>
        <v>OBJETO: ACTIVIDADES ADICIONALES A LA ADECUACIÓN DE LA CANCHA DE FÚTBOL (ID 2615), VEREDA COMUNIDAD CRISTALINA BAJA (ID 200), MUNICIPIO DE FUNDACION, MAGDALENA</v>
      </c>
      <c r="B4" s="203"/>
      <c r="C4" s="203"/>
      <c r="D4" s="203"/>
      <c r="E4" s="203"/>
      <c r="F4" s="204"/>
      <c r="G4" s="71"/>
      <c r="H4" s="72"/>
    </row>
    <row r="5" spans="1:11" ht="15" thickBot="1" x14ac:dyDescent="0.35">
      <c r="A5" s="76" t="s">
        <v>53</v>
      </c>
      <c r="B5" s="77"/>
      <c r="C5" s="77"/>
      <c r="D5" s="77"/>
      <c r="E5" s="77"/>
      <c r="F5" s="78"/>
      <c r="G5" s="79" t="s">
        <v>49</v>
      </c>
      <c r="H5" s="80">
        <f>+VLOOKUP(H7,PRESUPUESTO!$A$1:$F$973,6,FALSE)</f>
        <v>2</v>
      </c>
    </row>
    <row r="6" spans="1:11" ht="26.4" x14ac:dyDescent="0.3">
      <c r="A6" s="81" t="s">
        <v>54</v>
      </c>
      <c r="B6" s="82" t="str">
        <f>VLOOKUP(H7,PRESUPUESTO!$A$3:$F$973,3,FALSE)</f>
        <v>EXCAVACIONES, RELLENOS Y SISTEMA DE DRENAJE</v>
      </c>
      <c r="C6" s="83"/>
      <c r="D6" s="83"/>
      <c r="E6" s="84" t="s">
        <v>55</v>
      </c>
      <c r="F6" s="85" t="str">
        <f>+VLOOKUP(H7,PRESUPUESTO!$A$1:$F$973,5,FALSE)</f>
        <v>und</v>
      </c>
      <c r="G6" s="86" t="s">
        <v>56</v>
      </c>
      <c r="H6" s="87"/>
    </row>
    <row r="7" spans="1:11" ht="15" thickBot="1" x14ac:dyDescent="0.35">
      <c r="A7" s="88" t="s">
        <v>20</v>
      </c>
      <c r="B7" s="89" t="str">
        <f>+VLOOKUP(H7,PRESUPUESTO!$A$1:$F$973,4,FALSE)</f>
        <v>Manhole</v>
      </c>
      <c r="C7" s="89"/>
      <c r="D7" s="89"/>
      <c r="E7" s="89"/>
      <c r="F7" s="89"/>
      <c r="G7" s="90" t="s">
        <v>18</v>
      </c>
      <c r="H7" s="194" t="s">
        <v>2247</v>
      </c>
    </row>
    <row r="8" spans="1:11" ht="15" thickBot="1" x14ac:dyDescent="0.35">
      <c r="A8" s="91" t="s">
        <v>24</v>
      </c>
      <c r="B8" s="92"/>
      <c r="C8" s="92"/>
      <c r="D8" s="92"/>
      <c r="E8" s="93"/>
      <c r="F8" s="92"/>
      <c r="G8" s="94"/>
      <c r="H8" s="95"/>
    </row>
    <row r="9" spans="1:11" x14ac:dyDescent="0.3">
      <c r="A9" s="205" t="s">
        <v>57</v>
      </c>
      <c r="B9" s="216" t="s">
        <v>58</v>
      </c>
      <c r="C9" s="216" t="s">
        <v>59</v>
      </c>
      <c r="D9" s="216" t="s">
        <v>60</v>
      </c>
      <c r="E9" s="206" t="s">
        <v>61</v>
      </c>
      <c r="F9" s="207" t="s">
        <v>62</v>
      </c>
      <c r="G9" s="208" t="s">
        <v>63</v>
      </c>
      <c r="H9" s="209"/>
    </row>
    <row r="10" spans="1:11" x14ac:dyDescent="0.3">
      <c r="A10" s="96"/>
      <c r="B10" s="96"/>
      <c r="C10" s="96"/>
      <c r="D10" s="97"/>
      <c r="E10" s="98"/>
      <c r="F10" s="99"/>
      <c r="G10" s="171"/>
      <c r="H10" s="100"/>
    </row>
    <row r="11" spans="1:11" x14ac:dyDescent="0.3">
      <c r="A11" s="96"/>
      <c r="B11" s="96"/>
      <c r="C11" s="96"/>
      <c r="D11" s="97"/>
      <c r="E11" s="98"/>
      <c r="F11" s="99"/>
      <c r="G11" s="171"/>
      <c r="H11" s="100"/>
    </row>
    <row r="12" spans="1:11" x14ac:dyDescent="0.3">
      <c r="A12" s="96" t="s">
        <v>64</v>
      </c>
      <c r="B12" s="96"/>
      <c r="C12" s="96"/>
      <c r="D12" s="97"/>
      <c r="E12" s="98"/>
      <c r="F12" s="101">
        <v>0.05</v>
      </c>
      <c r="G12" s="172">
        <f>+F12*H38</f>
        <v>89.827600000000018</v>
      </c>
      <c r="H12" s="102"/>
    </row>
    <row r="13" spans="1:11" x14ac:dyDescent="0.3">
      <c r="A13" s="173"/>
      <c r="B13" s="173"/>
      <c r="C13" s="173"/>
      <c r="D13" s="174"/>
      <c r="E13" s="123"/>
      <c r="F13" s="175"/>
      <c r="G13" s="176"/>
      <c r="H13" s="103"/>
    </row>
    <row r="14" spans="1:11" x14ac:dyDescent="0.3">
      <c r="A14" s="104" t="s">
        <v>65</v>
      </c>
      <c r="B14" s="105"/>
      <c r="C14" s="105"/>
      <c r="D14" s="105"/>
      <c r="E14" s="105"/>
      <c r="F14" s="105"/>
      <c r="G14" s="106"/>
      <c r="H14" s="190">
        <f>SUM(G10:G13)</f>
        <v>89.827600000000018</v>
      </c>
      <c r="J14" s="196" t="str">
        <f>+H7</f>
        <v>2,05</v>
      </c>
      <c r="K14" s="330">
        <f>+H14</f>
        <v>89.827600000000018</v>
      </c>
    </row>
    <row r="15" spans="1:11" x14ac:dyDescent="0.3">
      <c r="A15" s="108" t="s">
        <v>25</v>
      </c>
      <c r="B15" s="109"/>
      <c r="C15" s="110"/>
      <c r="D15" s="110"/>
      <c r="E15" s="111"/>
      <c r="F15" s="109"/>
      <c r="G15" s="112"/>
      <c r="H15" s="113"/>
    </row>
    <row r="16" spans="1:11" x14ac:dyDescent="0.3">
      <c r="A16" s="210" t="s">
        <v>66</v>
      </c>
      <c r="B16" s="217" t="s">
        <v>67</v>
      </c>
      <c r="C16" s="216" t="s">
        <v>68</v>
      </c>
      <c r="D16" s="211" t="s">
        <v>69</v>
      </c>
      <c r="E16" s="212" t="s">
        <v>70</v>
      </c>
      <c r="F16" s="211" t="s">
        <v>49</v>
      </c>
      <c r="G16" s="213" t="s">
        <v>71</v>
      </c>
      <c r="H16" s="214"/>
    </row>
    <row r="17" spans="1:14" x14ac:dyDescent="0.3">
      <c r="A17" s="114" t="s">
        <v>72</v>
      </c>
      <c r="B17" s="115"/>
      <c r="C17" s="115"/>
      <c r="D17" s="121" t="str">
        <f>IFERROR(VLOOKUP(MATERIALES_035[[#This Row],[Descripcion]],INSUM_[#All],2,FALSE),"")</f>
        <v>Unidad</v>
      </c>
      <c r="E17" s="170">
        <f>IFERROR(VLOOKUP(MATERIALES_035[[#This Row],[Descripcion]],INSUM_[#All],3,FALSE),"")</f>
        <v>10330.58</v>
      </c>
      <c r="F17" s="116">
        <v>2E-3</v>
      </c>
      <c r="G17" s="117">
        <f t="shared" ref="G17:G27" si="0">+IFERROR(E17*F17,"")</f>
        <v>20.661159999999999</v>
      </c>
      <c r="H17" s="100"/>
      <c r="J17" s="195" t="str">
        <f>+_xlfn.CONCAT("M",J14,K17)</f>
        <v>M2,051</v>
      </c>
      <c r="K17" s="195">
        <v>1</v>
      </c>
      <c r="L17" s="197">
        <f>+IFERROR(G17*H5,"")</f>
        <v>41.322319999999998</v>
      </c>
      <c r="M17" s="48" t="str">
        <f>+A17</f>
        <v>Puntilla con cabeza de 2" caja x 500 gr</v>
      </c>
      <c r="N17" s="332">
        <f>+F17</f>
        <v>2E-3</v>
      </c>
    </row>
    <row r="18" spans="1:14" x14ac:dyDescent="0.3">
      <c r="A18" s="114" t="s">
        <v>73</v>
      </c>
      <c r="B18" s="118"/>
      <c r="C18" s="118"/>
      <c r="D18" s="121" t="str">
        <f>IFERROR(VLOOKUP(MATERIALES_035[[#This Row],[Descripcion]],INSUM_[#All],2,FALSE),"")</f>
        <v>Unidad</v>
      </c>
      <c r="E18" s="170">
        <f>IFERROR(VLOOKUP(MATERIALES_035[[#This Row],[Descripcion]],INSUM_[#All],3,FALSE),"")</f>
        <v>12315.93</v>
      </c>
      <c r="F18" s="116">
        <v>0.02</v>
      </c>
      <c r="G18" s="117">
        <f t="shared" si="0"/>
        <v>246.3186</v>
      </c>
      <c r="H18" s="102"/>
      <c r="J18" s="195" t="str">
        <f>+_xlfn.CONCAT("M",J14,K18)</f>
        <v>M2,052</v>
      </c>
      <c r="K18" s="195">
        <v>2</v>
      </c>
      <c r="L18" s="197">
        <f>+IFERROR(G18*H5,"")</f>
        <v>492.63720000000001</v>
      </c>
      <c r="M18" s="48" t="str">
        <f t="shared" ref="M18:M27" si="1">+A18</f>
        <v>Estacas en madera entre 0,5 y 1,0 metro</v>
      </c>
      <c r="N18" s="332">
        <f t="shared" ref="N18:N27" si="2">+F18</f>
        <v>0.02</v>
      </c>
    </row>
    <row r="19" spans="1:14" x14ac:dyDescent="0.3">
      <c r="A19" s="114" t="s">
        <v>74</v>
      </c>
      <c r="B19" s="118"/>
      <c r="C19" s="118"/>
      <c r="D19" s="121" t="str">
        <f>IFERROR(VLOOKUP(MATERIALES_035[[#This Row],[Descripcion]],INSUM_[#All],2,FALSE),"")</f>
        <v>Metro Lineal</v>
      </c>
      <c r="E19" s="170">
        <f>IFERROR(VLOOKUP(MATERIALES_035[[#This Row],[Descripcion]],INSUM_[#All],3,FALSE),"")</f>
        <v>26352.99</v>
      </c>
      <c r="F19" s="116">
        <v>5.0000000000000001E-3</v>
      </c>
      <c r="G19" s="117">
        <f t="shared" si="0"/>
        <v>131.76495</v>
      </c>
      <c r="H19" s="102"/>
      <c r="J19" s="195" t="str">
        <f>+_xlfn.CONCAT("M",J14,K19)</f>
        <v>M2,053</v>
      </c>
      <c r="K19" s="195">
        <v>3</v>
      </c>
      <c r="L19" s="197">
        <f>+IFERROR(G19*H5,"")</f>
        <v>263.5299</v>
      </c>
      <c r="M19" s="48" t="str">
        <f t="shared" si="1"/>
        <v>Listón de madera ordinaria 2" x 4"</v>
      </c>
      <c r="N19" s="332">
        <f t="shared" si="2"/>
        <v>5.0000000000000001E-3</v>
      </c>
    </row>
    <row r="20" spans="1:14" x14ac:dyDescent="0.3">
      <c r="A20" s="119" t="s">
        <v>75</v>
      </c>
      <c r="B20" s="120"/>
      <c r="C20" s="120"/>
      <c r="D20" s="121" t="str">
        <f>IFERROR(VLOOKUP(MATERIALES_035[[#This Row],[Descripcion]],INSUM_[#All],2,FALSE),"")</f>
        <v>Rollo</v>
      </c>
      <c r="E20" s="170">
        <f>IFERROR(VLOOKUP(MATERIALES_035[[#This Row],[Descripcion]],INSUM_[#All],3,FALSE),"")</f>
        <v>45829.21</v>
      </c>
      <c r="F20" s="121">
        <v>2E-3</v>
      </c>
      <c r="G20" s="117">
        <f t="shared" si="0"/>
        <v>91.658420000000007</v>
      </c>
      <c r="H20" s="102"/>
      <c r="J20" s="195" t="str">
        <f>+_xlfn.CONCAT("M",J14,K20)</f>
        <v>M2,054</v>
      </c>
      <c r="K20" s="195">
        <v>4</v>
      </c>
      <c r="L20" s="197">
        <f>+IFERROR(G20*H5,"")</f>
        <v>183.31684000000001</v>
      </c>
      <c r="M20" s="48" t="str">
        <f t="shared" si="1"/>
        <v>Hilo Nylon carrete x 100 metros</v>
      </c>
      <c r="N20" s="332">
        <f t="shared" si="2"/>
        <v>2E-3</v>
      </c>
    </row>
    <row r="21" spans="1:14" x14ac:dyDescent="0.3">
      <c r="A21" s="119" t="s">
        <v>76</v>
      </c>
      <c r="B21" s="120"/>
      <c r="C21" s="120"/>
      <c r="D21" s="121" t="str">
        <f>IFERROR(VLOOKUP(MATERIALES_035[[#This Row],[Descripcion]],INSUM_[#All],2,FALSE),"")</f>
        <v>Kilogramo</v>
      </c>
      <c r="E21" s="170">
        <f>IFERROR(VLOOKUP(MATERIALES_035[[#This Row],[Descripcion]],INSUM_[#All],3,FALSE),"")</f>
        <v>2745.78</v>
      </c>
      <c r="F21" s="121">
        <v>0.02</v>
      </c>
      <c r="G21" s="117">
        <f t="shared" si="0"/>
        <v>54.915600000000005</v>
      </c>
      <c r="H21" s="102"/>
      <c r="J21" s="195" t="str">
        <f>+_xlfn.CONCAT("M",J14,K21)</f>
        <v>M2,055</v>
      </c>
      <c r="K21" s="195">
        <v>5</v>
      </c>
      <c r="L21" s="197">
        <f>+IFERROR(G21*H5,"")</f>
        <v>109.83120000000001</v>
      </c>
      <c r="M21" s="48" t="str">
        <f t="shared" si="1"/>
        <v>Cal apagada</v>
      </c>
      <c r="N21" s="332">
        <f t="shared" si="2"/>
        <v>0.02</v>
      </c>
    </row>
    <row r="22" spans="1:14" x14ac:dyDescent="0.3">
      <c r="A22" s="155"/>
      <c r="B22" s="118"/>
      <c r="C22" s="118"/>
      <c r="D22" s="121" t="str">
        <f>IFERROR(VLOOKUP(MATERIALES_035[[#This Row],[Descripcion]],INSUM_[#All],2,FALSE),"")</f>
        <v/>
      </c>
      <c r="E22" s="170" t="str">
        <f>IFERROR(VLOOKUP(MATERIALES_035[[#This Row],[Descripcion]],INSUM_[#All],3,FALSE),"")</f>
        <v/>
      </c>
      <c r="F22" s="116"/>
      <c r="G22" s="117" t="str">
        <f t="shared" si="0"/>
        <v/>
      </c>
      <c r="H22" s="102"/>
      <c r="J22" s="195" t="str">
        <f>+_xlfn.CONCAT("M",J14,K22)</f>
        <v>M2,056</v>
      </c>
      <c r="K22" s="195">
        <v>6</v>
      </c>
      <c r="L22" s="197" t="str">
        <f>+IFERROR(G22*H5,"")</f>
        <v/>
      </c>
      <c r="M22" s="48">
        <f t="shared" si="1"/>
        <v>0</v>
      </c>
      <c r="N22" s="332">
        <f t="shared" si="2"/>
        <v>0</v>
      </c>
    </row>
    <row r="23" spans="1:14" x14ac:dyDescent="0.3">
      <c r="A23" s="156"/>
      <c r="B23" s="120"/>
      <c r="C23" s="120"/>
      <c r="D23" s="121" t="str">
        <f>IFERROR(VLOOKUP(MATERIALES_035[[#This Row],[Descripcion]],INSUM_[#All],2,FALSE),"")</f>
        <v/>
      </c>
      <c r="E23" s="170" t="str">
        <f>IFERROR(VLOOKUP(MATERIALES_035[[#This Row],[Descripcion]],INSUM_[#All],3,FALSE),"")</f>
        <v/>
      </c>
      <c r="F23" s="121"/>
      <c r="G23" s="117" t="str">
        <f t="shared" si="0"/>
        <v/>
      </c>
      <c r="H23" s="102"/>
      <c r="J23" s="195" t="str">
        <f>+_xlfn.CONCAT("M",J14,K23)</f>
        <v>M2,057</v>
      </c>
      <c r="K23" s="195">
        <v>7</v>
      </c>
      <c r="L23" s="197" t="str">
        <f>+IFERROR(G23*H5,"")</f>
        <v/>
      </c>
      <c r="M23" s="48">
        <f t="shared" si="1"/>
        <v>0</v>
      </c>
      <c r="N23" s="332">
        <f t="shared" si="2"/>
        <v>0</v>
      </c>
    </row>
    <row r="24" spans="1:14" x14ac:dyDescent="0.3">
      <c r="A24" s="156"/>
      <c r="B24" s="120"/>
      <c r="C24" s="120"/>
      <c r="D24" s="121" t="str">
        <f>IFERROR(VLOOKUP(MATERIALES_035[[#This Row],[Descripcion]],INSUM_[#All],2,FALSE),"")</f>
        <v/>
      </c>
      <c r="E24" s="170" t="str">
        <f>IFERROR(VLOOKUP(MATERIALES_035[[#This Row],[Descripcion]],INSUM_[#All],3,FALSE),"")</f>
        <v/>
      </c>
      <c r="F24" s="121"/>
      <c r="G24" s="117" t="str">
        <f t="shared" si="0"/>
        <v/>
      </c>
      <c r="H24" s="102"/>
      <c r="J24" s="195" t="str">
        <f>+_xlfn.CONCAT("M",J14,K24)</f>
        <v>M2,058</v>
      </c>
      <c r="K24" s="195">
        <v>8</v>
      </c>
      <c r="L24" s="197" t="str">
        <f>+IFERROR(G24*H5,"")</f>
        <v/>
      </c>
      <c r="M24" s="48">
        <f t="shared" si="1"/>
        <v>0</v>
      </c>
      <c r="N24" s="332">
        <f t="shared" si="2"/>
        <v>0</v>
      </c>
    </row>
    <row r="25" spans="1:14" x14ac:dyDescent="0.3">
      <c r="A25" s="156"/>
      <c r="B25" s="120"/>
      <c r="C25" s="120"/>
      <c r="D25" s="121" t="str">
        <f>IFERROR(VLOOKUP(MATERIALES_035[[#This Row],[Descripcion]],INSUM_[#All],2,FALSE),"")</f>
        <v/>
      </c>
      <c r="E25" s="170" t="str">
        <f>IFERROR(VLOOKUP(MATERIALES_035[[#This Row],[Descripcion]],INSUM_[#All],3,FALSE),"")</f>
        <v/>
      </c>
      <c r="F25" s="121"/>
      <c r="G25" s="117" t="str">
        <f t="shared" si="0"/>
        <v/>
      </c>
      <c r="H25" s="102"/>
      <c r="J25" s="195" t="str">
        <f>+_xlfn.CONCAT("M",J14,K25)</f>
        <v>M2,059</v>
      </c>
      <c r="K25" s="195">
        <v>9</v>
      </c>
      <c r="L25" s="197" t="str">
        <f>+IFERROR(G25*H5,"")</f>
        <v/>
      </c>
      <c r="M25" s="48">
        <f t="shared" si="1"/>
        <v>0</v>
      </c>
      <c r="N25" s="332">
        <f t="shared" si="2"/>
        <v>0</v>
      </c>
    </row>
    <row r="26" spans="1:14" x14ac:dyDescent="0.3">
      <c r="A26" s="156"/>
      <c r="B26" s="120"/>
      <c r="C26" s="120"/>
      <c r="D26" s="121" t="str">
        <f>IFERROR(VLOOKUP(MATERIALES_035[[#This Row],[Descripcion]],INSUM_[#All],2,FALSE),"")</f>
        <v/>
      </c>
      <c r="E26" s="170" t="str">
        <f>IFERROR(VLOOKUP(MATERIALES_035[[#This Row],[Descripcion]],INSUM_[#All],3,FALSE),"")</f>
        <v/>
      </c>
      <c r="F26" s="121"/>
      <c r="G26" s="117" t="str">
        <f t="shared" si="0"/>
        <v/>
      </c>
      <c r="H26" s="102"/>
      <c r="J26" s="195" t="str">
        <f>+_xlfn.CONCAT("M",J14,K26)</f>
        <v>M2,0510</v>
      </c>
      <c r="K26" s="195">
        <v>10</v>
      </c>
      <c r="L26" s="197" t="str">
        <f>+IFERROR(G26*H5,"")</f>
        <v/>
      </c>
      <c r="M26" s="48">
        <f t="shared" si="1"/>
        <v>0</v>
      </c>
      <c r="N26" s="332">
        <f t="shared" si="2"/>
        <v>0</v>
      </c>
    </row>
    <row r="27" spans="1:14" x14ac:dyDescent="0.3">
      <c r="A27" s="156"/>
      <c r="B27" s="120"/>
      <c r="C27" s="120"/>
      <c r="D27" s="121" t="str">
        <f>IFERROR(VLOOKUP(MATERIALES_035[[#This Row],[Descripcion]],INSUM_[#All],2,FALSE),"")</f>
        <v/>
      </c>
      <c r="E27" s="170" t="str">
        <f>IFERROR(VLOOKUP(MATERIALES_035[[#This Row],[Descripcion]],INSUM_[#All],3,FALSE),"")</f>
        <v/>
      </c>
      <c r="F27" s="121"/>
      <c r="G27" s="117" t="str">
        <f t="shared" si="0"/>
        <v/>
      </c>
      <c r="H27" s="102"/>
      <c r="J27" s="195" t="str">
        <f>+_xlfn.CONCAT("M",J14,K27)</f>
        <v>M2,0511</v>
      </c>
      <c r="K27" s="195">
        <v>11</v>
      </c>
      <c r="L27" s="197" t="str">
        <f>+IFERROR(G27*H5,"")</f>
        <v/>
      </c>
      <c r="M27" s="48">
        <f t="shared" si="1"/>
        <v>0</v>
      </c>
      <c r="N27" s="332">
        <f t="shared" si="2"/>
        <v>0</v>
      </c>
    </row>
    <row r="28" spans="1:14" x14ac:dyDescent="0.3">
      <c r="A28" s="104" t="s">
        <v>81</v>
      </c>
      <c r="B28" s="105"/>
      <c r="C28" s="105"/>
      <c r="D28" s="105"/>
      <c r="E28" s="105"/>
      <c r="F28" s="105"/>
      <c r="G28" s="106"/>
      <c r="H28" s="190">
        <f>SUM(G17:G27)</f>
        <v>545.31873000000007</v>
      </c>
      <c r="K28" s="196" t="str">
        <f>+H7</f>
        <v>2,05</v>
      </c>
      <c r="L28" s="198">
        <f>SUM(L17:L27)</f>
        <v>1090.6374600000001</v>
      </c>
      <c r="M28" s="330">
        <f>+H28</f>
        <v>545.31873000000007</v>
      </c>
    </row>
    <row r="29" spans="1:14" x14ac:dyDescent="0.3">
      <c r="A29" s="91" t="s">
        <v>26</v>
      </c>
      <c r="B29" s="124"/>
      <c r="C29" s="125"/>
      <c r="D29" s="125"/>
      <c r="E29" s="126"/>
      <c r="F29" s="124"/>
      <c r="G29" s="125"/>
      <c r="H29" s="113"/>
    </row>
    <row r="30" spans="1:14" x14ac:dyDescent="0.3">
      <c r="A30" s="205" t="s">
        <v>57</v>
      </c>
      <c r="B30" s="217" t="s">
        <v>67</v>
      </c>
      <c r="C30" s="211" t="s">
        <v>82</v>
      </c>
      <c r="D30" s="211" t="s">
        <v>83</v>
      </c>
      <c r="E30" s="212" t="s">
        <v>61</v>
      </c>
      <c r="F30" s="207" t="s">
        <v>49</v>
      </c>
      <c r="G30" s="208" t="s">
        <v>71</v>
      </c>
      <c r="H30" s="215"/>
    </row>
    <row r="31" spans="1:14" x14ac:dyDescent="0.3">
      <c r="A31" s="155"/>
      <c r="B31" s="115"/>
      <c r="C31" s="115"/>
      <c r="D31" s="127"/>
      <c r="E31" s="98"/>
      <c r="F31" s="128"/>
      <c r="G31" s="177"/>
      <c r="H31" s="102"/>
    </row>
    <row r="32" spans="1:14" x14ac:dyDescent="0.3">
      <c r="A32" s="156"/>
      <c r="B32" s="178"/>
      <c r="C32" s="178"/>
      <c r="D32" s="122"/>
      <c r="E32" s="123"/>
      <c r="F32" s="179"/>
      <c r="G32" s="180">
        <f>E32*F32*D32</f>
        <v>0</v>
      </c>
      <c r="H32" s="102"/>
    </row>
    <row r="33" spans="1:14" x14ac:dyDescent="0.3">
      <c r="A33" s="104" t="s">
        <v>84</v>
      </c>
      <c r="B33" s="105"/>
      <c r="C33" s="105"/>
      <c r="D33" s="105"/>
      <c r="E33" s="105"/>
      <c r="F33" s="105"/>
      <c r="G33" s="106"/>
      <c r="H33" s="107">
        <f>G31+G32</f>
        <v>0</v>
      </c>
      <c r="L33" s="196" t="str">
        <f>+H7</f>
        <v>2,05</v>
      </c>
      <c r="M33" s="333">
        <f>+H33</f>
        <v>0</v>
      </c>
    </row>
    <row r="34" spans="1:14" x14ac:dyDescent="0.3">
      <c r="A34" s="130" t="s">
        <v>85</v>
      </c>
      <c r="B34" s="124"/>
      <c r="C34" s="124"/>
      <c r="D34" s="125"/>
      <c r="E34" s="126"/>
      <c r="F34" s="124"/>
      <c r="G34" s="125"/>
      <c r="H34" s="113"/>
    </row>
    <row r="35" spans="1:14" x14ac:dyDescent="0.3">
      <c r="A35" s="218" t="s">
        <v>57</v>
      </c>
      <c r="B35" s="211" t="s">
        <v>86</v>
      </c>
      <c r="C35" s="211" t="s">
        <v>87</v>
      </c>
      <c r="D35" s="211" t="s">
        <v>88</v>
      </c>
      <c r="E35" s="212" t="s">
        <v>89</v>
      </c>
      <c r="F35" s="207" t="s">
        <v>62</v>
      </c>
      <c r="G35" s="208" t="s">
        <v>63</v>
      </c>
      <c r="H35" s="215"/>
    </row>
    <row r="36" spans="1:14" x14ac:dyDescent="0.3">
      <c r="A36" s="181" t="s">
        <v>90</v>
      </c>
      <c r="B36" s="129">
        <v>1</v>
      </c>
      <c r="C36" s="131">
        <v>38666.666666666664</v>
      </c>
      <c r="D36" s="132">
        <v>1.8540999999999999</v>
      </c>
      <c r="E36" s="133">
        <f>B36*C36*(D36)</f>
        <v>71691.866666666654</v>
      </c>
      <c r="F36" s="134">
        <v>0.01</v>
      </c>
      <c r="G36" s="182">
        <f>E36*F36</f>
        <v>716.91866666666658</v>
      </c>
      <c r="H36" s="100"/>
    </row>
    <row r="37" spans="1:14" x14ac:dyDescent="0.3">
      <c r="A37" s="183" t="s">
        <v>91</v>
      </c>
      <c r="B37" s="122">
        <v>1</v>
      </c>
      <c r="C37" s="184">
        <v>58333.333333333336</v>
      </c>
      <c r="D37" s="185">
        <v>1.8508</v>
      </c>
      <c r="E37" s="186">
        <f>B37*C37*(D37)</f>
        <v>107963.33333333334</v>
      </c>
      <c r="F37" s="187">
        <f>F36</f>
        <v>0.01</v>
      </c>
      <c r="G37" s="188">
        <f>E37*F37</f>
        <v>1079.6333333333334</v>
      </c>
      <c r="H37" s="102"/>
    </row>
    <row r="38" spans="1:14" x14ac:dyDescent="0.3">
      <c r="A38" s="135" t="s">
        <v>92</v>
      </c>
      <c r="B38" s="136"/>
      <c r="C38" s="136"/>
      <c r="D38" s="136"/>
      <c r="E38" s="136"/>
      <c r="F38" s="136"/>
      <c r="G38" s="137"/>
      <c r="H38" s="190">
        <f>SUM(G36:G37)</f>
        <v>1796.5520000000001</v>
      </c>
      <c r="M38" s="196" t="str">
        <f>+H7</f>
        <v>2,05</v>
      </c>
      <c r="N38" s="330">
        <f>+H38</f>
        <v>1796.5520000000001</v>
      </c>
    </row>
    <row r="39" spans="1:14" x14ac:dyDescent="0.3">
      <c r="A39" s="130" t="s">
        <v>93</v>
      </c>
      <c r="B39" s="138"/>
      <c r="C39" s="138"/>
      <c r="D39" s="138"/>
      <c r="E39" s="138"/>
      <c r="F39" s="138"/>
      <c r="G39" s="138"/>
      <c r="H39" s="139"/>
    </row>
    <row r="40" spans="1:14" x14ac:dyDescent="0.3">
      <c r="A40" s="219" t="s">
        <v>94</v>
      </c>
      <c r="B40" s="220"/>
      <c r="C40" s="220"/>
      <c r="D40" s="220"/>
      <c r="E40" s="220"/>
      <c r="F40" s="220"/>
      <c r="G40" s="221"/>
      <c r="H40" s="222">
        <f>H38+H33+H28+H14</f>
        <v>2431.6983300000002</v>
      </c>
    </row>
    <row r="41" spans="1:14" x14ac:dyDescent="0.3">
      <c r="A41" s="140"/>
      <c r="B41" s="92"/>
      <c r="C41" s="141"/>
      <c r="D41" s="141"/>
      <c r="E41" s="93"/>
      <c r="F41" s="92"/>
      <c r="G41" s="141"/>
      <c r="H41" s="142"/>
    </row>
    <row r="42" spans="1:14" x14ac:dyDescent="0.3">
      <c r="A42" s="140"/>
      <c r="B42" s="92"/>
      <c r="C42" s="141"/>
      <c r="D42" s="143" t="s">
        <v>95</v>
      </c>
      <c r="E42" s="144"/>
      <c r="F42" s="144"/>
      <c r="G42" s="145"/>
      <c r="H42" s="146">
        <f>H40</f>
        <v>2431.6983300000002</v>
      </c>
    </row>
    <row r="43" spans="1:14" x14ac:dyDescent="0.3">
      <c r="A43" s="140"/>
      <c r="B43" s="92"/>
      <c r="C43" s="141"/>
      <c r="D43" s="141"/>
      <c r="E43" s="93"/>
      <c r="F43" s="92"/>
      <c r="G43" s="141"/>
      <c r="H43" s="139"/>
    </row>
    <row r="44" spans="1:14" x14ac:dyDescent="0.3">
      <c r="A44" s="147" t="s">
        <v>96</v>
      </c>
      <c r="B44" s="92"/>
      <c r="C44" s="141"/>
      <c r="D44" s="141"/>
      <c r="E44" s="93"/>
      <c r="F44" s="92"/>
      <c r="G44" s="141"/>
      <c r="H44" s="139"/>
    </row>
    <row r="45" spans="1:14" x14ac:dyDescent="0.3">
      <c r="A45" s="148"/>
      <c r="B45" s="124"/>
      <c r="C45" s="125"/>
      <c r="D45" s="141"/>
      <c r="E45" s="157" t="s">
        <v>97</v>
      </c>
      <c r="F45" s="157"/>
      <c r="G45" s="157"/>
      <c r="H45" s="139"/>
    </row>
    <row r="46" spans="1:14" x14ac:dyDescent="0.3">
      <c r="A46" s="148"/>
      <c r="B46" s="124"/>
      <c r="C46" s="125"/>
      <c r="D46" s="141"/>
      <c r="E46" s="149" t="str">
        <f>IF('INF. GENERAL'!$B$19=0," ",'INF. GENERAL'!$B$19)</f>
        <v>JAVIER JOSÉ ROSADO MENDINUETA</v>
      </c>
      <c r="F46" s="150"/>
      <c r="G46" s="151"/>
      <c r="H46" s="139"/>
    </row>
    <row r="47" spans="1:14" x14ac:dyDescent="0.3">
      <c r="A47" s="148"/>
      <c r="B47" s="124"/>
      <c r="C47" s="125"/>
      <c r="D47" s="141"/>
      <c r="E47" s="160" t="str">
        <f>IF('INF. GENERAL'!$B$20=0," ",'INF. GENERAL'!$B$20)</f>
        <v>PROFESIONAL APOYO</v>
      </c>
      <c r="F47" s="158"/>
      <c r="G47" s="161"/>
      <c r="H47" s="139"/>
    </row>
    <row r="48" spans="1:14" x14ac:dyDescent="0.3">
      <c r="A48" s="148"/>
      <c r="B48" s="124"/>
      <c r="C48" s="125"/>
      <c r="D48" s="141"/>
      <c r="E48" s="160" t="str">
        <f>IF('INF. GENERAL'!$B$18=0," ",'INF. GENERAL'!$B$18)</f>
        <v>ALCALDÍA MUNICIPAL DE FUNDACIÓN - MAGDALENA</v>
      </c>
      <c r="F48" s="159"/>
      <c r="G48" s="162"/>
      <c r="H48" s="139"/>
    </row>
    <row r="49" spans="1:8" x14ac:dyDescent="0.3">
      <c r="A49" s="140"/>
      <c r="B49" s="92"/>
      <c r="C49" s="141"/>
      <c r="D49" s="141"/>
      <c r="E49" s="154" t="str">
        <f>IF('INF. GENERAL'!$B$21=0," ",'INF. GENERAL'!$B$21)</f>
        <v>MP: 08700-52350</v>
      </c>
      <c r="F49" s="152"/>
      <c r="G49" s="153"/>
      <c r="H49" s="139"/>
    </row>
    <row r="50" spans="1:8" ht="15" thickBot="1" x14ac:dyDescent="0.35">
      <c r="A50" s="164" t="s">
        <v>37</v>
      </c>
      <c r="B50" s="165"/>
      <c r="C50" s="166"/>
      <c r="D50" s="166"/>
      <c r="E50" s="167"/>
      <c r="F50" s="167"/>
      <c r="G50" s="167"/>
      <c r="H50" s="168" t="s">
        <v>37</v>
      </c>
    </row>
  </sheetData>
  <printOptions horizontalCentered="1"/>
  <pageMargins left="0.70866141732283472" right="0.70866141732283472" top="1.2204724409448819" bottom="0.74803149606299213" header="0.31496062992125984" footer="0.31496062992125984"/>
  <pageSetup scale="80" orientation="portrait" r:id="rId1"/>
  <tableParts count="4">
    <tablePart r:id="rId2"/>
    <tablePart r:id="rId3"/>
    <tablePart r:id="rId4"/>
    <tablePart r:id="rId5"/>
  </tableParts>
  <extLst>
    <ext xmlns:x14="http://schemas.microsoft.com/office/spreadsheetml/2009/9/main" uri="{CCE6A557-97BC-4b89-ADB6-D9C93CAAB3DF}">
      <x14:dataValidations xmlns:xm="http://schemas.microsoft.com/office/excel/2006/main" count="1">
        <x14:dataValidation type="list" allowBlank="1" showInputMessage="1" showErrorMessage="1" xr:uid="{92334651-1E47-403F-AD1A-93AFC147F260}">
          <x14:formula1>
            <xm:f>INSUMOS!$A:$A</xm:f>
          </x14:formula1>
          <xm:sqref>A17:A26</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DD029F-A58E-4A5D-9AE8-AFDE65316F88}">
  <sheetPr codeName="Sheet5"/>
  <dimension ref="A1:F1267"/>
  <sheetViews>
    <sheetView topLeftCell="A454" workbookViewId="0">
      <selection activeCell="A466" sqref="A466"/>
    </sheetView>
  </sheetViews>
  <sheetFormatPr baseColWidth="10" defaultColWidth="11.44140625" defaultRowHeight="13.2" x14ac:dyDescent="0.3"/>
  <cols>
    <col min="1" max="1" width="73.109375" style="53" customWidth="1"/>
    <col min="2" max="2" width="23.44140625" style="54" customWidth="1"/>
    <col min="3" max="3" width="14.88671875" style="54" customWidth="1"/>
    <col min="4" max="4" width="8.109375" style="54" customWidth="1"/>
    <col min="5" max="5" width="11.44140625" style="54"/>
    <col min="6" max="6" width="13.33203125" style="54" customWidth="1"/>
    <col min="7" max="16384" width="11.44140625" style="54"/>
  </cols>
  <sheetData>
    <row r="1" spans="1:6" x14ac:dyDescent="0.3">
      <c r="A1" s="53" t="s">
        <v>1264</v>
      </c>
      <c r="B1" s="54" t="s">
        <v>1265</v>
      </c>
      <c r="C1" s="54" t="s">
        <v>1266</v>
      </c>
      <c r="D1" s="54" t="s">
        <v>1267</v>
      </c>
    </row>
    <row r="2" spans="1:6" x14ac:dyDescent="0.3">
      <c r="A2" s="53" t="s">
        <v>548</v>
      </c>
      <c r="B2" s="54" t="s">
        <v>55</v>
      </c>
      <c r="C2" s="55">
        <v>294147.71000000002</v>
      </c>
      <c r="D2" s="54">
        <v>1</v>
      </c>
    </row>
    <row r="3" spans="1:6" x14ac:dyDescent="0.3">
      <c r="A3" s="53" t="s">
        <v>549</v>
      </c>
      <c r="B3" s="54" t="s">
        <v>55</v>
      </c>
      <c r="C3" s="55">
        <v>753329.81</v>
      </c>
      <c r="D3" s="54">
        <v>2</v>
      </c>
    </row>
    <row r="4" spans="1:6" x14ac:dyDescent="0.3">
      <c r="A4" s="53" t="s">
        <v>76</v>
      </c>
      <c r="B4" s="54" t="s">
        <v>2145</v>
      </c>
      <c r="C4" s="55">
        <v>2745.78</v>
      </c>
      <c r="D4" s="54">
        <v>3</v>
      </c>
    </row>
    <row r="5" spans="1:6" x14ac:dyDescent="0.3">
      <c r="A5" s="53" t="s">
        <v>568</v>
      </c>
      <c r="B5" s="54" t="s">
        <v>1276</v>
      </c>
      <c r="C5" s="55">
        <v>32857.910000000003</v>
      </c>
      <c r="D5" s="54">
        <v>4</v>
      </c>
    </row>
    <row r="6" spans="1:6" x14ac:dyDescent="0.3">
      <c r="A6" s="53" t="s">
        <v>616</v>
      </c>
      <c r="B6" s="54" t="s">
        <v>55</v>
      </c>
      <c r="C6" s="55">
        <v>59642.73</v>
      </c>
      <c r="D6" s="54">
        <v>5</v>
      </c>
    </row>
    <row r="7" spans="1:6" x14ac:dyDescent="0.3">
      <c r="A7" s="53" t="s">
        <v>617</v>
      </c>
      <c r="B7" s="54" t="s">
        <v>55</v>
      </c>
      <c r="C7" s="55">
        <v>428582.24</v>
      </c>
      <c r="D7" s="54">
        <v>6</v>
      </c>
    </row>
    <row r="8" spans="1:6" x14ac:dyDescent="0.3">
      <c r="A8" s="53" t="s">
        <v>2146</v>
      </c>
      <c r="B8" s="54" t="s">
        <v>55</v>
      </c>
      <c r="C8" s="55">
        <v>113295.89</v>
      </c>
      <c r="D8" s="54">
        <v>7</v>
      </c>
    </row>
    <row r="9" spans="1:6" x14ac:dyDescent="0.3">
      <c r="A9" s="53" t="s">
        <v>2147</v>
      </c>
      <c r="B9" s="54" t="s">
        <v>55</v>
      </c>
      <c r="C9" s="55">
        <v>24679.439999999999</v>
      </c>
      <c r="D9" s="54">
        <v>8</v>
      </c>
    </row>
    <row r="10" spans="1:6" x14ac:dyDescent="0.3">
      <c r="A10" s="53" t="s">
        <v>2148</v>
      </c>
      <c r="B10" s="54" t="s">
        <v>55</v>
      </c>
      <c r="C10" s="55">
        <v>209441.37</v>
      </c>
      <c r="D10" s="54">
        <v>9</v>
      </c>
    </row>
    <row r="11" spans="1:6" x14ac:dyDescent="0.3">
      <c r="A11" s="53" t="s">
        <v>734</v>
      </c>
      <c r="B11" s="54" t="s">
        <v>1274</v>
      </c>
      <c r="C11" s="55">
        <v>322255.45</v>
      </c>
      <c r="D11" s="54">
        <v>10</v>
      </c>
    </row>
    <row r="12" spans="1:6" x14ac:dyDescent="0.3">
      <c r="A12" s="53" t="s">
        <v>871</v>
      </c>
      <c r="B12" s="54" t="s">
        <v>55</v>
      </c>
      <c r="C12" s="55">
        <v>68151.25</v>
      </c>
      <c r="D12" s="54">
        <v>11</v>
      </c>
      <c r="F12" s="56"/>
    </row>
    <row r="13" spans="1:6" x14ac:dyDescent="0.3">
      <c r="A13" s="53" t="s">
        <v>872</v>
      </c>
      <c r="B13" s="54" t="s">
        <v>55</v>
      </c>
      <c r="C13" s="55">
        <v>57657.67</v>
      </c>
      <c r="D13" s="54">
        <v>12</v>
      </c>
      <c r="F13" s="56"/>
    </row>
    <row r="14" spans="1:6" x14ac:dyDescent="0.3">
      <c r="A14" s="53" t="s">
        <v>873</v>
      </c>
      <c r="B14" s="54" t="s">
        <v>55</v>
      </c>
      <c r="C14" s="55">
        <v>60643.71</v>
      </c>
      <c r="D14" s="54">
        <v>13</v>
      </c>
    </row>
    <row r="15" spans="1:6" x14ac:dyDescent="0.3">
      <c r="A15" s="53" t="s">
        <v>745</v>
      </c>
      <c r="B15" s="54" t="s">
        <v>2145</v>
      </c>
      <c r="C15" s="55">
        <v>12761.29</v>
      </c>
      <c r="D15" s="54">
        <v>14</v>
      </c>
    </row>
    <row r="16" spans="1:6" x14ac:dyDescent="0.3">
      <c r="A16" s="53" t="s">
        <v>746</v>
      </c>
      <c r="B16" s="54" t="s">
        <v>2145</v>
      </c>
      <c r="C16" s="55">
        <v>1194.3</v>
      </c>
      <c r="D16" s="54">
        <v>15</v>
      </c>
    </row>
    <row r="17" spans="1:4" x14ac:dyDescent="0.3">
      <c r="A17" s="53" t="s">
        <v>747</v>
      </c>
      <c r="B17" s="54" t="s">
        <v>2145</v>
      </c>
      <c r="C17" s="55">
        <v>1807.33</v>
      </c>
      <c r="D17" s="54">
        <v>16</v>
      </c>
    </row>
    <row r="18" spans="1:4" x14ac:dyDescent="0.3">
      <c r="A18" s="53" t="s">
        <v>158</v>
      </c>
      <c r="B18" s="54" t="s">
        <v>2145</v>
      </c>
      <c r="C18" s="55">
        <v>178370.08</v>
      </c>
      <c r="D18" s="54">
        <v>17</v>
      </c>
    </row>
    <row r="19" spans="1:4" x14ac:dyDescent="0.3">
      <c r="A19" s="53" t="s">
        <v>159</v>
      </c>
      <c r="B19" s="54" t="s">
        <v>2145</v>
      </c>
      <c r="C19" s="55">
        <v>214853.68</v>
      </c>
      <c r="D19" s="54">
        <v>18</v>
      </c>
    </row>
    <row r="20" spans="1:4" x14ac:dyDescent="0.3">
      <c r="A20" s="53" t="s">
        <v>2365</v>
      </c>
      <c r="B20" s="54" t="s">
        <v>2145</v>
      </c>
      <c r="C20" s="55">
        <v>70765.72</v>
      </c>
      <c r="D20" s="54">
        <v>19</v>
      </c>
    </row>
    <row r="21" spans="1:4" x14ac:dyDescent="0.3">
      <c r="A21" s="53" t="s">
        <v>2368</v>
      </c>
      <c r="B21" s="54" t="s">
        <v>1270</v>
      </c>
      <c r="C21" s="55">
        <v>14658.95</v>
      </c>
      <c r="D21" s="54">
        <v>20</v>
      </c>
    </row>
    <row r="22" spans="1:4" x14ac:dyDescent="0.3">
      <c r="A22" s="53" t="s">
        <v>2369</v>
      </c>
      <c r="B22" s="54" t="s">
        <v>1270</v>
      </c>
      <c r="C22" s="55">
        <v>28945.43</v>
      </c>
      <c r="D22" s="54">
        <v>21</v>
      </c>
    </row>
    <row r="23" spans="1:4" x14ac:dyDescent="0.3">
      <c r="A23" s="53" t="s">
        <v>580</v>
      </c>
      <c r="B23" s="54" t="s">
        <v>1270</v>
      </c>
      <c r="C23" s="55">
        <v>27602.66</v>
      </c>
      <c r="D23" s="54">
        <v>22</v>
      </c>
    </row>
    <row r="24" spans="1:4" x14ac:dyDescent="0.3">
      <c r="A24" s="53" t="s">
        <v>581</v>
      </c>
      <c r="B24" s="54" t="s">
        <v>1270</v>
      </c>
      <c r="C24" s="55">
        <v>32076.77</v>
      </c>
      <c r="D24" s="54">
        <v>23</v>
      </c>
    </row>
    <row r="25" spans="1:4" x14ac:dyDescent="0.3">
      <c r="A25" s="53" t="s">
        <v>2370</v>
      </c>
      <c r="B25" s="54" t="s">
        <v>1270</v>
      </c>
      <c r="C25" s="55">
        <v>26771.49</v>
      </c>
      <c r="D25" s="54">
        <v>24</v>
      </c>
    </row>
    <row r="26" spans="1:4" x14ac:dyDescent="0.3">
      <c r="A26" s="53" t="s">
        <v>2371</v>
      </c>
      <c r="B26" s="54" t="s">
        <v>1270</v>
      </c>
      <c r="C26" s="55">
        <v>31665.37</v>
      </c>
      <c r="D26" s="54">
        <v>25</v>
      </c>
    </row>
    <row r="27" spans="1:4" x14ac:dyDescent="0.3">
      <c r="A27" s="53" t="s">
        <v>613</v>
      </c>
      <c r="B27" s="54" t="s">
        <v>55</v>
      </c>
      <c r="C27" s="55">
        <v>374025.53</v>
      </c>
      <c r="D27" s="54">
        <v>26</v>
      </c>
    </row>
    <row r="28" spans="1:4" x14ac:dyDescent="0.3">
      <c r="A28" s="53" t="s">
        <v>614</v>
      </c>
      <c r="B28" s="54" t="s">
        <v>55</v>
      </c>
      <c r="C28" s="55">
        <v>92504.38</v>
      </c>
      <c r="D28" s="54">
        <v>27</v>
      </c>
    </row>
    <row r="29" spans="1:4" x14ac:dyDescent="0.3">
      <c r="A29" s="53" t="s">
        <v>2314</v>
      </c>
      <c r="B29" s="54" t="s">
        <v>55</v>
      </c>
      <c r="C29" s="55">
        <v>214628.49</v>
      </c>
      <c r="D29" s="54">
        <v>28</v>
      </c>
    </row>
    <row r="30" spans="1:4" x14ac:dyDescent="0.3">
      <c r="A30" s="53" t="s">
        <v>612</v>
      </c>
      <c r="B30" s="54" t="s">
        <v>55</v>
      </c>
      <c r="C30" s="55">
        <v>46366.81</v>
      </c>
      <c r="D30" s="54">
        <v>29</v>
      </c>
    </row>
    <row r="31" spans="1:4" x14ac:dyDescent="0.3">
      <c r="A31" s="53" t="s">
        <v>610</v>
      </c>
      <c r="B31" s="54" t="s">
        <v>55</v>
      </c>
      <c r="C31" s="55">
        <v>545743.59</v>
      </c>
      <c r="D31" s="54">
        <v>30</v>
      </c>
    </row>
    <row r="32" spans="1:4" x14ac:dyDescent="0.3">
      <c r="A32" s="53" t="s">
        <v>611</v>
      </c>
      <c r="B32" s="54" t="s">
        <v>55</v>
      </c>
      <c r="C32" s="55">
        <v>103311.27</v>
      </c>
      <c r="D32" s="54">
        <v>31</v>
      </c>
    </row>
    <row r="33" spans="1:4" x14ac:dyDescent="0.3">
      <c r="A33" s="53" t="s">
        <v>2154</v>
      </c>
      <c r="B33" s="54" t="s">
        <v>55</v>
      </c>
      <c r="C33" s="55">
        <v>1521837.96</v>
      </c>
      <c r="D33" s="54">
        <v>32</v>
      </c>
    </row>
    <row r="34" spans="1:4" x14ac:dyDescent="0.3">
      <c r="A34" s="53" t="s">
        <v>2155</v>
      </c>
      <c r="B34" s="54" t="s">
        <v>55</v>
      </c>
      <c r="C34" s="55">
        <v>217158.42</v>
      </c>
      <c r="D34" s="54">
        <v>33</v>
      </c>
    </row>
    <row r="35" spans="1:4" x14ac:dyDescent="0.3">
      <c r="A35" s="53" t="s">
        <v>1049</v>
      </c>
      <c r="B35" s="54" t="s">
        <v>1274</v>
      </c>
      <c r="C35" s="55">
        <v>148273.84</v>
      </c>
      <c r="D35" s="54">
        <v>34</v>
      </c>
    </row>
    <row r="36" spans="1:4" x14ac:dyDescent="0.3">
      <c r="A36" s="53" t="s">
        <v>263</v>
      </c>
      <c r="B36" s="54" t="s">
        <v>1278</v>
      </c>
      <c r="C36" s="55">
        <v>14708.23</v>
      </c>
      <c r="D36" s="54">
        <v>35</v>
      </c>
    </row>
    <row r="37" spans="1:4" x14ac:dyDescent="0.3">
      <c r="A37" s="53" t="s">
        <v>559</v>
      </c>
      <c r="B37" s="54" t="s">
        <v>1271</v>
      </c>
      <c r="C37" s="55">
        <v>404001.83</v>
      </c>
      <c r="D37" s="54">
        <v>36</v>
      </c>
    </row>
    <row r="38" spans="1:4" x14ac:dyDescent="0.3">
      <c r="A38" s="53" t="s">
        <v>2156</v>
      </c>
      <c r="B38" s="54" t="s">
        <v>55</v>
      </c>
      <c r="C38" s="55">
        <v>57292</v>
      </c>
      <c r="D38" s="54">
        <v>37</v>
      </c>
    </row>
    <row r="39" spans="1:4" x14ac:dyDescent="0.3">
      <c r="A39" s="53" t="s">
        <v>106</v>
      </c>
      <c r="B39" s="54" t="s">
        <v>55</v>
      </c>
      <c r="C39" s="55">
        <v>39832.25</v>
      </c>
      <c r="D39" s="54">
        <v>38</v>
      </c>
    </row>
    <row r="40" spans="1:4" x14ac:dyDescent="0.3">
      <c r="A40" s="53" t="s">
        <v>2157</v>
      </c>
      <c r="B40" s="54" t="s">
        <v>55</v>
      </c>
      <c r="C40" s="55">
        <v>9699.67</v>
      </c>
      <c r="D40" s="54">
        <v>39</v>
      </c>
    </row>
    <row r="41" spans="1:4" x14ac:dyDescent="0.3">
      <c r="A41" s="53" t="s">
        <v>107</v>
      </c>
      <c r="B41" s="54" t="s">
        <v>55</v>
      </c>
      <c r="C41" s="55">
        <v>124123.36</v>
      </c>
      <c r="D41" s="54">
        <v>40</v>
      </c>
    </row>
    <row r="42" spans="1:4" x14ac:dyDescent="0.3">
      <c r="A42" s="53" t="s">
        <v>108</v>
      </c>
      <c r="B42" s="54" t="s">
        <v>55</v>
      </c>
      <c r="C42" s="55">
        <v>71563.990000000005</v>
      </c>
      <c r="D42" s="54">
        <v>41</v>
      </c>
    </row>
    <row r="43" spans="1:4" x14ac:dyDescent="0.3">
      <c r="A43" s="53" t="s">
        <v>2158</v>
      </c>
      <c r="B43" s="54" t="s">
        <v>55</v>
      </c>
      <c r="C43" s="55">
        <v>23015.19</v>
      </c>
      <c r="D43" s="54">
        <v>42</v>
      </c>
    </row>
    <row r="44" spans="1:4" x14ac:dyDescent="0.3">
      <c r="A44" s="53" t="s">
        <v>109</v>
      </c>
      <c r="B44" s="54" t="s">
        <v>55</v>
      </c>
      <c r="C44" s="55">
        <v>50079.839999999997</v>
      </c>
      <c r="D44" s="54">
        <v>43</v>
      </c>
    </row>
    <row r="45" spans="1:4" x14ac:dyDescent="0.3">
      <c r="A45" s="53" t="s">
        <v>2159</v>
      </c>
      <c r="B45" s="54" t="s">
        <v>55</v>
      </c>
      <c r="C45" s="55">
        <v>97426.89</v>
      </c>
      <c r="D45" s="54">
        <v>44</v>
      </c>
    </row>
    <row r="46" spans="1:4" x14ac:dyDescent="0.3">
      <c r="A46" s="53" t="s">
        <v>450</v>
      </c>
      <c r="B46" s="54" t="s">
        <v>2145</v>
      </c>
      <c r="C46" s="55">
        <v>5054.87</v>
      </c>
      <c r="D46" s="54">
        <v>45</v>
      </c>
    </row>
    <row r="47" spans="1:4" x14ac:dyDescent="0.3">
      <c r="A47" s="53" t="s">
        <v>451</v>
      </c>
      <c r="B47" s="54" t="s">
        <v>2145</v>
      </c>
      <c r="C47" s="55">
        <v>5445.96</v>
      </c>
      <c r="D47" s="54">
        <v>46</v>
      </c>
    </row>
    <row r="48" spans="1:4" x14ac:dyDescent="0.3">
      <c r="A48" s="53" t="s">
        <v>2315</v>
      </c>
      <c r="B48" s="54" t="s">
        <v>55</v>
      </c>
      <c r="C48" s="55">
        <v>121356.52</v>
      </c>
      <c r="D48" s="54">
        <v>47</v>
      </c>
    </row>
    <row r="49" spans="1:4" x14ac:dyDescent="0.3">
      <c r="A49" s="53" t="s">
        <v>2316</v>
      </c>
      <c r="B49" s="54" t="s">
        <v>55</v>
      </c>
      <c r="C49" s="55">
        <v>196075.95</v>
      </c>
      <c r="D49" s="54">
        <v>48</v>
      </c>
    </row>
    <row r="50" spans="1:4" x14ac:dyDescent="0.3">
      <c r="A50" s="53" t="s">
        <v>2317</v>
      </c>
      <c r="B50" s="54" t="s">
        <v>55</v>
      </c>
      <c r="C50" s="55">
        <v>293254.02</v>
      </c>
      <c r="D50" s="54">
        <v>49</v>
      </c>
    </row>
    <row r="51" spans="1:4" x14ac:dyDescent="0.3">
      <c r="A51" s="53" t="s">
        <v>2318</v>
      </c>
      <c r="B51" s="54" t="s">
        <v>55</v>
      </c>
      <c r="C51" s="55">
        <v>426641.4</v>
      </c>
      <c r="D51" s="54">
        <v>50</v>
      </c>
    </row>
    <row r="52" spans="1:4" x14ac:dyDescent="0.3">
      <c r="A52" s="53" t="s">
        <v>2319</v>
      </c>
      <c r="B52" s="54" t="s">
        <v>55</v>
      </c>
      <c r="C52" s="55">
        <v>516065.58</v>
      </c>
      <c r="D52" s="54">
        <v>51</v>
      </c>
    </row>
    <row r="53" spans="1:4" x14ac:dyDescent="0.3">
      <c r="A53" s="53" t="s">
        <v>2320</v>
      </c>
      <c r="B53" s="54" t="s">
        <v>55</v>
      </c>
      <c r="C53" s="55">
        <v>94318.82</v>
      </c>
      <c r="D53" s="54">
        <v>52</v>
      </c>
    </row>
    <row r="54" spans="1:4" x14ac:dyDescent="0.3">
      <c r="A54" s="53" t="s">
        <v>2321</v>
      </c>
      <c r="B54" s="54" t="s">
        <v>55</v>
      </c>
      <c r="C54" s="55">
        <v>76136.38</v>
      </c>
      <c r="D54" s="54">
        <v>56</v>
      </c>
    </row>
    <row r="55" spans="1:4" x14ac:dyDescent="0.3">
      <c r="A55" s="53" t="s">
        <v>175</v>
      </c>
      <c r="B55" s="54" t="s">
        <v>1273</v>
      </c>
      <c r="C55" s="55">
        <v>165988.56</v>
      </c>
      <c r="D55" s="54">
        <v>57</v>
      </c>
    </row>
    <row r="56" spans="1:4" x14ac:dyDescent="0.3">
      <c r="A56" s="53" t="s">
        <v>2169</v>
      </c>
      <c r="B56" s="54" t="s">
        <v>1273</v>
      </c>
      <c r="C56" s="55">
        <v>193350.39999999999</v>
      </c>
      <c r="D56" s="54">
        <v>58</v>
      </c>
    </row>
    <row r="57" spans="1:4" x14ac:dyDescent="0.3">
      <c r="A57" s="53" t="s">
        <v>2170</v>
      </c>
      <c r="B57" s="54" t="s">
        <v>1273</v>
      </c>
      <c r="C57" s="55">
        <v>192633.65</v>
      </c>
      <c r="D57" s="54">
        <v>59</v>
      </c>
    </row>
    <row r="58" spans="1:4" x14ac:dyDescent="0.3">
      <c r="A58" s="53" t="s">
        <v>176</v>
      </c>
      <c r="B58" s="54" t="s">
        <v>1273</v>
      </c>
      <c r="C58" s="55">
        <v>303109.8</v>
      </c>
      <c r="D58" s="54">
        <v>60</v>
      </c>
    </row>
    <row r="59" spans="1:4" x14ac:dyDescent="0.3">
      <c r="A59" s="53" t="s">
        <v>177</v>
      </c>
      <c r="B59" s="54" t="s">
        <v>1273</v>
      </c>
      <c r="C59" s="55">
        <v>307499.46999999997</v>
      </c>
      <c r="D59" s="54">
        <v>61</v>
      </c>
    </row>
    <row r="60" spans="1:4" x14ac:dyDescent="0.3">
      <c r="A60" s="53" t="s">
        <v>178</v>
      </c>
      <c r="B60" s="54" t="s">
        <v>1273</v>
      </c>
      <c r="C60" s="55">
        <v>307499.46999999997</v>
      </c>
      <c r="D60" s="54">
        <v>62</v>
      </c>
    </row>
    <row r="61" spans="1:4" x14ac:dyDescent="0.3">
      <c r="A61" s="53" t="s">
        <v>179</v>
      </c>
      <c r="B61" s="54" t="s">
        <v>1273</v>
      </c>
      <c r="C61" s="55">
        <v>255075.14</v>
      </c>
      <c r="D61" s="54">
        <v>63</v>
      </c>
    </row>
    <row r="62" spans="1:4" x14ac:dyDescent="0.3">
      <c r="A62" s="53" t="s">
        <v>2171</v>
      </c>
      <c r="B62" s="54" t="s">
        <v>1273</v>
      </c>
      <c r="C62" s="55">
        <v>268340.17</v>
      </c>
      <c r="D62" s="54">
        <v>64</v>
      </c>
    </row>
    <row r="63" spans="1:4" x14ac:dyDescent="0.3">
      <c r="A63" s="53" t="s">
        <v>180</v>
      </c>
      <c r="B63" s="54" t="s">
        <v>1273</v>
      </c>
      <c r="C63" s="55">
        <v>267189.46000000002</v>
      </c>
      <c r="D63" s="54">
        <v>65</v>
      </c>
    </row>
    <row r="64" spans="1:4" x14ac:dyDescent="0.3">
      <c r="A64" s="53" t="s">
        <v>215</v>
      </c>
      <c r="B64" s="54" t="s">
        <v>1273</v>
      </c>
      <c r="C64" s="55">
        <v>243964.03</v>
      </c>
      <c r="D64" s="54">
        <v>66</v>
      </c>
    </row>
    <row r="65" spans="1:4" x14ac:dyDescent="0.3">
      <c r="A65" s="53" t="s">
        <v>216</v>
      </c>
      <c r="B65" s="54" t="s">
        <v>1273</v>
      </c>
      <c r="C65" s="55">
        <v>312239.94</v>
      </c>
      <c r="D65" s="54">
        <v>67</v>
      </c>
    </row>
    <row r="66" spans="1:4" x14ac:dyDescent="0.3">
      <c r="A66" s="53" t="s">
        <v>217</v>
      </c>
      <c r="B66" s="54" t="s">
        <v>1273</v>
      </c>
      <c r="C66" s="55">
        <v>243612.92</v>
      </c>
      <c r="D66" s="54">
        <v>68</v>
      </c>
    </row>
    <row r="67" spans="1:4" x14ac:dyDescent="0.3">
      <c r="A67" s="53" t="s">
        <v>222</v>
      </c>
      <c r="B67" s="54" t="s">
        <v>1273</v>
      </c>
      <c r="C67" s="55">
        <v>277613.78999999998</v>
      </c>
      <c r="D67" s="54">
        <v>69</v>
      </c>
    </row>
    <row r="68" spans="1:4" x14ac:dyDescent="0.3">
      <c r="A68" s="53" t="s">
        <v>223</v>
      </c>
      <c r="B68" s="54" t="s">
        <v>1273</v>
      </c>
      <c r="C68" s="55">
        <v>221023.25</v>
      </c>
      <c r="D68" s="54">
        <v>70</v>
      </c>
    </row>
    <row r="69" spans="1:4" x14ac:dyDescent="0.3">
      <c r="A69" s="53" t="s">
        <v>595</v>
      </c>
      <c r="B69" s="54" t="s">
        <v>1273</v>
      </c>
      <c r="C69" s="55">
        <v>288567.81</v>
      </c>
      <c r="D69" s="54">
        <v>71</v>
      </c>
    </row>
    <row r="70" spans="1:4" x14ac:dyDescent="0.3">
      <c r="A70" s="53" t="s">
        <v>2172</v>
      </c>
      <c r="B70" s="54" t="s">
        <v>1273</v>
      </c>
      <c r="C70" s="55">
        <v>246797.77</v>
      </c>
      <c r="D70" s="54">
        <v>72</v>
      </c>
    </row>
    <row r="71" spans="1:4" x14ac:dyDescent="0.3">
      <c r="A71" s="53" t="s">
        <v>790</v>
      </c>
      <c r="B71" s="54" t="s">
        <v>1268</v>
      </c>
      <c r="C71" s="55">
        <v>1073.97</v>
      </c>
      <c r="D71" s="54">
        <v>73</v>
      </c>
    </row>
    <row r="72" spans="1:4" x14ac:dyDescent="0.3">
      <c r="A72" s="53" t="s">
        <v>791</v>
      </c>
      <c r="B72" s="54" t="s">
        <v>1268</v>
      </c>
      <c r="C72" s="55">
        <v>1073.97</v>
      </c>
      <c r="D72" s="54">
        <v>74</v>
      </c>
    </row>
    <row r="73" spans="1:4" x14ac:dyDescent="0.3">
      <c r="A73" s="53" t="s">
        <v>792</v>
      </c>
      <c r="B73" s="54" t="s">
        <v>1268</v>
      </c>
      <c r="C73" s="55">
        <v>1073.97</v>
      </c>
      <c r="D73" s="54">
        <v>75</v>
      </c>
    </row>
    <row r="74" spans="1:4" x14ac:dyDescent="0.3">
      <c r="A74" s="53" t="s">
        <v>793</v>
      </c>
      <c r="B74" s="54" t="s">
        <v>1273</v>
      </c>
      <c r="C74" s="55">
        <v>266012.12</v>
      </c>
      <c r="D74" s="54">
        <v>76</v>
      </c>
    </row>
    <row r="75" spans="1:4" x14ac:dyDescent="0.3">
      <c r="A75" s="53" t="s">
        <v>846</v>
      </c>
      <c r="B75" s="54" t="s">
        <v>1273</v>
      </c>
      <c r="C75" s="55">
        <v>212961.22</v>
      </c>
      <c r="D75" s="54">
        <v>77</v>
      </c>
    </row>
    <row r="76" spans="1:4" x14ac:dyDescent="0.3">
      <c r="A76" s="53" t="s">
        <v>794</v>
      </c>
      <c r="B76" s="54" t="s">
        <v>1273</v>
      </c>
      <c r="C76" s="55">
        <v>158195.79999999999</v>
      </c>
      <c r="D76" s="54">
        <v>78</v>
      </c>
    </row>
    <row r="77" spans="1:4" x14ac:dyDescent="0.3">
      <c r="A77" s="53" t="s">
        <v>160</v>
      </c>
      <c r="B77" s="54" t="s">
        <v>55</v>
      </c>
      <c r="C77" s="55">
        <v>1417.23</v>
      </c>
      <c r="D77" s="54">
        <v>79</v>
      </c>
    </row>
    <row r="78" spans="1:4" x14ac:dyDescent="0.3">
      <c r="A78" s="53" t="s">
        <v>161</v>
      </c>
      <c r="B78" s="54" t="s">
        <v>55</v>
      </c>
      <c r="C78" s="55">
        <v>1497.82</v>
      </c>
      <c r="D78" s="54">
        <v>80</v>
      </c>
    </row>
    <row r="79" spans="1:4" x14ac:dyDescent="0.3">
      <c r="A79" s="53" t="s">
        <v>162</v>
      </c>
      <c r="B79" s="54" t="s">
        <v>55</v>
      </c>
      <c r="C79" s="55">
        <v>1695.61</v>
      </c>
      <c r="D79" s="54">
        <v>81</v>
      </c>
    </row>
    <row r="80" spans="1:4" x14ac:dyDescent="0.3">
      <c r="A80" s="53" t="s">
        <v>163</v>
      </c>
      <c r="B80" s="54" t="s">
        <v>55</v>
      </c>
      <c r="C80" s="55">
        <v>2554.2800000000002</v>
      </c>
      <c r="D80" s="54">
        <v>82</v>
      </c>
    </row>
    <row r="81" spans="1:6" x14ac:dyDescent="0.3">
      <c r="A81" s="53" t="s">
        <v>164</v>
      </c>
      <c r="B81" s="54" t="s">
        <v>55</v>
      </c>
      <c r="C81" s="55">
        <v>2057.48</v>
      </c>
      <c r="D81" s="54">
        <v>83</v>
      </c>
    </row>
    <row r="82" spans="1:6" x14ac:dyDescent="0.3">
      <c r="A82" s="53" t="s">
        <v>165</v>
      </c>
      <c r="B82" s="54" t="s">
        <v>55</v>
      </c>
      <c r="C82" s="55">
        <v>2232.08</v>
      </c>
      <c r="D82" s="54">
        <v>84</v>
      </c>
    </row>
    <row r="83" spans="1:6" x14ac:dyDescent="0.3">
      <c r="A83" s="53" t="s">
        <v>166</v>
      </c>
      <c r="B83" s="54" t="s">
        <v>55</v>
      </c>
      <c r="C83" s="55">
        <v>1655.97</v>
      </c>
      <c r="D83" s="54">
        <v>85</v>
      </c>
    </row>
    <row r="84" spans="1:6" x14ac:dyDescent="0.3">
      <c r="A84" s="53" t="s">
        <v>167</v>
      </c>
      <c r="B84" s="54" t="s">
        <v>55</v>
      </c>
      <c r="C84" s="55">
        <v>2395.5700000000002</v>
      </c>
      <c r="D84" s="54">
        <v>86</v>
      </c>
    </row>
    <row r="85" spans="1:6" x14ac:dyDescent="0.3">
      <c r="A85" s="53" t="s">
        <v>168</v>
      </c>
      <c r="B85" s="54" t="s">
        <v>55</v>
      </c>
      <c r="C85" s="55">
        <v>2986.48</v>
      </c>
      <c r="D85" s="54">
        <v>87</v>
      </c>
    </row>
    <row r="86" spans="1:6" x14ac:dyDescent="0.3">
      <c r="A86" s="53" t="s">
        <v>169</v>
      </c>
      <c r="B86" s="54" t="s">
        <v>55</v>
      </c>
      <c r="C86" s="55">
        <v>3421.18</v>
      </c>
      <c r="D86" s="54">
        <v>88</v>
      </c>
    </row>
    <row r="87" spans="1:6" x14ac:dyDescent="0.3">
      <c r="A87" s="53" t="s">
        <v>170</v>
      </c>
      <c r="B87" s="54" t="s">
        <v>55</v>
      </c>
      <c r="C87" s="55">
        <v>3267.03</v>
      </c>
      <c r="D87" s="54">
        <v>89</v>
      </c>
    </row>
    <row r="88" spans="1:6" x14ac:dyDescent="0.3">
      <c r="A88" s="53" t="s">
        <v>2322</v>
      </c>
      <c r="B88" s="54" t="s">
        <v>55</v>
      </c>
      <c r="C88" s="55">
        <v>3036.49</v>
      </c>
      <c r="D88" s="54">
        <v>90</v>
      </c>
    </row>
    <row r="89" spans="1:6" x14ac:dyDescent="0.3">
      <c r="A89" s="53" t="s">
        <v>2323</v>
      </c>
      <c r="B89" s="54" t="s">
        <v>55</v>
      </c>
      <c r="C89" s="55">
        <v>3453.31</v>
      </c>
      <c r="D89" s="54">
        <v>91</v>
      </c>
    </row>
    <row r="90" spans="1:6" x14ac:dyDescent="0.3">
      <c r="A90" s="53" t="s">
        <v>173</v>
      </c>
      <c r="B90" s="54" t="s">
        <v>55</v>
      </c>
      <c r="C90" s="55">
        <v>1694.74</v>
      </c>
      <c r="D90" s="54">
        <v>92</v>
      </c>
    </row>
    <row r="91" spans="1:6" x14ac:dyDescent="0.3">
      <c r="A91" s="53" t="s">
        <v>174</v>
      </c>
      <c r="B91" s="54" t="s">
        <v>55</v>
      </c>
      <c r="C91" s="55">
        <v>5216.8900000000003</v>
      </c>
      <c r="D91" s="54">
        <v>93</v>
      </c>
    </row>
    <row r="92" spans="1:6" x14ac:dyDescent="0.3">
      <c r="A92" s="53" t="s">
        <v>264</v>
      </c>
      <c r="B92" s="54" t="s">
        <v>55</v>
      </c>
      <c r="C92" s="55">
        <v>2928.62</v>
      </c>
      <c r="D92" s="54">
        <v>94</v>
      </c>
    </row>
    <row r="93" spans="1:6" x14ac:dyDescent="0.3">
      <c r="A93" s="53" t="s">
        <v>265</v>
      </c>
      <c r="B93" s="54" t="s">
        <v>55</v>
      </c>
      <c r="C93" s="55">
        <v>2805.89</v>
      </c>
      <c r="D93" s="54">
        <v>95</v>
      </c>
    </row>
    <row r="94" spans="1:6" x14ac:dyDescent="0.3">
      <c r="A94" s="53" t="s">
        <v>266</v>
      </c>
      <c r="B94" s="54" t="s">
        <v>55</v>
      </c>
      <c r="C94" s="55">
        <v>2812.45</v>
      </c>
      <c r="D94" s="54">
        <v>96</v>
      </c>
      <c r="F94" s="57"/>
    </row>
    <row r="95" spans="1:6" x14ac:dyDescent="0.3">
      <c r="A95" s="53" t="s">
        <v>267</v>
      </c>
      <c r="B95" s="54" t="s">
        <v>55</v>
      </c>
      <c r="C95" s="55">
        <v>3869.07</v>
      </c>
      <c r="D95" s="54">
        <v>97</v>
      </c>
    </row>
    <row r="96" spans="1:6" x14ac:dyDescent="0.3">
      <c r="A96" s="53" t="s">
        <v>2324</v>
      </c>
      <c r="B96" s="54" t="s">
        <v>55</v>
      </c>
      <c r="C96" s="55">
        <v>9922.77</v>
      </c>
      <c r="D96" s="54">
        <v>98</v>
      </c>
    </row>
    <row r="97" spans="1:4" x14ac:dyDescent="0.3">
      <c r="A97" s="53" t="s">
        <v>2325</v>
      </c>
      <c r="B97" s="54" t="s">
        <v>55</v>
      </c>
      <c r="C97" s="55">
        <v>8352.93</v>
      </c>
      <c r="D97" s="54">
        <v>99</v>
      </c>
    </row>
    <row r="98" spans="1:4" x14ac:dyDescent="0.3">
      <c r="A98" s="53" t="s">
        <v>2326</v>
      </c>
      <c r="B98" s="54" t="s">
        <v>55</v>
      </c>
      <c r="C98" s="55">
        <v>7894.69</v>
      </c>
      <c r="D98" s="54">
        <v>100</v>
      </c>
    </row>
    <row r="99" spans="1:4" x14ac:dyDescent="0.3">
      <c r="A99" s="53" t="s">
        <v>2175</v>
      </c>
      <c r="B99" s="54" t="s">
        <v>55</v>
      </c>
      <c r="C99" s="55">
        <v>10757.99</v>
      </c>
      <c r="D99" s="54">
        <v>101</v>
      </c>
    </row>
    <row r="100" spans="1:4" x14ac:dyDescent="0.3">
      <c r="A100" s="53" t="s">
        <v>269</v>
      </c>
      <c r="B100" s="54" t="s">
        <v>55</v>
      </c>
      <c r="C100" s="55">
        <v>4762.93</v>
      </c>
      <c r="D100" s="54">
        <v>102</v>
      </c>
    </row>
    <row r="101" spans="1:4" x14ac:dyDescent="0.3">
      <c r="A101" s="53" t="s">
        <v>270</v>
      </c>
      <c r="B101" s="54" t="s">
        <v>55</v>
      </c>
      <c r="C101" s="55">
        <v>7371.68</v>
      </c>
      <c r="D101" s="54">
        <v>103</v>
      </c>
    </row>
    <row r="102" spans="1:4" x14ac:dyDescent="0.3">
      <c r="A102" s="53" t="s">
        <v>271</v>
      </c>
      <c r="B102" s="54" t="s">
        <v>55</v>
      </c>
      <c r="C102" s="55">
        <v>13539.83</v>
      </c>
      <c r="D102" s="54">
        <v>104</v>
      </c>
    </row>
    <row r="103" spans="1:4" x14ac:dyDescent="0.3">
      <c r="A103" s="53" t="s">
        <v>272</v>
      </c>
      <c r="B103" s="54" t="s">
        <v>55</v>
      </c>
      <c r="C103" s="55">
        <v>1929.24</v>
      </c>
      <c r="D103" s="54">
        <v>105</v>
      </c>
    </row>
    <row r="104" spans="1:4" x14ac:dyDescent="0.3">
      <c r="A104" s="53" t="s">
        <v>273</v>
      </c>
      <c r="B104" s="54" t="s">
        <v>55</v>
      </c>
      <c r="C104" s="55">
        <v>2396.5700000000002</v>
      </c>
      <c r="D104" s="54">
        <v>106</v>
      </c>
    </row>
    <row r="105" spans="1:4" x14ac:dyDescent="0.3">
      <c r="A105" s="53" t="s">
        <v>274</v>
      </c>
      <c r="B105" s="54" t="s">
        <v>55</v>
      </c>
      <c r="C105" s="55">
        <v>1828.54</v>
      </c>
      <c r="D105" s="54">
        <v>107</v>
      </c>
    </row>
    <row r="106" spans="1:4" x14ac:dyDescent="0.3">
      <c r="A106" s="53" t="s">
        <v>275</v>
      </c>
      <c r="B106" s="54" t="s">
        <v>55</v>
      </c>
      <c r="C106" s="55">
        <v>2067.4499999999998</v>
      </c>
      <c r="D106" s="54">
        <v>108</v>
      </c>
    </row>
    <row r="107" spans="1:4" x14ac:dyDescent="0.3">
      <c r="A107" s="53" t="s">
        <v>276</v>
      </c>
      <c r="B107" s="54" t="s">
        <v>55</v>
      </c>
      <c r="C107" s="55">
        <v>2230.98</v>
      </c>
      <c r="D107" s="54">
        <v>109</v>
      </c>
    </row>
    <row r="108" spans="1:4" x14ac:dyDescent="0.3">
      <c r="A108" s="53" t="s">
        <v>277</v>
      </c>
      <c r="B108" s="54" t="s">
        <v>55</v>
      </c>
      <c r="C108" s="55">
        <v>2125.7800000000002</v>
      </c>
      <c r="D108" s="54">
        <v>110</v>
      </c>
    </row>
    <row r="109" spans="1:4" x14ac:dyDescent="0.3">
      <c r="A109" s="53" t="s">
        <v>278</v>
      </c>
      <c r="B109" s="54" t="s">
        <v>55</v>
      </c>
      <c r="C109" s="55">
        <v>3370.59</v>
      </c>
      <c r="D109" s="54">
        <v>111</v>
      </c>
    </row>
    <row r="110" spans="1:4" x14ac:dyDescent="0.3">
      <c r="A110" s="53" t="s">
        <v>279</v>
      </c>
      <c r="B110" s="54" t="s">
        <v>55</v>
      </c>
      <c r="C110" s="55">
        <v>4118.43</v>
      </c>
      <c r="D110" s="54">
        <v>112</v>
      </c>
    </row>
    <row r="111" spans="1:4" x14ac:dyDescent="0.3">
      <c r="A111" s="53" t="s">
        <v>280</v>
      </c>
      <c r="B111" s="54" t="s">
        <v>55</v>
      </c>
      <c r="C111" s="55">
        <v>2140.4699999999998</v>
      </c>
      <c r="D111" s="54">
        <v>113</v>
      </c>
    </row>
    <row r="112" spans="1:4" x14ac:dyDescent="0.3">
      <c r="A112" s="53" t="s">
        <v>281</v>
      </c>
      <c r="B112" s="54" t="s">
        <v>55</v>
      </c>
      <c r="C112" s="55">
        <v>2325.4299999999998</v>
      </c>
      <c r="D112" s="54">
        <v>114</v>
      </c>
    </row>
    <row r="113" spans="1:4" x14ac:dyDescent="0.3">
      <c r="A113" s="53" t="s">
        <v>282</v>
      </c>
      <c r="B113" s="54" t="s">
        <v>55</v>
      </c>
      <c r="C113" s="55">
        <v>2396.4299999999998</v>
      </c>
      <c r="D113" s="54">
        <v>115</v>
      </c>
    </row>
    <row r="114" spans="1:4" x14ac:dyDescent="0.3">
      <c r="A114" s="53" t="s">
        <v>283</v>
      </c>
      <c r="B114" s="54" t="s">
        <v>55</v>
      </c>
      <c r="C114" s="55">
        <v>7502.51</v>
      </c>
      <c r="D114" s="54">
        <v>116</v>
      </c>
    </row>
    <row r="115" spans="1:4" x14ac:dyDescent="0.3">
      <c r="A115" s="53" t="s">
        <v>2176</v>
      </c>
      <c r="B115" s="54" t="s">
        <v>55</v>
      </c>
      <c r="C115" s="55">
        <v>80515.59</v>
      </c>
      <c r="D115" s="54">
        <v>117</v>
      </c>
    </row>
    <row r="116" spans="1:4" x14ac:dyDescent="0.3">
      <c r="A116" s="53" t="s">
        <v>628</v>
      </c>
      <c r="B116" s="54" t="s">
        <v>55</v>
      </c>
      <c r="C116" s="55">
        <v>1644.95</v>
      </c>
      <c r="D116" s="54">
        <v>118</v>
      </c>
    </row>
    <row r="117" spans="1:4" x14ac:dyDescent="0.3">
      <c r="A117" s="53" t="s">
        <v>629</v>
      </c>
      <c r="B117" s="54" t="s">
        <v>55</v>
      </c>
      <c r="C117" s="55">
        <v>1803.75</v>
      </c>
      <c r="D117" s="54">
        <v>119</v>
      </c>
    </row>
    <row r="118" spans="1:4" x14ac:dyDescent="0.3">
      <c r="A118" s="53" t="s">
        <v>630</v>
      </c>
      <c r="B118" s="54" t="s">
        <v>55</v>
      </c>
      <c r="C118" s="55">
        <v>1817.04</v>
      </c>
      <c r="D118" s="54">
        <v>120</v>
      </c>
    </row>
    <row r="119" spans="1:4" x14ac:dyDescent="0.3">
      <c r="A119" s="53" t="s">
        <v>631</v>
      </c>
      <c r="B119" s="54" t="s">
        <v>55</v>
      </c>
      <c r="C119" s="55">
        <v>2282.6</v>
      </c>
      <c r="D119" s="54">
        <v>121</v>
      </c>
    </row>
    <row r="120" spans="1:4" x14ac:dyDescent="0.3">
      <c r="A120" s="53" t="s">
        <v>632</v>
      </c>
      <c r="B120" s="54" t="s">
        <v>55</v>
      </c>
      <c r="C120" s="55">
        <v>1816.41</v>
      </c>
      <c r="D120" s="54">
        <v>122</v>
      </c>
    </row>
    <row r="121" spans="1:4" x14ac:dyDescent="0.3">
      <c r="A121" s="53" t="s">
        <v>633</v>
      </c>
      <c r="B121" s="54" t="s">
        <v>55</v>
      </c>
      <c r="C121" s="55">
        <v>2748.12</v>
      </c>
      <c r="D121" s="54">
        <v>123</v>
      </c>
    </row>
    <row r="122" spans="1:4" x14ac:dyDescent="0.3">
      <c r="A122" s="53" t="s">
        <v>634</v>
      </c>
      <c r="B122" s="54" t="s">
        <v>55</v>
      </c>
      <c r="C122" s="55">
        <v>6756.38</v>
      </c>
      <c r="D122" s="54">
        <v>124</v>
      </c>
    </row>
    <row r="123" spans="1:4" x14ac:dyDescent="0.3">
      <c r="A123" s="53" t="s">
        <v>635</v>
      </c>
      <c r="B123" s="54" t="s">
        <v>55</v>
      </c>
      <c r="C123" s="55">
        <v>5210.71</v>
      </c>
      <c r="D123" s="54">
        <v>125</v>
      </c>
    </row>
    <row r="124" spans="1:4" x14ac:dyDescent="0.3">
      <c r="A124" s="53" t="s">
        <v>636</v>
      </c>
      <c r="B124" s="54" t="s">
        <v>55</v>
      </c>
      <c r="C124" s="55">
        <v>4054.16</v>
      </c>
      <c r="D124" s="54">
        <v>126</v>
      </c>
    </row>
    <row r="125" spans="1:4" x14ac:dyDescent="0.3">
      <c r="A125" s="53" t="s">
        <v>637</v>
      </c>
      <c r="B125" s="54" t="s">
        <v>55</v>
      </c>
      <c r="C125" s="55">
        <v>1591.96</v>
      </c>
      <c r="D125" s="54">
        <v>127</v>
      </c>
    </row>
    <row r="126" spans="1:4" x14ac:dyDescent="0.3">
      <c r="A126" s="53" t="s">
        <v>638</v>
      </c>
      <c r="B126" s="54" t="s">
        <v>55</v>
      </c>
      <c r="C126" s="55">
        <v>1301.4000000000001</v>
      </c>
      <c r="D126" s="54">
        <v>128</v>
      </c>
    </row>
    <row r="127" spans="1:4" x14ac:dyDescent="0.3">
      <c r="A127" s="53" t="s">
        <v>735</v>
      </c>
      <c r="B127" s="54" t="s">
        <v>1270</v>
      </c>
      <c r="C127" s="55">
        <v>89229.7</v>
      </c>
      <c r="D127" s="54">
        <v>129</v>
      </c>
    </row>
    <row r="128" spans="1:4" x14ac:dyDescent="0.3">
      <c r="A128" s="53" t="s">
        <v>736</v>
      </c>
      <c r="B128" s="54" t="s">
        <v>1270</v>
      </c>
      <c r="C128" s="55">
        <v>134084.09</v>
      </c>
      <c r="D128" s="54">
        <v>130</v>
      </c>
    </row>
    <row r="129" spans="1:4" x14ac:dyDescent="0.3">
      <c r="A129" s="53" t="s">
        <v>737</v>
      </c>
      <c r="B129" s="54" t="s">
        <v>1270</v>
      </c>
      <c r="C129" s="55">
        <v>44096.57</v>
      </c>
      <c r="D129" s="54">
        <v>131</v>
      </c>
    </row>
    <row r="130" spans="1:4" x14ac:dyDescent="0.3">
      <c r="A130" s="53" t="s">
        <v>738</v>
      </c>
      <c r="B130" s="54" t="s">
        <v>1270</v>
      </c>
      <c r="C130" s="55">
        <v>59604.22</v>
      </c>
      <c r="D130" s="54">
        <v>132</v>
      </c>
    </row>
    <row r="131" spans="1:4" x14ac:dyDescent="0.3">
      <c r="A131" s="53" t="s">
        <v>831</v>
      </c>
      <c r="B131" s="54" t="s">
        <v>1272</v>
      </c>
      <c r="C131" s="55">
        <v>564320.93999999994</v>
      </c>
      <c r="D131" s="54">
        <v>133</v>
      </c>
    </row>
    <row r="132" spans="1:4" x14ac:dyDescent="0.3">
      <c r="A132" s="53" t="s">
        <v>832</v>
      </c>
      <c r="B132" s="54" t="s">
        <v>1272</v>
      </c>
      <c r="C132" s="55">
        <v>441713.5</v>
      </c>
      <c r="D132" s="54">
        <v>134</v>
      </c>
    </row>
    <row r="133" spans="1:4" x14ac:dyDescent="0.3">
      <c r="A133" s="53" t="s">
        <v>396</v>
      </c>
      <c r="B133" s="54" t="s">
        <v>55</v>
      </c>
      <c r="C133" s="55">
        <v>331800.05</v>
      </c>
      <c r="D133" s="54">
        <v>135</v>
      </c>
    </row>
    <row r="134" spans="1:4" x14ac:dyDescent="0.3">
      <c r="A134" s="53" t="s">
        <v>539</v>
      </c>
      <c r="B134" s="54" t="s">
        <v>1272</v>
      </c>
      <c r="C134" s="55">
        <v>455219.82</v>
      </c>
      <c r="D134" s="54">
        <v>136</v>
      </c>
    </row>
    <row r="135" spans="1:4" x14ac:dyDescent="0.3">
      <c r="A135" s="53" t="s">
        <v>2177</v>
      </c>
      <c r="B135" s="54" t="s">
        <v>1272</v>
      </c>
      <c r="C135" s="55">
        <v>879066.37</v>
      </c>
      <c r="D135" s="54">
        <v>137</v>
      </c>
    </row>
    <row r="136" spans="1:4" x14ac:dyDescent="0.3">
      <c r="A136" s="53" t="s">
        <v>739</v>
      </c>
      <c r="B136" s="54" t="s">
        <v>55</v>
      </c>
      <c r="C136" s="55">
        <v>254910.11</v>
      </c>
      <c r="D136" s="54">
        <v>138</v>
      </c>
    </row>
    <row r="137" spans="1:4" ht="26.4" x14ac:dyDescent="0.3">
      <c r="A137" s="53" t="s">
        <v>806</v>
      </c>
      <c r="B137" s="54" t="s">
        <v>55</v>
      </c>
      <c r="C137" s="55">
        <v>771527.21</v>
      </c>
      <c r="D137" s="54">
        <v>139</v>
      </c>
    </row>
    <row r="138" spans="1:4" x14ac:dyDescent="0.3">
      <c r="A138" s="53" t="s">
        <v>827</v>
      </c>
      <c r="B138" s="54" t="s">
        <v>1272</v>
      </c>
      <c r="C138" s="55">
        <v>474132.55</v>
      </c>
      <c r="D138" s="54">
        <v>140</v>
      </c>
    </row>
    <row r="139" spans="1:4" x14ac:dyDescent="0.3">
      <c r="A139" s="53" t="s">
        <v>830</v>
      </c>
      <c r="B139" s="54" t="s">
        <v>1272</v>
      </c>
      <c r="C139" s="55">
        <v>537061.74</v>
      </c>
      <c r="D139" s="54">
        <v>141</v>
      </c>
    </row>
    <row r="140" spans="1:4" ht="26.4" x14ac:dyDescent="0.3">
      <c r="A140" s="53" t="s">
        <v>2178</v>
      </c>
      <c r="B140" s="54" t="s">
        <v>1272</v>
      </c>
      <c r="C140" s="55">
        <v>775908.94</v>
      </c>
      <c r="D140" s="54">
        <v>142</v>
      </c>
    </row>
    <row r="141" spans="1:4" x14ac:dyDescent="0.3">
      <c r="A141" s="53" t="s">
        <v>1231</v>
      </c>
      <c r="B141" s="54" t="s">
        <v>1272</v>
      </c>
      <c r="C141" s="55">
        <v>652411.21</v>
      </c>
      <c r="D141" s="54">
        <v>143</v>
      </c>
    </row>
    <row r="142" spans="1:4" x14ac:dyDescent="0.3">
      <c r="A142" s="53" t="s">
        <v>1232</v>
      </c>
      <c r="B142" s="54" t="s">
        <v>1272</v>
      </c>
      <c r="C142" s="55">
        <v>698697.65</v>
      </c>
      <c r="D142" s="54">
        <v>144</v>
      </c>
    </row>
    <row r="143" spans="1:4" x14ac:dyDescent="0.3">
      <c r="A143" s="53" t="s">
        <v>1233</v>
      </c>
      <c r="B143" s="54" t="s">
        <v>1272</v>
      </c>
      <c r="C143" s="55">
        <v>716850.42</v>
      </c>
      <c r="D143" s="54">
        <v>145</v>
      </c>
    </row>
    <row r="144" spans="1:4" x14ac:dyDescent="0.3">
      <c r="A144" s="53" t="s">
        <v>1234</v>
      </c>
      <c r="B144" s="54" t="s">
        <v>1272</v>
      </c>
      <c r="C144" s="55">
        <v>763237.28</v>
      </c>
      <c r="D144" s="54">
        <v>146</v>
      </c>
    </row>
    <row r="145" spans="1:4" x14ac:dyDescent="0.3">
      <c r="A145" s="53" t="s">
        <v>1235</v>
      </c>
      <c r="B145" s="54" t="s">
        <v>1272</v>
      </c>
      <c r="C145" s="55">
        <v>429314.14</v>
      </c>
      <c r="D145" s="54">
        <v>147</v>
      </c>
    </row>
    <row r="146" spans="1:4" x14ac:dyDescent="0.3">
      <c r="A146" s="53" t="s">
        <v>433</v>
      </c>
      <c r="B146" s="54" t="s">
        <v>55</v>
      </c>
      <c r="C146" s="55">
        <v>170072.94</v>
      </c>
      <c r="D146" s="54">
        <v>148</v>
      </c>
    </row>
    <row r="147" spans="1:4" ht="26.4" x14ac:dyDescent="0.3">
      <c r="A147" s="53" t="s">
        <v>2179</v>
      </c>
      <c r="B147" s="54" t="s">
        <v>55</v>
      </c>
      <c r="C147" s="55">
        <v>75216.05</v>
      </c>
      <c r="D147" s="54">
        <v>149</v>
      </c>
    </row>
    <row r="148" spans="1:4" ht="26.4" x14ac:dyDescent="0.3">
      <c r="A148" s="53" t="s">
        <v>2180</v>
      </c>
      <c r="B148" s="54" t="s">
        <v>55</v>
      </c>
      <c r="C148" s="55">
        <v>90702.13</v>
      </c>
      <c r="D148" s="54">
        <v>150</v>
      </c>
    </row>
    <row r="149" spans="1:4" ht="26.4" x14ac:dyDescent="0.3">
      <c r="A149" s="53" t="s">
        <v>2181</v>
      </c>
      <c r="B149" s="54" t="s">
        <v>55</v>
      </c>
      <c r="C149" s="55">
        <v>169477.97</v>
      </c>
      <c r="D149" s="54">
        <v>151</v>
      </c>
    </row>
    <row r="150" spans="1:4" x14ac:dyDescent="0.3">
      <c r="A150" s="53" t="s">
        <v>122</v>
      </c>
      <c r="B150" s="54" t="s">
        <v>55</v>
      </c>
      <c r="C150" s="55">
        <v>12614.15</v>
      </c>
      <c r="D150" s="54">
        <v>152</v>
      </c>
    </row>
    <row r="151" spans="1:4" x14ac:dyDescent="0.3">
      <c r="A151" s="53" t="s">
        <v>123</v>
      </c>
      <c r="B151" s="54" t="s">
        <v>55</v>
      </c>
      <c r="C151" s="55">
        <v>21266.49</v>
      </c>
      <c r="D151" s="54">
        <v>153</v>
      </c>
    </row>
    <row r="152" spans="1:4" x14ac:dyDescent="0.3">
      <c r="A152" s="53" t="s">
        <v>125</v>
      </c>
      <c r="B152" s="54" t="s">
        <v>55</v>
      </c>
      <c r="C152" s="55">
        <v>17960.52</v>
      </c>
      <c r="D152" s="54">
        <v>154</v>
      </c>
    </row>
    <row r="153" spans="1:4" x14ac:dyDescent="0.3">
      <c r="A153" s="53" t="s">
        <v>198</v>
      </c>
      <c r="B153" s="54" t="s">
        <v>55</v>
      </c>
      <c r="C153" s="55">
        <v>514.51</v>
      </c>
      <c r="D153" s="54">
        <v>155</v>
      </c>
    </row>
    <row r="154" spans="1:4" x14ac:dyDescent="0.3">
      <c r="A154" s="53" t="s">
        <v>409</v>
      </c>
      <c r="B154" s="54" t="s">
        <v>55</v>
      </c>
      <c r="C154" s="55">
        <v>146508.49</v>
      </c>
      <c r="D154" s="54">
        <v>156</v>
      </c>
    </row>
    <row r="155" spans="1:4" x14ac:dyDescent="0.3">
      <c r="A155" s="53" t="s">
        <v>410</v>
      </c>
      <c r="B155" s="54" t="s">
        <v>55</v>
      </c>
      <c r="C155" s="55">
        <v>87416.39</v>
      </c>
      <c r="D155" s="54">
        <v>157</v>
      </c>
    </row>
    <row r="156" spans="1:4" x14ac:dyDescent="0.3">
      <c r="A156" s="53" t="s">
        <v>411</v>
      </c>
      <c r="B156" s="54" t="s">
        <v>55</v>
      </c>
      <c r="C156" s="55">
        <v>110898.13</v>
      </c>
      <c r="D156" s="54">
        <v>158</v>
      </c>
    </row>
    <row r="157" spans="1:4" x14ac:dyDescent="0.3">
      <c r="A157" s="53" t="s">
        <v>531</v>
      </c>
      <c r="B157" s="54" t="s">
        <v>55</v>
      </c>
      <c r="C157" s="55">
        <v>15908.01</v>
      </c>
      <c r="D157" s="54">
        <v>159</v>
      </c>
    </row>
    <row r="158" spans="1:4" x14ac:dyDescent="0.3">
      <c r="A158" s="53" t="s">
        <v>532</v>
      </c>
      <c r="B158" s="54" t="s">
        <v>55</v>
      </c>
      <c r="C158" s="55">
        <v>17961.13</v>
      </c>
      <c r="D158" s="54">
        <v>160</v>
      </c>
    </row>
    <row r="159" spans="1:4" x14ac:dyDescent="0.3">
      <c r="A159" s="53" t="s">
        <v>577</v>
      </c>
      <c r="B159" s="54" t="s">
        <v>55</v>
      </c>
      <c r="C159" s="55">
        <v>9358.52</v>
      </c>
      <c r="D159" s="54">
        <v>161</v>
      </c>
    </row>
    <row r="160" spans="1:4" x14ac:dyDescent="0.3">
      <c r="A160" s="53" t="s">
        <v>578</v>
      </c>
      <c r="B160" s="54" t="s">
        <v>55</v>
      </c>
      <c r="C160" s="55">
        <v>1203.5</v>
      </c>
      <c r="D160" s="54">
        <v>162</v>
      </c>
    </row>
    <row r="161" spans="1:4" x14ac:dyDescent="0.3">
      <c r="A161" s="53" t="s">
        <v>579</v>
      </c>
      <c r="B161" s="54" t="s">
        <v>55</v>
      </c>
      <c r="C161" s="55">
        <v>1353.65</v>
      </c>
      <c r="D161" s="54">
        <v>163</v>
      </c>
    </row>
    <row r="162" spans="1:4" x14ac:dyDescent="0.3">
      <c r="A162" s="53" t="s">
        <v>606</v>
      </c>
      <c r="B162" s="54" t="s">
        <v>55</v>
      </c>
      <c r="C162" s="55">
        <v>7128.25</v>
      </c>
      <c r="D162" s="54">
        <v>164</v>
      </c>
    </row>
    <row r="163" spans="1:4" x14ac:dyDescent="0.3">
      <c r="A163" s="53" t="s">
        <v>787</v>
      </c>
      <c r="B163" s="54" t="s">
        <v>55</v>
      </c>
      <c r="C163" s="55">
        <v>6072.45</v>
      </c>
      <c r="D163" s="54">
        <v>165</v>
      </c>
    </row>
    <row r="164" spans="1:4" x14ac:dyDescent="0.3">
      <c r="A164" s="53" t="s">
        <v>788</v>
      </c>
      <c r="B164" s="54" t="s">
        <v>55</v>
      </c>
      <c r="C164" s="55">
        <v>4854.32</v>
      </c>
      <c r="D164" s="54">
        <v>166</v>
      </c>
    </row>
    <row r="165" spans="1:4" x14ac:dyDescent="0.3">
      <c r="A165" s="53" t="s">
        <v>789</v>
      </c>
      <c r="B165" s="54" t="s">
        <v>55</v>
      </c>
      <c r="C165" s="55">
        <v>4440.0200000000004</v>
      </c>
      <c r="D165" s="54">
        <v>167</v>
      </c>
    </row>
    <row r="166" spans="1:4" x14ac:dyDescent="0.3">
      <c r="A166" s="53" t="s">
        <v>865</v>
      </c>
      <c r="B166" s="54" t="s">
        <v>55</v>
      </c>
      <c r="C166" s="55">
        <v>30071.03</v>
      </c>
      <c r="D166" s="54">
        <v>168</v>
      </c>
    </row>
    <row r="167" spans="1:4" x14ac:dyDescent="0.3">
      <c r="A167" s="53" t="s">
        <v>893</v>
      </c>
      <c r="B167" s="54" t="s">
        <v>55</v>
      </c>
      <c r="C167" s="55">
        <v>280820.55</v>
      </c>
      <c r="D167" s="54">
        <v>169</v>
      </c>
    </row>
    <row r="168" spans="1:4" x14ac:dyDescent="0.3">
      <c r="A168" s="53" t="s">
        <v>896</v>
      </c>
      <c r="B168" s="54" t="s">
        <v>55</v>
      </c>
      <c r="C168" s="55">
        <v>228828.62</v>
      </c>
      <c r="D168" s="54">
        <v>170</v>
      </c>
    </row>
    <row r="169" spans="1:4" x14ac:dyDescent="0.3">
      <c r="A169" s="53" t="s">
        <v>897</v>
      </c>
      <c r="B169" s="54" t="s">
        <v>55</v>
      </c>
      <c r="C169" s="55">
        <v>16127.55</v>
      </c>
      <c r="D169" s="54">
        <v>171</v>
      </c>
    </row>
    <row r="170" spans="1:4" x14ac:dyDescent="0.3">
      <c r="A170" s="53" t="s">
        <v>898</v>
      </c>
      <c r="B170" s="54" t="s">
        <v>55</v>
      </c>
      <c r="C170" s="55">
        <v>14817.88</v>
      </c>
      <c r="D170" s="54">
        <v>172</v>
      </c>
    </row>
    <row r="171" spans="1:4" x14ac:dyDescent="0.3">
      <c r="A171" s="53" t="s">
        <v>899</v>
      </c>
      <c r="B171" s="54" t="s">
        <v>55</v>
      </c>
      <c r="C171" s="55">
        <v>5179.74</v>
      </c>
      <c r="D171" s="54">
        <v>173</v>
      </c>
    </row>
    <row r="172" spans="1:4" x14ac:dyDescent="0.3">
      <c r="A172" s="53" t="s">
        <v>900</v>
      </c>
      <c r="B172" s="54" t="s">
        <v>55</v>
      </c>
      <c r="C172" s="55">
        <v>6122.06</v>
      </c>
      <c r="D172" s="54">
        <v>174</v>
      </c>
    </row>
    <row r="173" spans="1:4" x14ac:dyDescent="0.3">
      <c r="A173" s="53" t="s">
        <v>901</v>
      </c>
      <c r="B173" s="54" t="s">
        <v>55</v>
      </c>
      <c r="C173" s="55">
        <v>4656.1899999999996</v>
      </c>
      <c r="D173" s="54">
        <v>175</v>
      </c>
    </row>
    <row r="174" spans="1:4" x14ac:dyDescent="0.3">
      <c r="A174" s="53" t="s">
        <v>958</v>
      </c>
      <c r="B174" s="54" t="s">
        <v>55</v>
      </c>
      <c r="C174" s="55">
        <v>15652.08</v>
      </c>
      <c r="D174" s="54">
        <v>176</v>
      </c>
    </row>
    <row r="175" spans="1:4" x14ac:dyDescent="0.3">
      <c r="A175" s="53" t="s">
        <v>959</v>
      </c>
      <c r="B175" s="54" t="s">
        <v>55</v>
      </c>
      <c r="C175" s="55">
        <v>15393.51</v>
      </c>
      <c r="D175" s="54">
        <v>177</v>
      </c>
    </row>
    <row r="176" spans="1:4" x14ac:dyDescent="0.3">
      <c r="A176" s="53" t="s">
        <v>960</v>
      </c>
      <c r="B176" s="54" t="s">
        <v>55</v>
      </c>
      <c r="C176" s="55">
        <v>12060.98</v>
      </c>
      <c r="D176" s="54">
        <v>178</v>
      </c>
    </row>
    <row r="177" spans="1:4" x14ac:dyDescent="0.3">
      <c r="A177" s="53" t="s">
        <v>964</v>
      </c>
      <c r="B177" s="54" t="s">
        <v>55</v>
      </c>
      <c r="C177" s="55">
        <v>10436.93</v>
      </c>
      <c r="D177" s="54">
        <v>179</v>
      </c>
    </row>
    <row r="178" spans="1:4" x14ac:dyDescent="0.3">
      <c r="A178" s="53" t="s">
        <v>965</v>
      </c>
      <c r="B178" s="54" t="s">
        <v>55</v>
      </c>
      <c r="C178" s="55">
        <v>10398.629999999999</v>
      </c>
      <c r="D178" s="54">
        <v>180</v>
      </c>
    </row>
    <row r="179" spans="1:4" x14ac:dyDescent="0.3">
      <c r="A179" s="53" t="s">
        <v>966</v>
      </c>
      <c r="B179" s="54" t="s">
        <v>55</v>
      </c>
      <c r="C179" s="55">
        <v>9927.73</v>
      </c>
      <c r="D179" s="54">
        <v>181</v>
      </c>
    </row>
    <row r="180" spans="1:4" x14ac:dyDescent="0.3">
      <c r="A180" s="53" t="s">
        <v>1027</v>
      </c>
      <c r="B180" s="54" t="s">
        <v>55</v>
      </c>
      <c r="C180" s="55">
        <v>6334.27</v>
      </c>
      <c r="D180" s="54">
        <v>182</v>
      </c>
    </row>
    <row r="181" spans="1:4" x14ac:dyDescent="0.3">
      <c r="A181" s="53" t="s">
        <v>2327</v>
      </c>
      <c r="B181" s="54" t="s">
        <v>55</v>
      </c>
      <c r="C181" s="55">
        <v>70561.2</v>
      </c>
      <c r="D181" s="54">
        <v>183</v>
      </c>
    </row>
    <row r="182" spans="1:4" x14ac:dyDescent="0.3">
      <c r="A182" s="53" t="s">
        <v>2328</v>
      </c>
      <c r="B182" s="54" t="s">
        <v>55</v>
      </c>
      <c r="C182" s="55">
        <v>81092.490000000005</v>
      </c>
      <c r="D182" s="54">
        <v>184</v>
      </c>
    </row>
    <row r="183" spans="1:4" x14ac:dyDescent="0.3">
      <c r="A183" s="53" t="s">
        <v>1034</v>
      </c>
      <c r="B183" s="54" t="s">
        <v>55</v>
      </c>
      <c r="C183" s="55">
        <v>67599.12</v>
      </c>
      <c r="D183" s="54">
        <v>185</v>
      </c>
    </row>
    <row r="184" spans="1:4" x14ac:dyDescent="0.3">
      <c r="A184" s="53" t="s">
        <v>1035</v>
      </c>
      <c r="B184" s="54" t="s">
        <v>55</v>
      </c>
      <c r="C184" s="55">
        <v>63289.42</v>
      </c>
      <c r="D184" s="54">
        <v>186</v>
      </c>
    </row>
    <row r="185" spans="1:4" x14ac:dyDescent="0.3">
      <c r="A185" s="53" t="s">
        <v>1036</v>
      </c>
      <c r="B185" s="54" t="s">
        <v>55</v>
      </c>
      <c r="C185" s="55">
        <v>79161.11</v>
      </c>
      <c r="D185" s="54">
        <v>187</v>
      </c>
    </row>
    <row r="186" spans="1:4" x14ac:dyDescent="0.3">
      <c r="A186" s="53" t="s">
        <v>1037</v>
      </c>
      <c r="B186" s="54" t="s">
        <v>55</v>
      </c>
      <c r="C186" s="55">
        <v>94740.46</v>
      </c>
      <c r="D186" s="54">
        <v>188</v>
      </c>
    </row>
    <row r="187" spans="1:4" x14ac:dyDescent="0.3">
      <c r="A187" s="53" t="s">
        <v>1038</v>
      </c>
      <c r="B187" s="54" t="s">
        <v>55</v>
      </c>
      <c r="C187" s="55">
        <v>80657.38</v>
      </c>
      <c r="D187" s="54">
        <v>189</v>
      </c>
    </row>
    <row r="188" spans="1:4" x14ac:dyDescent="0.3">
      <c r="A188" s="53" t="s">
        <v>1039</v>
      </c>
      <c r="B188" s="54" t="s">
        <v>55</v>
      </c>
      <c r="C188" s="55">
        <v>164986.51999999999</v>
      </c>
      <c r="D188" s="54">
        <v>190</v>
      </c>
    </row>
    <row r="189" spans="1:4" x14ac:dyDescent="0.3">
      <c r="A189" s="53" t="s">
        <v>1040</v>
      </c>
      <c r="B189" s="54" t="s">
        <v>55</v>
      </c>
      <c r="C189" s="55">
        <v>206634.55</v>
      </c>
      <c r="D189" s="54">
        <v>191</v>
      </c>
    </row>
    <row r="190" spans="1:4" x14ac:dyDescent="0.3">
      <c r="A190" s="53" t="s">
        <v>1041</v>
      </c>
      <c r="B190" s="54" t="s">
        <v>55</v>
      </c>
      <c r="C190" s="55">
        <v>68393.759999999995</v>
      </c>
      <c r="D190" s="54">
        <v>192</v>
      </c>
    </row>
    <row r="191" spans="1:4" x14ac:dyDescent="0.3">
      <c r="A191" s="53" t="s">
        <v>1042</v>
      </c>
      <c r="B191" s="54" t="s">
        <v>55</v>
      </c>
      <c r="C191" s="55">
        <v>73061.570000000007</v>
      </c>
      <c r="D191" s="54">
        <v>193</v>
      </c>
    </row>
    <row r="192" spans="1:4" x14ac:dyDescent="0.3">
      <c r="A192" s="53" t="s">
        <v>1043</v>
      </c>
      <c r="B192" s="54" t="s">
        <v>55</v>
      </c>
      <c r="C192" s="55">
        <v>100175.19</v>
      </c>
      <c r="D192" s="54">
        <v>194</v>
      </c>
    </row>
    <row r="193" spans="1:4" x14ac:dyDescent="0.3">
      <c r="A193" s="53" t="s">
        <v>1044</v>
      </c>
      <c r="B193" s="54" t="s">
        <v>55</v>
      </c>
      <c r="C193" s="55">
        <v>132210.01</v>
      </c>
      <c r="D193" s="54">
        <v>195</v>
      </c>
    </row>
    <row r="194" spans="1:4" x14ac:dyDescent="0.3">
      <c r="A194" s="53" t="s">
        <v>2329</v>
      </c>
      <c r="B194" s="54" t="s">
        <v>55</v>
      </c>
      <c r="C194" s="55">
        <v>37515.760000000002</v>
      </c>
      <c r="D194" s="54">
        <v>196</v>
      </c>
    </row>
    <row r="195" spans="1:4" x14ac:dyDescent="0.3">
      <c r="A195" s="53" t="s">
        <v>2182</v>
      </c>
      <c r="B195" s="54" t="s">
        <v>55</v>
      </c>
      <c r="C195" s="55">
        <v>49931.040000000001</v>
      </c>
      <c r="D195" s="54">
        <v>197</v>
      </c>
    </row>
    <row r="196" spans="1:4" x14ac:dyDescent="0.3">
      <c r="A196" s="53" t="s">
        <v>1046</v>
      </c>
      <c r="B196" s="54" t="s">
        <v>55</v>
      </c>
      <c r="C196" s="55">
        <v>61894.14</v>
      </c>
      <c r="D196" s="54">
        <v>198</v>
      </c>
    </row>
    <row r="197" spans="1:4" x14ac:dyDescent="0.3">
      <c r="A197" s="53" t="s">
        <v>2183</v>
      </c>
      <c r="B197" s="54" t="s">
        <v>55</v>
      </c>
      <c r="C197" s="55">
        <v>109179.61</v>
      </c>
      <c r="D197" s="54">
        <v>200</v>
      </c>
    </row>
    <row r="198" spans="1:4" x14ac:dyDescent="0.3">
      <c r="A198" s="53" t="s">
        <v>1048</v>
      </c>
      <c r="B198" s="54" t="s">
        <v>55</v>
      </c>
      <c r="C198" s="55">
        <v>420283.05</v>
      </c>
      <c r="D198" s="54">
        <v>201</v>
      </c>
    </row>
    <row r="199" spans="1:4" x14ac:dyDescent="0.3">
      <c r="A199" s="53" t="s">
        <v>1051</v>
      </c>
      <c r="B199" s="54" t="s">
        <v>1269</v>
      </c>
      <c r="C199" s="55">
        <v>59907.92</v>
      </c>
      <c r="D199" s="54">
        <v>202</v>
      </c>
    </row>
    <row r="200" spans="1:4" x14ac:dyDescent="0.3">
      <c r="A200" s="53" t="s">
        <v>1052</v>
      </c>
      <c r="B200" s="54" t="s">
        <v>55</v>
      </c>
      <c r="C200" s="55">
        <v>109578.68</v>
      </c>
      <c r="D200" s="54">
        <v>203</v>
      </c>
    </row>
    <row r="201" spans="1:4" x14ac:dyDescent="0.3">
      <c r="A201" s="53" t="s">
        <v>1053</v>
      </c>
      <c r="B201" s="54" t="s">
        <v>55</v>
      </c>
      <c r="C201" s="55">
        <v>198817.76</v>
      </c>
      <c r="D201" s="54">
        <v>204</v>
      </c>
    </row>
    <row r="202" spans="1:4" x14ac:dyDescent="0.3">
      <c r="A202" s="53" t="s">
        <v>1160</v>
      </c>
      <c r="B202" s="54" t="s">
        <v>55</v>
      </c>
      <c r="C202" s="55">
        <v>42938.17</v>
      </c>
      <c r="D202" s="54">
        <v>205</v>
      </c>
    </row>
    <row r="203" spans="1:4" x14ac:dyDescent="0.3">
      <c r="A203" s="53" t="s">
        <v>1161</v>
      </c>
      <c r="B203" s="54" t="s">
        <v>55</v>
      </c>
      <c r="C203" s="55">
        <v>16299.03</v>
      </c>
      <c r="D203" s="54">
        <v>206</v>
      </c>
    </row>
    <row r="204" spans="1:4" x14ac:dyDescent="0.3">
      <c r="A204" s="53" t="s">
        <v>1162</v>
      </c>
      <c r="B204" s="54" t="s">
        <v>55</v>
      </c>
      <c r="C204" s="55">
        <v>15676.93</v>
      </c>
      <c r="D204" s="54">
        <v>207</v>
      </c>
    </row>
    <row r="205" spans="1:4" x14ac:dyDescent="0.3">
      <c r="A205" s="53" t="s">
        <v>1163</v>
      </c>
      <c r="B205" s="54" t="s">
        <v>55</v>
      </c>
      <c r="C205" s="55">
        <v>50896.31</v>
      </c>
      <c r="D205" s="54">
        <v>208</v>
      </c>
    </row>
    <row r="206" spans="1:4" x14ac:dyDescent="0.3">
      <c r="A206" s="53" t="s">
        <v>1164</v>
      </c>
      <c r="B206" s="54" t="s">
        <v>55</v>
      </c>
      <c r="C206" s="55">
        <v>51138.53</v>
      </c>
      <c r="D206" s="54">
        <v>209</v>
      </c>
    </row>
    <row r="207" spans="1:4" x14ac:dyDescent="0.3">
      <c r="A207" s="53" t="s">
        <v>1165</v>
      </c>
      <c r="B207" s="54" t="s">
        <v>55</v>
      </c>
      <c r="C207" s="55">
        <v>20568.79</v>
      </c>
      <c r="D207" s="54">
        <v>210</v>
      </c>
    </row>
    <row r="208" spans="1:4" x14ac:dyDescent="0.3">
      <c r="A208" s="53" t="s">
        <v>1169</v>
      </c>
      <c r="B208" s="54" t="s">
        <v>55</v>
      </c>
      <c r="C208" s="55">
        <v>58252.09</v>
      </c>
      <c r="D208" s="54">
        <v>211</v>
      </c>
    </row>
    <row r="209" spans="1:4" x14ac:dyDescent="0.3">
      <c r="A209" s="53" t="s">
        <v>1170</v>
      </c>
      <c r="B209" s="54" t="s">
        <v>55</v>
      </c>
      <c r="C209" s="55">
        <v>20263.77</v>
      </c>
      <c r="D209" s="54">
        <v>212</v>
      </c>
    </row>
    <row r="210" spans="1:4" x14ac:dyDescent="0.3">
      <c r="A210" s="53" t="s">
        <v>1171</v>
      </c>
      <c r="B210" s="54" t="s">
        <v>55</v>
      </c>
      <c r="C210" s="55">
        <v>20660.54</v>
      </c>
      <c r="D210" s="54">
        <v>213</v>
      </c>
    </row>
    <row r="211" spans="1:4" x14ac:dyDescent="0.3">
      <c r="A211" s="53" t="s">
        <v>1172</v>
      </c>
      <c r="B211" s="54" t="s">
        <v>55</v>
      </c>
      <c r="C211" s="55">
        <v>33686.06</v>
      </c>
      <c r="D211" s="54">
        <v>214</v>
      </c>
    </row>
    <row r="212" spans="1:4" x14ac:dyDescent="0.3">
      <c r="A212" s="53" t="s">
        <v>1173</v>
      </c>
      <c r="B212" s="54" t="s">
        <v>55</v>
      </c>
      <c r="C212" s="55">
        <v>33873.629999999997</v>
      </c>
      <c r="D212" s="54">
        <v>215</v>
      </c>
    </row>
    <row r="213" spans="1:4" x14ac:dyDescent="0.3">
      <c r="A213" s="53" t="s">
        <v>2330</v>
      </c>
      <c r="B213" s="54" t="s">
        <v>55</v>
      </c>
      <c r="C213" s="55">
        <v>163560.71</v>
      </c>
      <c r="D213" s="54">
        <v>216</v>
      </c>
    </row>
    <row r="214" spans="1:4" ht="26.4" x14ac:dyDescent="0.3">
      <c r="A214" s="53" t="s">
        <v>360</v>
      </c>
      <c r="B214" s="54" t="s">
        <v>55</v>
      </c>
      <c r="C214" s="55">
        <v>170097.48</v>
      </c>
      <c r="D214" s="54">
        <v>217</v>
      </c>
    </row>
    <row r="215" spans="1:4" x14ac:dyDescent="0.3">
      <c r="A215" s="53" t="s">
        <v>151</v>
      </c>
      <c r="B215" s="54" t="s">
        <v>55</v>
      </c>
      <c r="C215" s="55">
        <v>5877.21</v>
      </c>
      <c r="D215" s="54">
        <v>218</v>
      </c>
    </row>
    <row r="216" spans="1:4" x14ac:dyDescent="0.3">
      <c r="A216" s="53" t="s">
        <v>152</v>
      </c>
      <c r="B216" s="54" t="s">
        <v>55</v>
      </c>
      <c r="C216" s="55">
        <v>5391.89</v>
      </c>
      <c r="D216" s="54">
        <v>219</v>
      </c>
    </row>
    <row r="217" spans="1:4" x14ac:dyDescent="0.3">
      <c r="A217" s="53" t="s">
        <v>153</v>
      </c>
      <c r="B217" s="54" t="s">
        <v>55</v>
      </c>
      <c r="C217" s="55">
        <v>1919.82</v>
      </c>
      <c r="D217" s="54">
        <v>220</v>
      </c>
    </row>
    <row r="218" spans="1:4" x14ac:dyDescent="0.3">
      <c r="A218" s="53" t="s">
        <v>154</v>
      </c>
      <c r="B218" s="54" t="s">
        <v>55</v>
      </c>
      <c r="C218" s="55">
        <v>480.22</v>
      </c>
      <c r="D218" s="54">
        <v>221</v>
      </c>
    </row>
    <row r="219" spans="1:4" x14ac:dyDescent="0.3">
      <c r="A219" s="53" t="s">
        <v>155</v>
      </c>
      <c r="B219" s="54" t="s">
        <v>55</v>
      </c>
      <c r="C219" s="55">
        <v>9501.2000000000007</v>
      </c>
      <c r="D219" s="54">
        <v>222</v>
      </c>
    </row>
    <row r="220" spans="1:4" x14ac:dyDescent="0.3">
      <c r="A220" s="53" t="s">
        <v>156</v>
      </c>
      <c r="B220" s="54" t="s">
        <v>55</v>
      </c>
      <c r="C220" s="55">
        <v>17257.43</v>
      </c>
      <c r="D220" s="54">
        <v>223</v>
      </c>
    </row>
    <row r="221" spans="1:4" x14ac:dyDescent="0.3">
      <c r="A221" s="53" t="s">
        <v>157</v>
      </c>
      <c r="B221" s="54" t="s">
        <v>55</v>
      </c>
      <c r="C221" s="55">
        <v>644.9</v>
      </c>
      <c r="D221" s="54">
        <v>224</v>
      </c>
    </row>
    <row r="222" spans="1:4" x14ac:dyDescent="0.3">
      <c r="A222" s="53" t="s">
        <v>181</v>
      </c>
      <c r="B222" s="54" t="s">
        <v>1270</v>
      </c>
      <c r="C222" s="55">
        <v>5288.44</v>
      </c>
      <c r="D222" s="54">
        <v>225</v>
      </c>
    </row>
    <row r="223" spans="1:4" x14ac:dyDescent="0.3">
      <c r="A223" s="53" t="s">
        <v>182</v>
      </c>
      <c r="B223" s="54" t="s">
        <v>1270</v>
      </c>
      <c r="C223" s="55">
        <v>4256.74</v>
      </c>
      <c r="D223" s="54">
        <v>226</v>
      </c>
    </row>
    <row r="224" spans="1:4" x14ac:dyDescent="0.3">
      <c r="A224" s="53" t="s">
        <v>183</v>
      </c>
      <c r="B224" s="54" t="s">
        <v>1270</v>
      </c>
      <c r="C224" s="55">
        <v>1664.65</v>
      </c>
      <c r="D224" s="54">
        <v>227</v>
      </c>
    </row>
    <row r="225" spans="1:4" x14ac:dyDescent="0.3">
      <c r="A225" s="53" t="s">
        <v>193</v>
      </c>
      <c r="B225" s="54" t="s">
        <v>1270</v>
      </c>
      <c r="C225" s="55">
        <v>5318.09</v>
      </c>
      <c r="D225" s="54">
        <v>228</v>
      </c>
    </row>
    <row r="226" spans="1:4" x14ac:dyDescent="0.3">
      <c r="A226" s="53" t="s">
        <v>194</v>
      </c>
      <c r="B226" s="54" t="s">
        <v>1270</v>
      </c>
      <c r="C226" s="55">
        <v>3382.47</v>
      </c>
      <c r="D226" s="54">
        <v>229</v>
      </c>
    </row>
    <row r="227" spans="1:4" x14ac:dyDescent="0.3">
      <c r="A227" s="53" t="s">
        <v>195</v>
      </c>
      <c r="B227" s="54" t="s">
        <v>1270</v>
      </c>
      <c r="C227" s="55">
        <v>1736.16</v>
      </c>
      <c r="D227" s="54">
        <v>230</v>
      </c>
    </row>
    <row r="228" spans="1:4" x14ac:dyDescent="0.3">
      <c r="A228" s="53" t="s">
        <v>196</v>
      </c>
      <c r="B228" s="54" t="s">
        <v>1270</v>
      </c>
      <c r="C228" s="55">
        <v>8508.73</v>
      </c>
      <c r="D228" s="54">
        <v>231</v>
      </c>
    </row>
    <row r="229" spans="1:4" x14ac:dyDescent="0.3">
      <c r="A229" s="53" t="s">
        <v>285</v>
      </c>
      <c r="B229" s="54" t="s">
        <v>55</v>
      </c>
      <c r="C229" s="55">
        <v>26326.29</v>
      </c>
      <c r="D229" s="54">
        <v>232</v>
      </c>
    </row>
    <row r="230" spans="1:4" x14ac:dyDescent="0.3">
      <c r="A230" s="53" t="s">
        <v>286</v>
      </c>
      <c r="B230" s="54" t="s">
        <v>55</v>
      </c>
      <c r="C230" s="55">
        <v>18561.57</v>
      </c>
      <c r="D230" s="54">
        <v>233</v>
      </c>
    </row>
    <row r="231" spans="1:4" x14ac:dyDescent="0.3">
      <c r="A231" s="53" t="s">
        <v>287</v>
      </c>
      <c r="B231" s="54" t="s">
        <v>55</v>
      </c>
      <c r="C231" s="55">
        <v>68142.720000000001</v>
      </c>
      <c r="D231" s="54">
        <v>234</v>
      </c>
    </row>
    <row r="232" spans="1:4" x14ac:dyDescent="0.3">
      <c r="A232" s="53" t="s">
        <v>288</v>
      </c>
      <c r="B232" s="54" t="s">
        <v>55</v>
      </c>
      <c r="C232" s="55">
        <v>24009.43</v>
      </c>
      <c r="D232" s="54">
        <v>235</v>
      </c>
    </row>
    <row r="233" spans="1:4" x14ac:dyDescent="0.3">
      <c r="A233" s="53" t="s">
        <v>289</v>
      </c>
      <c r="B233" s="54" t="s">
        <v>55</v>
      </c>
      <c r="C233" s="55">
        <v>29900.75</v>
      </c>
      <c r="D233" s="54">
        <v>236</v>
      </c>
    </row>
    <row r="234" spans="1:4" x14ac:dyDescent="0.3">
      <c r="A234" s="53" t="s">
        <v>290</v>
      </c>
      <c r="B234" s="54" t="s">
        <v>55</v>
      </c>
      <c r="C234" s="55">
        <v>39350.06</v>
      </c>
      <c r="D234" s="54">
        <v>237</v>
      </c>
    </row>
    <row r="235" spans="1:4" x14ac:dyDescent="0.3">
      <c r="A235" s="53" t="s">
        <v>2184</v>
      </c>
      <c r="B235" s="54" t="s">
        <v>1270</v>
      </c>
      <c r="C235" s="55">
        <v>21322.23</v>
      </c>
      <c r="D235" s="54">
        <v>238</v>
      </c>
    </row>
    <row r="236" spans="1:4" x14ac:dyDescent="0.3">
      <c r="A236" s="53" t="s">
        <v>2185</v>
      </c>
      <c r="B236" s="54" t="s">
        <v>1270</v>
      </c>
      <c r="C236" s="55">
        <v>33505.629999999997</v>
      </c>
      <c r="D236" s="54">
        <v>239</v>
      </c>
    </row>
    <row r="237" spans="1:4" x14ac:dyDescent="0.3">
      <c r="A237" s="53" t="s">
        <v>2186</v>
      </c>
      <c r="B237" s="54" t="s">
        <v>1270</v>
      </c>
      <c r="C237" s="55">
        <v>4650.46</v>
      </c>
      <c r="D237" s="54">
        <v>240</v>
      </c>
    </row>
    <row r="238" spans="1:4" x14ac:dyDescent="0.3">
      <c r="A238" s="53" t="s">
        <v>2187</v>
      </c>
      <c r="B238" s="54" t="s">
        <v>1270</v>
      </c>
      <c r="C238" s="55">
        <v>2922.72</v>
      </c>
      <c r="D238" s="54">
        <v>241</v>
      </c>
    </row>
    <row r="239" spans="1:4" x14ac:dyDescent="0.3">
      <c r="A239" s="53" t="s">
        <v>2188</v>
      </c>
      <c r="B239" s="54" t="s">
        <v>1270</v>
      </c>
      <c r="C239" s="55">
        <v>1870.94</v>
      </c>
      <c r="D239" s="54">
        <v>242</v>
      </c>
    </row>
    <row r="240" spans="1:4" x14ac:dyDescent="0.3">
      <c r="A240" s="53" t="s">
        <v>2189</v>
      </c>
      <c r="B240" s="54" t="s">
        <v>1270</v>
      </c>
      <c r="C240" s="55">
        <v>49155.07</v>
      </c>
      <c r="D240" s="54">
        <v>243</v>
      </c>
    </row>
    <row r="241" spans="1:4" x14ac:dyDescent="0.3">
      <c r="A241" s="53" t="s">
        <v>2190</v>
      </c>
      <c r="B241" s="54" t="s">
        <v>1270</v>
      </c>
      <c r="C241" s="55">
        <v>24399.439999999999</v>
      </c>
      <c r="D241" s="54">
        <v>244</v>
      </c>
    </row>
    <row r="242" spans="1:4" x14ac:dyDescent="0.3">
      <c r="A242" s="53" t="s">
        <v>2191</v>
      </c>
      <c r="B242" s="54" t="s">
        <v>1270</v>
      </c>
      <c r="C242" s="55">
        <v>14912.41</v>
      </c>
      <c r="D242" s="54">
        <v>245</v>
      </c>
    </row>
    <row r="243" spans="1:4" x14ac:dyDescent="0.3">
      <c r="A243" s="53" t="s">
        <v>2192</v>
      </c>
      <c r="B243" s="54" t="s">
        <v>1270</v>
      </c>
      <c r="C243" s="55">
        <v>7524.32</v>
      </c>
      <c r="D243" s="54">
        <v>246</v>
      </c>
    </row>
    <row r="244" spans="1:4" x14ac:dyDescent="0.3">
      <c r="A244" s="53" t="s">
        <v>367</v>
      </c>
      <c r="B244" s="54" t="s">
        <v>1270</v>
      </c>
      <c r="C244" s="55">
        <v>48628.06</v>
      </c>
      <c r="D244" s="54">
        <v>247</v>
      </c>
    </row>
    <row r="245" spans="1:4" x14ac:dyDescent="0.3">
      <c r="A245" s="53" t="s">
        <v>368</v>
      </c>
      <c r="B245" s="54" t="s">
        <v>1270</v>
      </c>
      <c r="C245" s="55">
        <v>72978.25</v>
      </c>
      <c r="D245" s="54">
        <v>248</v>
      </c>
    </row>
    <row r="246" spans="1:4" x14ac:dyDescent="0.3">
      <c r="A246" s="53" t="s">
        <v>369</v>
      </c>
      <c r="B246" s="54" t="s">
        <v>1270</v>
      </c>
      <c r="C246" s="55">
        <v>94226.86</v>
      </c>
      <c r="D246" s="54">
        <v>249</v>
      </c>
    </row>
    <row r="247" spans="1:4" x14ac:dyDescent="0.3">
      <c r="A247" s="53" t="s">
        <v>370</v>
      </c>
      <c r="B247" s="54" t="s">
        <v>1270</v>
      </c>
      <c r="C247" s="55">
        <v>114113.79</v>
      </c>
      <c r="D247" s="54">
        <v>250</v>
      </c>
    </row>
    <row r="248" spans="1:4" x14ac:dyDescent="0.3">
      <c r="A248" s="53" t="s">
        <v>371</v>
      </c>
      <c r="B248" s="54" t="s">
        <v>1270</v>
      </c>
      <c r="C248" s="55">
        <v>35001.230000000003</v>
      </c>
      <c r="D248" s="54">
        <v>251</v>
      </c>
    </row>
    <row r="249" spans="1:4" x14ac:dyDescent="0.3">
      <c r="A249" s="53" t="s">
        <v>372</v>
      </c>
      <c r="B249" s="54" t="s">
        <v>1270</v>
      </c>
      <c r="C249" s="55">
        <v>19467.5</v>
      </c>
      <c r="D249" s="54">
        <v>252</v>
      </c>
    </row>
    <row r="250" spans="1:4" x14ac:dyDescent="0.3">
      <c r="A250" s="53" t="s">
        <v>373</v>
      </c>
      <c r="B250" s="54" t="s">
        <v>1270</v>
      </c>
      <c r="C250" s="55">
        <v>11838.71</v>
      </c>
      <c r="D250" s="54">
        <v>253</v>
      </c>
    </row>
    <row r="251" spans="1:4" x14ac:dyDescent="0.3">
      <c r="A251" s="53" t="s">
        <v>374</v>
      </c>
      <c r="B251" s="54" t="s">
        <v>1270</v>
      </c>
      <c r="C251" s="55">
        <v>7407.8</v>
      </c>
      <c r="D251" s="54">
        <v>254</v>
      </c>
    </row>
    <row r="252" spans="1:4" x14ac:dyDescent="0.3">
      <c r="A252" s="53" t="s">
        <v>375</v>
      </c>
      <c r="B252" s="54" t="s">
        <v>1270</v>
      </c>
      <c r="C252" s="55">
        <v>5092.17</v>
      </c>
      <c r="D252" s="54">
        <v>255</v>
      </c>
    </row>
    <row r="253" spans="1:4" x14ac:dyDescent="0.3">
      <c r="A253" s="53" t="s">
        <v>376</v>
      </c>
      <c r="B253" s="54" t="s">
        <v>1270</v>
      </c>
      <c r="C253" s="55">
        <v>4144.8900000000003</v>
      </c>
      <c r="D253" s="54">
        <v>256</v>
      </c>
    </row>
    <row r="254" spans="1:4" x14ac:dyDescent="0.3">
      <c r="A254" s="53" t="s">
        <v>377</v>
      </c>
      <c r="B254" s="54" t="s">
        <v>1270</v>
      </c>
      <c r="C254" s="55">
        <v>2956.69</v>
      </c>
      <c r="D254" s="54">
        <v>257</v>
      </c>
    </row>
    <row r="255" spans="1:4" x14ac:dyDescent="0.3">
      <c r="A255" s="53" t="s">
        <v>378</v>
      </c>
      <c r="B255" s="54" t="s">
        <v>1270</v>
      </c>
      <c r="C255" s="55">
        <v>14261.21</v>
      </c>
      <c r="D255" s="54">
        <v>258</v>
      </c>
    </row>
    <row r="256" spans="1:4" x14ac:dyDescent="0.3">
      <c r="A256" s="53" t="s">
        <v>379</v>
      </c>
      <c r="B256" s="54" t="s">
        <v>1270</v>
      </c>
      <c r="C256" s="55">
        <v>10403.6</v>
      </c>
      <c r="D256" s="54">
        <v>259</v>
      </c>
    </row>
    <row r="257" spans="1:4" x14ac:dyDescent="0.3">
      <c r="A257" s="53" t="s">
        <v>380</v>
      </c>
      <c r="B257" s="54" t="s">
        <v>1270</v>
      </c>
      <c r="C257" s="55">
        <v>7064.03</v>
      </c>
      <c r="D257" s="54">
        <v>260</v>
      </c>
    </row>
    <row r="258" spans="1:4" x14ac:dyDescent="0.3">
      <c r="A258" s="53" t="s">
        <v>381</v>
      </c>
      <c r="B258" s="54" t="s">
        <v>1270</v>
      </c>
      <c r="C258" s="55">
        <v>5013.3500000000004</v>
      </c>
      <c r="D258" s="54">
        <v>261</v>
      </c>
    </row>
    <row r="259" spans="1:4" x14ac:dyDescent="0.3">
      <c r="A259" s="53" t="s">
        <v>382</v>
      </c>
      <c r="B259" s="54" t="s">
        <v>1270</v>
      </c>
      <c r="C259" s="55">
        <v>3732.54</v>
      </c>
      <c r="D259" s="54">
        <v>262</v>
      </c>
    </row>
    <row r="260" spans="1:4" x14ac:dyDescent="0.3">
      <c r="A260" s="53" t="s">
        <v>383</v>
      </c>
      <c r="B260" s="54" t="s">
        <v>1270</v>
      </c>
      <c r="C260" s="55">
        <v>19077</v>
      </c>
      <c r="D260" s="54">
        <v>263</v>
      </c>
    </row>
    <row r="261" spans="1:4" x14ac:dyDescent="0.3">
      <c r="A261" s="53" t="s">
        <v>384</v>
      </c>
      <c r="B261" s="54" t="s">
        <v>1270</v>
      </c>
      <c r="C261" s="55">
        <v>11485.08</v>
      </c>
      <c r="D261" s="54">
        <v>264</v>
      </c>
    </row>
    <row r="262" spans="1:4" x14ac:dyDescent="0.3">
      <c r="A262" s="53" t="s">
        <v>385</v>
      </c>
      <c r="B262" s="54" t="s">
        <v>1270</v>
      </c>
      <c r="C262" s="55">
        <v>8313.56</v>
      </c>
      <c r="D262" s="54">
        <v>265</v>
      </c>
    </row>
    <row r="263" spans="1:4" x14ac:dyDescent="0.3">
      <c r="A263" s="53" t="s">
        <v>386</v>
      </c>
      <c r="B263" s="54" t="s">
        <v>1270</v>
      </c>
      <c r="C263" s="55">
        <v>5296.27</v>
      </c>
      <c r="D263" s="54">
        <v>266</v>
      </c>
    </row>
    <row r="264" spans="1:4" x14ac:dyDescent="0.3">
      <c r="A264" s="53" t="s">
        <v>387</v>
      </c>
      <c r="B264" s="54" t="s">
        <v>1270</v>
      </c>
      <c r="C264" s="55">
        <v>5035.5600000000004</v>
      </c>
      <c r="D264" s="54">
        <v>267</v>
      </c>
    </row>
    <row r="265" spans="1:4" x14ac:dyDescent="0.3">
      <c r="A265" s="53" t="s">
        <v>388</v>
      </c>
      <c r="B265" s="54" t="s">
        <v>1270</v>
      </c>
      <c r="C265" s="55">
        <v>14591.58</v>
      </c>
      <c r="D265" s="54">
        <v>268</v>
      </c>
    </row>
    <row r="266" spans="1:4" x14ac:dyDescent="0.3">
      <c r="A266" s="53" t="s">
        <v>389</v>
      </c>
      <c r="B266" s="54" t="s">
        <v>1270</v>
      </c>
      <c r="C266" s="55">
        <v>7594.79</v>
      </c>
      <c r="D266" s="54">
        <v>269</v>
      </c>
    </row>
    <row r="267" spans="1:4" x14ac:dyDescent="0.3">
      <c r="A267" s="53" t="s">
        <v>390</v>
      </c>
      <c r="B267" s="54" t="s">
        <v>1270</v>
      </c>
      <c r="C267" s="55">
        <v>6831.9</v>
      </c>
      <c r="D267" s="54">
        <v>270</v>
      </c>
    </row>
    <row r="268" spans="1:4" x14ac:dyDescent="0.3">
      <c r="A268" s="53" t="s">
        <v>391</v>
      </c>
      <c r="B268" s="54" t="s">
        <v>1270</v>
      </c>
      <c r="C268" s="55">
        <v>37655.879999999997</v>
      </c>
      <c r="D268" s="54">
        <v>271</v>
      </c>
    </row>
    <row r="269" spans="1:4" x14ac:dyDescent="0.3">
      <c r="A269" s="53" t="s">
        <v>392</v>
      </c>
      <c r="B269" s="54" t="s">
        <v>1270</v>
      </c>
      <c r="C269" s="55">
        <v>23549.279999999999</v>
      </c>
      <c r="D269" s="54">
        <v>272</v>
      </c>
    </row>
    <row r="270" spans="1:4" x14ac:dyDescent="0.3">
      <c r="A270" s="53" t="s">
        <v>393</v>
      </c>
      <c r="B270" s="54" t="s">
        <v>1270</v>
      </c>
      <c r="C270" s="55">
        <v>13981.07</v>
      </c>
      <c r="D270" s="54">
        <v>273</v>
      </c>
    </row>
    <row r="271" spans="1:4" x14ac:dyDescent="0.3">
      <c r="A271" s="53" t="s">
        <v>394</v>
      </c>
      <c r="B271" s="54" t="s">
        <v>1270</v>
      </c>
      <c r="C271" s="55">
        <v>9078.69</v>
      </c>
      <c r="D271" s="54">
        <v>274</v>
      </c>
    </row>
    <row r="272" spans="1:4" x14ac:dyDescent="0.3">
      <c r="A272" s="53" t="s">
        <v>395</v>
      </c>
      <c r="B272" s="54" t="s">
        <v>55</v>
      </c>
      <c r="C272" s="55">
        <v>3033.89</v>
      </c>
      <c r="D272" s="54">
        <v>275</v>
      </c>
    </row>
    <row r="273" spans="1:4" x14ac:dyDescent="0.3">
      <c r="A273" s="53" t="s">
        <v>397</v>
      </c>
      <c r="B273" s="54" t="s">
        <v>55</v>
      </c>
      <c r="C273" s="55">
        <v>60154.43</v>
      </c>
      <c r="D273" s="54">
        <v>276</v>
      </c>
    </row>
    <row r="274" spans="1:4" x14ac:dyDescent="0.3">
      <c r="A274" s="53" t="s">
        <v>398</v>
      </c>
      <c r="B274" s="54" t="s">
        <v>55</v>
      </c>
      <c r="C274" s="55">
        <v>102338.43</v>
      </c>
      <c r="D274" s="54">
        <v>277</v>
      </c>
    </row>
    <row r="275" spans="1:4" x14ac:dyDescent="0.3">
      <c r="A275" s="53" t="s">
        <v>399</v>
      </c>
      <c r="B275" s="54" t="s">
        <v>55</v>
      </c>
      <c r="C275" s="55">
        <v>151670.07999999999</v>
      </c>
      <c r="D275" s="54">
        <v>278</v>
      </c>
    </row>
    <row r="276" spans="1:4" x14ac:dyDescent="0.3">
      <c r="A276" s="53" t="s">
        <v>400</v>
      </c>
      <c r="B276" s="54" t="s">
        <v>55</v>
      </c>
      <c r="C276" s="55">
        <v>5146.83</v>
      </c>
      <c r="D276" s="54">
        <v>279</v>
      </c>
    </row>
    <row r="277" spans="1:4" x14ac:dyDescent="0.3">
      <c r="A277" s="53" t="s">
        <v>401</v>
      </c>
      <c r="B277" s="54" t="s">
        <v>55</v>
      </c>
      <c r="C277" s="55">
        <v>3603.08</v>
      </c>
      <c r="D277" s="54">
        <v>280</v>
      </c>
    </row>
    <row r="278" spans="1:4" x14ac:dyDescent="0.3">
      <c r="A278" s="53" t="s">
        <v>402</v>
      </c>
      <c r="B278" s="54" t="s">
        <v>55</v>
      </c>
      <c r="C278" s="55">
        <v>2634.35</v>
      </c>
      <c r="D278" s="54">
        <v>281</v>
      </c>
    </row>
    <row r="279" spans="1:4" x14ac:dyDescent="0.3">
      <c r="A279" s="53" t="s">
        <v>403</v>
      </c>
      <c r="B279" s="54" t="s">
        <v>55</v>
      </c>
      <c r="C279" s="55">
        <v>2057.35</v>
      </c>
      <c r="D279" s="54">
        <v>282</v>
      </c>
    </row>
    <row r="280" spans="1:4" x14ac:dyDescent="0.3">
      <c r="A280" s="53" t="s">
        <v>404</v>
      </c>
      <c r="B280" s="54" t="s">
        <v>55</v>
      </c>
      <c r="C280" s="55">
        <v>87689.32</v>
      </c>
      <c r="D280" s="54">
        <v>283</v>
      </c>
    </row>
    <row r="281" spans="1:4" x14ac:dyDescent="0.3">
      <c r="A281" s="53" t="s">
        <v>405</v>
      </c>
      <c r="B281" s="54" t="s">
        <v>55</v>
      </c>
      <c r="C281" s="55">
        <v>47908.83</v>
      </c>
      <c r="D281" s="54">
        <v>284</v>
      </c>
    </row>
    <row r="282" spans="1:4" x14ac:dyDescent="0.3">
      <c r="A282" s="53" t="s">
        <v>406</v>
      </c>
      <c r="B282" s="54" t="s">
        <v>55</v>
      </c>
      <c r="C282" s="55">
        <v>52896.98</v>
      </c>
      <c r="D282" s="54">
        <v>285</v>
      </c>
    </row>
    <row r="283" spans="1:4" x14ac:dyDescent="0.3">
      <c r="A283" s="53" t="s">
        <v>407</v>
      </c>
      <c r="B283" s="54" t="s">
        <v>55</v>
      </c>
      <c r="C283" s="55">
        <v>73438.759999999995</v>
      </c>
      <c r="D283" s="54">
        <v>286</v>
      </c>
    </row>
    <row r="284" spans="1:4" x14ac:dyDescent="0.3">
      <c r="A284" s="53" t="s">
        <v>536</v>
      </c>
      <c r="B284" s="54" t="s">
        <v>55</v>
      </c>
      <c r="C284" s="55">
        <v>2352.14</v>
      </c>
      <c r="D284" s="54">
        <v>287</v>
      </c>
    </row>
    <row r="285" spans="1:4" x14ac:dyDescent="0.3">
      <c r="A285" s="53" t="s">
        <v>537</v>
      </c>
      <c r="B285" s="54" t="s">
        <v>55</v>
      </c>
      <c r="C285" s="55">
        <v>2689.3</v>
      </c>
      <c r="D285" s="54">
        <v>288</v>
      </c>
    </row>
    <row r="286" spans="1:4" x14ac:dyDescent="0.3">
      <c r="A286" s="53" t="s">
        <v>550</v>
      </c>
      <c r="B286" s="54" t="s">
        <v>55</v>
      </c>
      <c r="C286" s="55">
        <v>16258.09</v>
      </c>
      <c r="D286" s="54">
        <v>289</v>
      </c>
    </row>
    <row r="287" spans="1:4" x14ac:dyDescent="0.3">
      <c r="A287" s="53" t="s">
        <v>551</v>
      </c>
      <c r="B287" s="54" t="s">
        <v>55</v>
      </c>
      <c r="C287" s="55">
        <v>11275.17</v>
      </c>
      <c r="D287" s="54">
        <v>290</v>
      </c>
    </row>
    <row r="288" spans="1:4" x14ac:dyDescent="0.3">
      <c r="A288" s="53" t="s">
        <v>552</v>
      </c>
      <c r="B288" s="54" t="s">
        <v>55</v>
      </c>
      <c r="C288" s="55">
        <v>6274.88</v>
      </c>
      <c r="D288" s="54">
        <v>291</v>
      </c>
    </row>
    <row r="289" spans="1:4" x14ac:dyDescent="0.3">
      <c r="A289" s="53" t="s">
        <v>553</v>
      </c>
      <c r="B289" s="54" t="s">
        <v>55</v>
      </c>
      <c r="C289" s="55">
        <v>1952.19</v>
      </c>
      <c r="D289" s="54">
        <v>292</v>
      </c>
    </row>
    <row r="290" spans="1:4" x14ac:dyDescent="0.3">
      <c r="A290" s="53" t="s">
        <v>554</v>
      </c>
      <c r="B290" s="54" t="s">
        <v>55</v>
      </c>
      <c r="C290" s="55">
        <v>28115.08</v>
      </c>
      <c r="D290" s="54">
        <v>293</v>
      </c>
    </row>
    <row r="291" spans="1:4" x14ac:dyDescent="0.3">
      <c r="A291" s="53" t="s">
        <v>555</v>
      </c>
      <c r="B291" s="54" t="s">
        <v>55</v>
      </c>
      <c r="C291" s="55">
        <v>3665.49</v>
      </c>
      <c r="D291" s="54">
        <v>294</v>
      </c>
    </row>
    <row r="292" spans="1:4" x14ac:dyDescent="0.3">
      <c r="A292" s="53" t="s">
        <v>556</v>
      </c>
      <c r="B292" s="54" t="s">
        <v>55</v>
      </c>
      <c r="C292" s="55">
        <v>10253.11</v>
      </c>
      <c r="D292" s="54">
        <v>295</v>
      </c>
    </row>
    <row r="293" spans="1:4" x14ac:dyDescent="0.3">
      <c r="A293" s="53" t="s">
        <v>557</v>
      </c>
      <c r="B293" s="54" t="s">
        <v>55</v>
      </c>
      <c r="C293" s="55">
        <v>7452.39</v>
      </c>
      <c r="D293" s="54">
        <v>296</v>
      </c>
    </row>
    <row r="294" spans="1:4" x14ac:dyDescent="0.3">
      <c r="A294" s="53" t="s">
        <v>558</v>
      </c>
      <c r="B294" s="54" t="s">
        <v>55</v>
      </c>
      <c r="C294" s="55">
        <v>12237.2</v>
      </c>
      <c r="D294" s="54">
        <v>297</v>
      </c>
    </row>
    <row r="295" spans="1:4" x14ac:dyDescent="0.3">
      <c r="A295" s="53" t="s">
        <v>621</v>
      </c>
      <c r="B295" s="54" t="s">
        <v>55</v>
      </c>
      <c r="C295" s="55">
        <v>13113.43</v>
      </c>
      <c r="D295" s="54">
        <v>298</v>
      </c>
    </row>
    <row r="296" spans="1:4" x14ac:dyDescent="0.3">
      <c r="A296" s="53" t="s">
        <v>622</v>
      </c>
      <c r="B296" s="54" t="s">
        <v>55</v>
      </c>
      <c r="C296" s="55">
        <v>8734.15</v>
      </c>
      <c r="D296" s="54">
        <v>299</v>
      </c>
    </row>
    <row r="297" spans="1:4" x14ac:dyDescent="0.3">
      <c r="A297" s="53" t="s">
        <v>623</v>
      </c>
      <c r="B297" s="54" t="s">
        <v>55</v>
      </c>
      <c r="C297" s="55">
        <v>18551.560000000001</v>
      </c>
      <c r="D297" s="54">
        <v>300</v>
      </c>
    </row>
    <row r="298" spans="1:4" x14ac:dyDescent="0.3">
      <c r="A298" s="53" t="s">
        <v>624</v>
      </c>
      <c r="B298" s="54" t="s">
        <v>55</v>
      </c>
      <c r="C298" s="55">
        <v>16321.54</v>
      </c>
      <c r="D298" s="54">
        <v>301</v>
      </c>
    </row>
    <row r="299" spans="1:4" x14ac:dyDescent="0.3">
      <c r="A299" s="53" t="s">
        <v>625</v>
      </c>
      <c r="B299" s="54" t="s">
        <v>55</v>
      </c>
      <c r="C299" s="55">
        <v>10737.05</v>
      </c>
      <c r="D299" s="54">
        <v>302</v>
      </c>
    </row>
    <row r="300" spans="1:4" x14ac:dyDescent="0.3">
      <c r="A300" s="53" t="s">
        <v>626</v>
      </c>
      <c r="B300" s="54" t="s">
        <v>55</v>
      </c>
      <c r="C300" s="55">
        <v>15403.44</v>
      </c>
      <c r="D300" s="54">
        <v>303</v>
      </c>
    </row>
    <row r="301" spans="1:4" x14ac:dyDescent="0.3">
      <c r="A301" s="53" t="s">
        <v>2331</v>
      </c>
      <c r="B301" s="54" t="s">
        <v>55</v>
      </c>
      <c r="C301" s="55">
        <v>120667.01</v>
      </c>
      <c r="D301" s="54">
        <v>304</v>
      </c>
    </row>
    <row r="302" spans="1:4" x14ac:dyDescent="0.3">
      <c r="A302" s="53" t="s">
        <v>2332</v>
      </c>
      <c r="B302" s="54" t="s">
        <v>55</v>
      </c>
      <c r="C302" s="55">
        <v>405667.43</v>
      </c>
      <c r="D302" s="54">
        <v>305</v>
      </c>
    </row>
    <row r="303" spans="1:4" ht="26.4" x14ac:dyDescent="0.3">
      <c r="A303" s="53" t="s">
        <v>828</v>
      </c>
      <c r="B303" s="54" t="s">
        <v>55</v>
      </c>
      <c r="C303" s="55">
        <v>1269058.6399999999</v>
      </c>
      <c r="D303" s="54">
        <v>306</v>
      </c>
    </row>
    <row r="304" spans="1:4" x14ac:dyDescent="0.3">
      <c r="A304" s="53" t="s">
        <v>849</v>
      </c>
      <c r="B304" s="54" t="s">
        <v>55</v>
      </c>
      <c r="C304" s="55">
        <v>534936.47</v>
      </c>
      <c r="D304" s="54">
        <v>308</v>
      </c>
    </row>
    <row r="305" spans="1:4" x14ac:dyDescent="0.3">
      <c r="A305" s="53" t="s">
        <v>850</v>
      </c>
      <c r="B305" s="54" t="s">
        <v>55</v>
      </c>
      <c r="C305" s="55">
        <v>87542.49</v>
      </c>
      <c r="D305" s="54">
        <v>309</v>
      </c>
    </row>
    <row r="306" spans="1:4" x14ac:dyDescent="0.3">
      <c r="A306" s="53" t="s">
        <v>902</v>
      </c>
      <c r="B306" s="54" t="s">
        <v>55</v>
      </c>
      <c r="C306" s="55">
        <v>2459.5300000000002</v>
      </c>
      <c r="D306" s="54">
        <v>310</v>
      </c>
    </row>
    <row r="307" spans="1:4" x14ac:dyDescent="0.3">
      <c r="A307" s="53" t="s">
        <v>911</v>
      </c>
      <c r="B307" s="54" t="s">
        <v>55</v>
      </c>
      <c r="C307" s="55">
        <v>357864.12</v>
      </c>
      <c r="D307" s="54">
        <v>311</v>
      </c>
    </row>
    <row r="308" spans="1:4" x14ac:dyDescent="0.3">
      <c r="A308" s="53" t="s">
        <v>912</v>
      </c>
      <c r="B308" s="54" t="s">
        <v>55</v>
      </c>
      <c r="C308" s="55">
        <v>66153.399999999994</v>
      </c>
      <c r="D308" s="54">
        <v>312</v>
      </c>
    </row>
    <row r="309" spans="1:4" x14ac:dyDescent="0.3">
      <c r="A309" s="53" t="s">
        <v>913</v>
      </c>
      <c r="B309" s="54" t="s">
        <v>55</v>
      </c>
      <c r="C309" s="55">
        <v>107949.2</v>
      </c>
      <c r="D309" s="54">
        <v>313</v>
      </c>
    </row>
    <row r="310" spans="1:4" x14ac:dyDescent="0.3">
      <c r="A310" s="53" t="s">
        <v>914</v>
      </c>
      <c r="B310" s="54" t="s">
        <v>55</v>
      </c>
      <c r="C310" s="55">
        <v>251305.03</v>
      </c>
      <c r="D310" s="54">
        <v>314</v>
      </c>
    </row>
    <row r="311" spans="1:4" x14ac:dyDescent="0.3">
      <c r="A311" s="53" t="s">
        <v>915</v>
      </c>
      <c r="B311" s="54" t="s">
        <v>55</v>
      </c>
      <c r="C311" s="55">
        <v>187963.8</v>
      </c>
      <c r="D311" s="54">
        <v>315</v>
      </c>
    </row>
    <row r="312" spans="1:4" x14ac:dyDescent="0.3">
      <c r="A312" s="53" t="s">
        <v>916</v>
      </c>
      <c r="B312" s="54" t="s">
        <v>55</v>
      </c>
      <c r="C312" s="55">
        <v>93455.37</v>
      </c>
      <c r="D312" s="54">
        <v>316</v>
      </c>
    </row>
    <row r="313" spans="1:4" x14ac:dyDescent="0.3">
      <c r="A313" s="53" t="s">
        <v>917</v>
      </c>
      <c r="B313" s="54" t="s">
        <v>55</v>
      </c>
      <c r="C313" s="55">
        <v>158718.63</v>
      </c>
      <c r="D313" s="54">
        <v>317</v>
      </c>
    </row>
    <row r="314" spans="1:4" x14ac:dyDescent="0.3">
      <c r="A314" s="53" t="s">
        <v>918</v>
      </c>
      <c r="B314" s="54" t="s">
        <v>55</v>
      </c>
      <c r="C314" s="55">
        <v>45228.83</v>
      </c>
      <c r="D314" s="54">
        <v>318</v>
      </c>
    </row>
    <row r="315" spans="1:4" x14ac:dyDescent="0.3">
      <c r="A315" s="53" t="s">
        <v>919</v>
      </c>
      <c r="B315" s="54" t="s">
        <v>55</v>
      </c>
      <c r="C315" s="55">
        <v>37104.800000000003</v>
      </c>
      <c r="D315" s="54">
        <v>319</v>
      </c>
    </row>
    <row r="316" spans="1:4" x14ac:dyDescent="0.3">
      <c r="A316" s="53" t="s">
        <v>920</v>
      </c>
      <c r="B316" s="54" t="s">
        <v>55</v>
      </c>
      <c r="C316" s="55">
        <v>61068.44</v>
      </c>
      <c r="D316" s="54">
        <v>320</v>
      </c>
    </row>
    <row r="317" spans="1:4" x14ac:dyDescent="0.3">
      <c r="A317" s="53" t="s">
        <v>921</v>
      </c>
      <c r="B317" s="54" t="s">
        <v>55</v>
      </c>
      <c r="C317" s="55">
        <v>113579.2</v>
      </c>
      <c r="D317" s="54">
        <v>321</v>
      </c>
    </row>
    <row r="318" spans="1:4" x14ac:dyDescent="0.3">
      <c r="A318" s="53" t="s">
        <v>922</v>
      </c>
      <c r="B318" s="54" t="s">
        <v>55</v>
      </c>
      <c r="C318" s="55">
        <v>139484.84</v>
      </c>
      <c r="D318" s="54">
        <v>322</v>
      </c>
    </row>
    <row r="319" spans="1:4" x14ac:dyDescent="0.3">
      <c r="A319" s="53" t="s">
        <v>923</v>
      </c>
      <c r="B319" s="54" t="s">
        <v>55</v>
      </c>
      <c r="C319" s="55">
        <v>430142.32</v>
      </c>
      <c r="D319" s="54">
        <v>323</v>
      </c>
    </row>
    <row r="320" spans="1:4" x14ac:dyDescent="0.3">
      <c r="A320" s="53" t="s">
        <v>924</v>
      </c>
      <c r="B320" s="54" t="s">
        <v>55</v>
      </c>
      <c r="C320" s="55">
        <v>384412.73</v>
      </c>
      <c r="D320" s="54">
        <v>324</v>
      </c>
    </row>
    <row r="321" spans="1:4" x14ac:dyDescent="0.3">
      <c r="A321" s="53" t="s">
        <v>925</v>
      </c>
      <c r="B321" s="54" t="s">
        <v>55</v>
      </c>
      <c r="C321" s="55">
        <v>583729.52</v>
      </c>
      <c r="D321" s="54">
        <v>325</v>
      </c>
    </row>
    <row r="322" spans="1:4" x14ac:dyDescent="0.3">
      <c r="A322" s="53" t="s">
        <v>926</v>
      </c>
      <c r="B322" s="54" t="s">
        <v>55</v>
      </c>
      <c r="C322" s="55">
        <v>651268.86</v>
      </c>
      <c r="D322" s="54">
        <v>326</v>
      </c>
    </row>
    <row r="323" spans="1:4" x14ac:dyDescent="0.3">
      <c r="A323" s="53" t="s">
        <v>2194</v>
      </c>
      <c r="B323" s="54" t="s">
        <v>55</v>
      </c>
      <c r="C323" s="55">
        <v>68875.509999999995</v>
      </c>
      <c r="D323" s="54">
        <v>327</v>
      </c>
    </row>
    <row r="324" spans="1:4" x14ac:dyDescent="0.3">
      <c r="A324" s="53" t="s">
        <v>2195</v>
      </c>
      <c r="B324" s="54" t="s">
        <v>55</v>
      </c>
      <c r="C324" s="55">
        <v>31677.3</v>
      </c>
      <c r="D324" s="54">
        <v>328</v>
      </c>
    </row>
    <row r="325" spans="1:4" x14ac:dyDescent="0.3">
      <c r="A325" s="53" t="s">
        <v>939</v>
      </c>
      <c r="B325" s="54" t="s">
        <v>55</v>
      </c>
      <c r="C325" s="55">
        <v>18955.919999999998</v>
      </c>
      <c r="D325" s="54">
        <v>329</v>
      </c>
    </row>
    <row r="326" spans="1:4" x14ac:dyDescent="0.3">
      <c r="A326" s="53" t="s">
        <v>940</v>
      </c>
      <c r="B326" s="54" t="s">
        <v>55</v>
      </c>
      <c r="C326" s="55">
        <v>61767.63</v>
      </c>
      <c r="D326" s="54">
        <v>330</v>
      </c>
    </row>
    <row r="327" spans="1:4" x14ac:dyDescent="0.3">
      <c r="A327" s="53" t="s">
        <v>936</v>
      </c>
      <c r="B327" s="54" t="s">
        <v>55</v>
      </c>
      <c r="C327" s="55">
        <v>21804.99</v>
      </c>
      <c r="D327" s="54">
        <v>331</v>
      </c>
    </row>
    <row r="328" spans="1:4" x14ac:dyDescent="0.3">
      <c r="A328" s="53" t="s">
        <v>937</v>
      </c>
      <c r="B328" s="54" t="s">
        <v>55</v>
      </c>
      <c r="C328" s="55">
        <v>23424.66</v>
      </c>
      <c r="D328" s="54">
        <v>332</v>
      </c>
    </row>
    <row r="329" spans="1:4" x14ac:dyDescent="0.3">
      <c r="A329" s="53" t="s">
        <v>938</v>
      </c>
      <c r="B329" s="54" t="s">
        <v>55</v>
      </c>
      <c r="C329" s="55">
        <v>26143.65</v>
      </c>
      <c r="D329" s="54">
        <v>333</v>
      </c>
    </row>
    <row r="330" spans="1:4" x14ac:dyDescent="0.3">
      <c r="A330" s="53" t="s">
        <v>941</v>
      </c>
      <c r="B330" s="54" t="s">
        <v>55</v>
      </c>
      <c r="C330" s="55">
        <v>131146.49</v>
      </c>
      <c r="D330" s="54">
        <v>334</v>
      </c>
    </row>
    <row r="331" spans="1:4" x14ac:dyDescent="0.3">
      <c r="A331" s="53" t="s">
        <v>942</v>
      </c>
      <c r="B331" s="54" t="s">
        <v>55</v>
      </c>
      <c r="C331" s="55">
        <v>150505.81</v>
      </c>
      <c r="D331" s="54">
        <v>335</v>
      </c>
    </row>
    <row r="332" spans="1:4" x14ac:dyDescent="0.3">
      <c r="A332" s="53" t="s">
        <v>943</v>
      </c>
      <c r="B332" s="54" t="s">
        <v>55</v>
      </c>
      <c r="C332" s="55">
        <v>145365.42000000001</v>
      </c>
      <c r="D332" s="54">
        <v>336</v>
      </c>
    </row>
    <row r="333" spans="1:4" x14ac:dyDescent="0.3">
      <c r="A333" s="53" t="s">
        <v>944</v>
      </c>
      <c r="B333" s="54" t="s">
        <v>55</v>
      </c>
      <c r="C333" s="55">
        <v>137501.85999999999</v>
      </c>
      <c r="D333" s="54">
        <v>337</v>
      </c>
    </row>
    <row r="334" spans="1:4" x14ac:dyDescent="0.3">
      <c r="A334" s="53" t="s">
        <v>945</v>
      </c>
      <c r="B334" s="54" t="s">
        <v>55</v>
      </c>
      <c r="C334" s="55">
        <v>115794.1</v>
      </c>
      <c r="D334" s="54">
        <v>338</v>
      </c>
    </row>
    <row r="335" spans="1:4" x14ac:dyDescent="0.3">
      <c r="A335" s="53" t="s">
        <v>946</v>
      </c>
      <c r="B335" s="54" t="s">
        <v>55</v>
      </c>
      <c r="C335" s="55">
        <v>136646.1</v>
      </c>
      <c r="D335" s="54">
        <v>339</v>
      </c>
    </row>
    <row r="336" spans="1:4" x14ac:dyDescent="0.3">
      <c r="A336" s="53" t="s">
        <v>947</v>
      </c>
      <c r="B336" s="54" t="s">
        <v>55</v>
      </c>
      <c r="C336" s="55">
        <v>190304.37</v>
      </c>
      <c r="D336" s="54">
        <v>340</v>
      </c>
    </row>
    <row r="337" spans="1:4" x14ac:dyDescent="0.3">
      <c r="A337" s="53" t="s">
        <v>954</v>
      </c>
      <c r="B337" s="54" t="s">
        <v>55</v>
      </c>
      <c r="C337" s="55">
        <v>5960.37</v>
      </c>
      <c r="D337" s="54">
        <v>341</v>
      </c>
    </row>
    <row r="338" spans="1:4" x14ac:dyDescent="0.3">
      <c r="A338" s="53" t="s">
        <v>957</v>
      </c>
      <c r="B338" s="54" t="s">
        <v>55</v>
      </c>
      <c r="C338" s="55">
        <v>2633.35</v>
      </c>
      <c r="D338" s="54">
        <v>342</v>
      </c>
    </row>
    <row r="339" spans="1:4" x14ac:dyDescent="0.3">
      <c r="A339" s="53" t="s">
        <v>961</v>
      </c>
      <c r="B339" s="54" t="s">
        <v>55</v>
      </c>
      <c r="C339" s="55">
        <v>2334.59</v>
      </c>
      <c r="D339" s="54">
        <v>343</v>
      </c>
    </row>
    <row r="340" spans="1:4" x14ac:dyDescent="0.3">
      <c r="A340" s="53" t="s">
        <v>962</v>
      </c>
      <c r="B340" s="54" t="s">
        <v>55</v>
      </c>
      <c r="C340" s="55">
        <v>3062.32</v>
      </c>
      <c r="D340" s="54">
        <v>344</v>
      </c>
    </row>
    <row r="341" spans="1:4" x14ac:dyDescent="0.3">
      <c r="A341" s="53" t="s">
        <v>963</v>
      </c>
      <c r="B341" s="54" t="s">
        <v>55</v>
      </c>
      <c r="C341" s="55">
        <v>1140.6500000000001</v>
      </c>
      <c r="D341" s="54">
        <v>345</v>
      </c>
    </row>
    <row r="342" spans="1:4" x14ac:dyDescent="0.3">
      <c r="A342" s="53" t="s">
        <v>1055</v>
      </c>
      <c r="B342" s="54" t="s">
        <v>1269</v>
      </c>
      <c r="C342" s="55">
        <v>22019.24</v>
      </c>
      <c r="D342" s="54">
        <v>346</v>
      </c>
    </row>
    <row r="343" spans="1:4" x14ac:dyDescent="0.3">
      <c r="A343" s="53" t="s">
        <v>1056</v>
      </c>
      <c r="B343" s="54" t="s">
        <v>1269</v>
      </c>
      <c r="C343" s="55">
        <v>11266.4</v>
      </c>
      <c r="D343" s="54">
        <v>347</v>
      </c>
    </row>
    <row r="344" spans="1:4" x14ac:dyDescent="0.3">
      <c r="A344" s="53" t="s">
        <v>1057</v>
      </c>
      <c r="B344" s="54" t="s">
        <v>1269</v>
      </c>
      <c r="C344" s="55">
        <v>23495.200000000001</v>
      </c>
      <c r="D344" s="54">
        <v>348</v>
      </c>
    </row>
    <row r="345" spans="1:4" x14ac:dyDescent="0.3">
      <c r="A345" s="53" t="s">
        <v>1058</v>
      </c>
      <c r="B345" s="54" t="s">
        <v>1269</v>
      </c>
      <c r="C345" s="55">
        <v>38330.04</v>
      </c>
      <c r="D345" s="54">
        <v>349</v>
      </c>
    </row>
    <row r="346" spans="1:4" x14ac:dyDescent="0.3">
      <c r="A346" s="53" t="s">
        <v>2333</v>
      </c>
      <c r="B346" s="54" t="s">
        <v>1269</v>
      </c>
      <c r="C346" s="55">
        <v>56413.04</v>
      </c>
      <c r="D346" s="54">
        <v>350</v>
      </c>
    </row>
    <row r="347" spans="1:4" x14ac:dyDescent="0.3">
      <c r="A347" s="53" t="s">
        <v>1102</v>
      </c>
      <c r="B347" s="54" t="s">
        <v>55</v>
      </c>
      <c r="C347" s="55">
        <v>28023.9</v>
      </c>
      <c r="D347" s="54">
        <v>351</v>
      </c>
    </row>
    <row r="348" spans="1:4" x14ac:dyDescent="0.3">
      <c r="A348" s="53" t="s">
        <v>1103</v>
      </c>
      <c r="B348" s="54" t="s">
        <v>55</v>
      </c>
      <c r="C348" s="55">
        <v>18434.650000000001</v>
      </c>
      <c r="D348" s="54">
        <v>352</v>
      </c>
    </row>
    <row r="349" spans="1:4" x14ac:dyDescent="0.3">
      <c r="A349" s="53" t="s">
        <v>1104</v>
      </c>
      <c r="B349" s="54" t="s">
        <v>55</v>
      </c>
      <c r="C349" s="55">
        <v>10166.01</v>
      </c>
      <c r="D349" s="54">
        <v>353</v>
      </c>
    </row>
    <row r="350" spans="1:4" x14ac:dyDescent="0.3">
      <c r="A350" s="53" t="s">
        <v>1105</v>
      </c>
      <c r="B350" s="54" t="s">
        <v>55</v>
      </c>
      <c r="C350" s="55">
        <v>59816.3</v>
      </c>
      <c r="D350" s="54">
        <v>354</v>
      </c>
    </row>
    <row r="351" spans="1:4" x14ac:dyDescent="0.3">
      <c r="A351" s="53" t="s">
        <v>1106</v>
      </c>
      <c r="B351" s="54" t="s">
        <v>55</v>
      </c>
      <c r="C351" s="55">
        <v>12154.19</v>
      </c>
      <c r="D351" s="54">
        <v>355</v>
      </c>
    </row>
    <row r="352" spans="1:4" x14ac:dyDescent="0.3">
      <c r="A352" s="53" t="s">
        <v>1111</v>
      </c>
      <c r="B352" s="54" t="s">
        <v>1274</v>
      </c>
      <c r="C352" s="55">
        <v>151729.03</v>
      </c>
      <c r="D352" s="54">
        <v>356</v>
      </c>
    </row>
    <row r="353" spans="1:4" x14ac:dyDescent="0.3">
      <c r="A353" s="53" t="s">
        <v>1112</v>
      </c>
      <c r="B353" s="54" t="s">
        <v>1274</v>
      </c>
      <c r="C353" s="55">
        <v>266480.84999999998</v>
      </c>
      <c r="D353" s="54">
        <v>357</v>
      </c>
    </row>
    <row r="354" spans="1:4" x14ac:dyDescent="0.3">
      <c r="A354" s="53" t="s">
        <v>1113</v>
      </c>
      <c r="B354" s="54" t="s">
        <v>55</v>
      </c>
      <c r="C354" s="55">
        <v>54529.04</v>
      </c>
      <c r="D354" s="54">
        <v>358</v>
      </c>
    </row>
    <row r="355" spans="1:4" x14ac:dyDescent="0.3">
      <c r="A355" s="53" t="s">
        <v>1114</v>
      </c>
      <c r="B355" s="54" t="s">
        <v>55</v>
      </c>
      <c r="C355" s="55">
        <v>21701.75</v>
      </c>
      <c r="D355" s="54">
        <v>359</v>
      </c>
    </row>
    <row r="356" spans="1:4" x14ac:dyDescent="0.3">
      <c r="A356" s="53" t="s">
        <v>1115</v>
      </c>
      <c r="B356" s="54" t="s">
        <v>55</v>
      </c>
      <c r="C356" s="55">
        <v>34186.99</v>
      </c>
      <c r="D356" s="54">
        <v>360</v>
      </c>
    </row>
    <row r="357" spans="1:4" x14ac:dyDescent="0.3">
      <c r="A357" s="53" t="s">
        <v>1174</v>
      </c>
      <c r="B357" s="54" t="s">
        <v>55</v>
      </c>
      <c r="C357" s="55">
        <v>2555.83</v>
      </c>
      <c r="D357" s="54">
        <v>361</v>
      </c>
    </row>
    <row r="358" spans="1:4" x14ac:dyDescent="0.3">
      <c r="A358" s="53" t="s">
        <v>1175</v>
      </c>
      <c r="B358" s="54" t="s">
        <v>55</v>
      </c>
      <c r="C358" s="55">
        <v>876.75</v>
      </c>
      <c r="D358" s="54">
        <v>362</v>
      </c>
    </row>
    <row r="359" spans="1:4" x14ac:dyDescent="0.3">
      <c r="A359" s="53" t="s">
        <v>1176</v>
      </c>
      <c r="B359" s="54" t="s">
        <v>55</v>
      </c>
      <c r="C359" s="55">
        <v>1788.7</v>
      </c>
      <c r="D359" s="54">
        <v>363</v>
      </c>
    </row>
    <row r="360" spans="1:4" x14ac:dyDescent="0.3">
      <c r="A360" s="53" t="s">
        <v>1092</v>
      </c>
      <c r="B360" s="54" t="s">
        <v>55</v>
      </c>
      <c r="C360" s="55">
        <v>85966.02</v>
      </c>
      <c r="D360" s="54">
        <v>364</v>
      </c>
    </row>
    <row r="361" spans="1:4" x14ac:dyDescent="0.3">
      <c r="A361" s="53" t="s">
        <v>1093</v>
      </c>
      <c r="B361" s="54" t="s">
        <v>55</v>
      </c>
      <c r="C361" s="55">
        <v>126421.5</v>
      </c>
      <c r="D361" s="54">
        <v>365</v>
      </c>
    </row>
    <row r="362" spans="1:4" x14ac:dyDescent="0.3">
      <c r="A362" s="53" t="s">
        <v>1094</v>
      </c>
      <c r="B362" s="54" t="s">
        <v>55</v>
      </c>
      <c r="C362" s="55">
        <v>49295.47</v>
      </c>
      <c r="D362" s="54">
        <v>366</v>
      </c>
    </row>
    <row r="363" spans="1:4" x14ac:dyDescent="0.3">
      <c r="A363" s="53" t="s">
        <v>929</v>
      </c>
      <c r="B363" s="54" t="s">
        <v>55</v>
      </c>
      <c r="C363" s="55">
        <v>67660.63</v>
      </c>
      <c r="D363" s="54">
        <v>367</v>
      </c>
    </row>
    <row r="364" spans="1:4" x14ac:dyDescent="0.3">
      <c r="A364" s="53" t="s">
        <v>930</v>
      </c>
      <c r="B364" s="54" t="s">
        <v>55</v>
      </c>
      <c r="C364" s="55">
        <v>74651.59</v>
      </c>
      <c r="D364" s="54">
        <v>368</v>
      </c>
    </row>
    <row r="365" spans="1:4" x14ac:dyDescent="0.3">
      <c r="A365" s="53" t="s">
        <v>931</v>
      </c>
      <c r="B365" s="54" t="s">
        <v>55</v>
      </c>
      <c r="C365" s="55">
        <v>89512.43</v>
      </c>
      <c r="D365" s="54">
        <v>369</v>
      </c>
    </row>
    <row r="366" spans="1:4" x14ac:dyDescent="0.3">
      <c r="A366" s="53" t="s">
        <v>932</v>
      </c>
      <c r="B366" s="54" t="s">
        <v>55</v>
      </c>
      <c r="C366" s="55">
        <v>90652.76</v>
      </c>
      <c r="D366" s="54">
        <v>370</v>
      </c>
    </row>
    <row r="367" spans="1:4" x14ac:dyDescent="0.3">
      <c r="A367" s="53" t="s">
        <v>933</v>
      </c>
      <c r="B367" s="54" t="s">
        <v>55</v>
      </c>
      <c r="C367" s="55">
        <v>66690.259999999995</v>
      </c>
      <c r="D367" s="54">
        <v>371</v>
      </c>
    </row>
    <row r="368" spans="1:4" x14ac:dyDescent="0.3">
      <c r="A368" s="53" t="s">
        <v>934</v>
      </c>
      <c r="B368" s="54" t="s">
        <v>55</v>
      </c>
      <c r="C368" s="55">
        <v>80621</v>
      </c>
      <c r="D368" s="54">
        <v>372</v>
      </c>
    </row>
    <row r="369" spans="1:4" x14ac:dyDescent="0.3">
      <c r="A369" s="53" t="s">
        <v>935</v>
      </c>
      <c r="B369" s="54" t="s">
        <v>55</v>
      </c>
      <c r="C369" s="55">
        <v>115306.2</v>
      </c>
      <c r="D369" s="54">
        <v>373</v>
      </c>
    </row>
    <row r="370" spans="1:4" x14ac:dyDescent="0.3">
      <c r="A370" s="53" t="s">
        <v>2196</v>
      </c>
      <c r="B370" s="54" t="s">
        <v>55</v>
      </c>
      <c r="C370" s="55">
        <v>246961.67</v>
      </c>
      <c r="D370" s="54">
        <v>374</v>
      </c>
    </row>
    <row r="371" spans="1:4" x14ac:dyDescent="0.3">
      <c r="A371" s="53" t="s">
        <v>2197</v>
      </c>
      <c r="B371" s="54" t="s">
        <v>55</v>
      </c>
      <c r="C371" s="55">
        <v>326065.5</v>
      </c>
      <c r="D371" s="54">
        <v>375</v>
      </c>
    </row>
    <row r="372" spans="1:4" x14ac:dyDescent="0.3">
      <c r="A372" s="53" t="s">
        <v>2198</v>
      </c>
      <c r="B372" s="54" t="s">
        <v>55</v>
      </c>
      <c r="C372" s="55">
        <v>405216.44</v>
      </c>
      <c r="D372" s="54">
        <v>376</v>
      </c>
    </row>
    <row r="373" spans="1:4" x14ac:dyDescent="0.3">
      <c r="A373" s="53" t="s">
        <v>2199</v>
      </c>
      <c r="B373" s="54" t="s">
        <v>55</v>
      </c>
      <c r="C373" s="55">
        <v>214832.64000000001</v>
      </c>
      <c r="D373" s="54">
        <v>377</v>
      </c>
    </row>
    <row r="374" spans="1:4" x14ac:dyDescent="0.3">
      <c r="A374" s="53" t="s">
        <v>2200</v>
      </c>
      <c r="B374" s="54" t="s">
        <v>55</v>
      </c>
      <c r="C374" s="55">
        <v>347509.87</v>
      </c>
      <c r="D374" s="54">
        <v>378</v>
      </c>
    </row>
    <row r="375" spans="1:4" x14ac:dyDescent="0.3">
      <c r="A375" s="53" t="s">
        <v>542</v>
      </c>
      <c r="B375" s="54" t="s">
        <v>1270</v>
      </c>
      <c r="C375" s="55">
        <v>19049.22</v>
      </c>
      <c r="D375" s="54">
        <v>379</v>
      </c>
    </row>
    <row r="376" spans="1:4" x14ac:dyDescent="0.3">
      <c r="A376" s="53" t="s">
        <v>543</v>
      </c>
      <c r="B376" s="54" t="s">
        <v>1270</v>
      </c>
      <c r="C376" s="55">
        <v>14162.35</v>
      </c>
      <c r="D376" s="54">
        <v>380</v>
      </c>
    </row>
    <row r="377" spans="1:4" x14ac:dyDescent="0.3">
      <c r="A377" s="53" t="s">
        <v>544</v>
      </c>
      <c r="B377" s="54" t="s">
        <v>1270</v>
      </c>
      <c r="C377" s="55">
        <v>35706.5</v>
      </c>
      <c r="D377" s="54">
        <v>381</v>
      </c>
    </row>
    <row r="378" spans="1:4" x14ac:dyDescent="0.3">
      <c r="A378" s="53" t="s">
        <v>545</v>
      </c>
      <c r="B378" s="54" t="s">
        <v>1270</v>
      </c>
      <c r="C378" s="55">
        <v>73339.14</v>
      </c>
      <c r="D378" s="54">
        <v>382</v>
      </c>
    </row>
    <row r="379" spans="1:4" x14ac:dyDescent="0.3">
      <c r="A379" s="53" t="s">
        <v>546</v>
      </c>
      <c r="B379" s="54" t="s">
        <v>1270</v>
      </c>
      <c r="C379" s="55">
        <v>8207.66</v>
      </c>
      <c r="D379" s="54">
        <v>383</v>
      </c>
    </row>
    <row r="380" spans="1:4" x14ac:dyDescent="0.3">
      <c r="A380" s="53" t="s">
        <v>547</v>
      </c>
      <c r="B380" s="54" t="s">
        <v>1270</v>
      </c>
      <c r="C380" s="55">
        <v>15821.64</v>
      </c>
      <c r="D380" s="54">
        <v>384</v>
      </c>
    </row>
    <row r="381" spans="1:4" x14ac:dyDescent="0.3">
      <c r="A381" s="53" t="s">
        <v>599</v>
      </c>
      <c r="B381" s="54" t="s">
        <v>55</v>
      </c>
      <c r="C381" s="55">
        <v>13755.21</v>
      </c>
      <c r="D381" s="54">
        <v>385</v>
      </c>
    </row>
    <row r="382" spans="1:4" x14ac:dyDescent="0.3">
      <c r="A382" s="53" t="s">
        <v>600</v>
      </c>
      <c r="B382" s="54" t="s">
        <v>55</v>
      </c>
      <c r="C382" s="55">
        <v>54637.62</v>
      </c>
      <c r="D382" s="54">
        <v>386</v>
      </c>
    </row>
    <row r="383" spans="1:4" x14ac:dyDescent="0.3">
      <c r="A383" s="53" t="s">
        <v>601</v>
      </c>
      <c r="B383" s="54" t="s">
        <v>55</v>
      </c>
      <c r="C383" s="55">
        <v>19843.39</v>
      </c>
      <c r="D383" s="54">
        <v>387</v>
      </c>
    </row>
    <row r="384" spans="1:4" x14ac:dyDescent="0.3">
      <c r="A384" s="53" t="s">
        <v>602</v>
      </c>
      <c r="B384" s="54" t="s">
        <v>55</v>
      </c>
      <c r="C384" s="55">
        <v>59237.19</v>
      </c>
      <c r="D384" s="54">
        <v>388</v>
      </c>
    </row>
    <row r="385" spans="1:4" x14ac:dyDescent="0.3">
      <c r="A385" s="53" t="s">
        <v>655</v>
      </c>
      <c r="B385" s="54" t="s">
        <v>55</v>
      </c>
      <c r="C385" s="55">
        <v>47885.19</v>
      </c>
      <c r="D385" s="54">
        <v>390</v>
      </c>
    </row>
    <row r="386" spans="1:4" x14ac:dyDescent="0.3">
      <c r="A386" s="53" t="s">
        <v>656</v>
      </c>
      <c r="B386" s="54" t="s">
        <v>55</v>
      </c>
      <c r="C386" s="55">
        <v>136625.70000000001</v>
      </c>
      <c r="D386" s="54">
        <v>391</v>
      </c>
    </row>
    <row r="387" spans="1:4" x14ac:dyDescent="0.3">
      <c r="A387" s="53" t="s">
        <v>690</v>
      </c>
      <c r="B387" s="54" t="s">
        <v>1270</v>
      </c>
      <c r="C387" s="55">
        <v>4610.26</v>
      </c>
      <c r="D387" s="54">
        <v>392</v>
      </c>
    </row>
    <row r="388" spans="1:4" x14ac:dyDescent="0.3">
      <c r="A388" s="53" t="s">
        <v>691</v>
      </c>
      <c r="B388" s="54" t="s">
        <v>1270</v>
      </c>
      <c r="C388" s="55">
        <v>5352.73</v>
      </c>
      <c r="D388" s="54">
        <v>393</v>
      </c>
    </row>
    <row r="389" spans="1:4" x14ac:dyDescent="0.3">
      <c r="A389" s="53" t="s">
        <v>692</v>
      </c>
      <c r="B389" s="54" t="s">
        <v>1270</v>
      </c>
      <c r="C389" s="55">
        <v>13282.98</v>
      </c>
      <c r="D389" s="54">
        <v>394</v>
      </c>
    </row>
    <row r="390" spans="1:4" x14ac:dyDescent="0.3">
      <c r="A390" s="53" t="s">
        <v>693</v>
      </c>
      <c r="B390" s="54" t="s">
        <v>1270</v>
      </c>
      <c r="C390" s="55">
        <v>9817.86</v>
      </c>
      <c r="D390" s="54">
        <v>395</v>
      </c>
    </row>
    <row r="391" spans="1:4" x14ac:dyDescent="0.3">
      <c r="A391" s="53" t="s">
        <v>694</v>
      </c>
      <c r="B391" s="54" t="s">
        <v>1270</v>
      </c>
      <c r="C391" s="55">
        <v>42698.29</v>
      </c>
      <c r="D391" s="54">
        <v>396</v>
      </c>
    </row>
    <row r="392" spans="1:4" x14ac:dyDescent="0.3">
      <c r="A392" s="53" t="s">
        <v>695</v>
      </c>
      <c r="B392" s="54" t="s">
        <v>1270</v>
      </c>
      <c r="C392" s="55">
        <v>28376.06</v>
      </c>
      <c r="D392" s="54">
        <v>397</v>
      </c>
    </row>
    <row r="393" spans="1:4" x14ac:dyDescent="0.3">
      <c r="A393" s="53" t="s">
        <v>696</v>
      </c>
      <c r="B393" s="54" t="s">
        <v>1270</v>
      </c>
      <c r="C393" s="55">
        <v>61787.65</v>
      </c>
      <c r="D393" s="54">
        <v>398</v>
      </c>
    </row>
    <row r="394" spans="1:4" x14ac:dyDescent="0.3">
      <c r="A394" s="53" t="s">
        <v>284</v>
      </c>
      <c r="B394" s="54" t="s">
        <v>55</v>
      </c>
      <c r="C394" s="55">
        <v>14737.37</v>
      </c>
      <c r="D394" s="54">
        <v>399</v>
      </c>
    </row>
    <row r="395" spans="1:4" x14ac:dyDescent="0.3">
      <c r="A395" s="53" t="s">
        <v>432</v>
      </c>
      <c r="B395" s="54" t="s">
        <v>55</v>
      </c>
      <c r="C395" s="55">
        <v>48643.25</v>
      </c>
      <c r="D395" s="54">
        <v>400</v>
      </c>
    </row>
    <row r="396" spans="1:4" x14ac:dyDescent="0.3">
      <c r="A396" s="53" t="s">
        <v>73</v>
      </c>
      <c r="B396" s="54" t="s">
        <v>55</v>
      </c>
      <c r="C396" s="55">
        <v>12315.93</v>
      </c>
      <c r="D396" s="54">
        <v>401</v>
      </c>
    </row>
    <row r="397" spans="1:4" x14ac:dyDescent="0.3">
      <c r="A397" s="53" t="s">
        <v>697</v>
      </c>
      <c r="B397" s="54" t="s">
        <v>1270</v>
      </c>
      <c r="C397" s="55">
        <v>13965.64</v>
      </c>
      <c r="D397" s="54">
        <v>402</v>
      </c>
    </row>
    <row r="398" spans="1:4" x14ac:dyDescent="0.3">
      <c r="A398" s="53" t="s">
        <v>74</v>
      </c>
      <c r="B398" s="54" t="s">
        <v>1270</v>
      </c>
      <c r="C398" s="55">
        <v>26352.99</v>
      </c>
      <c r="D398" s="54">
        <v>403</v>
      </c>
    </row>
    <row r="399" spans="1:4" x14ac:dyDescent="0.3">
      <c r="A399" s="53" t="s">
        <v>698</v>
      </c>
      <c r="B399" s="54" t="s">
        <v>1270</v>
      </c>
      <c r="C399" s="55">
        <v>14044.9</v>
      </c>
      <c r="D399" s="54">
        <v>404</v>
      </c>
    </row>
    <row r="400" spans="1:4" x14ac:dyDescent="0.3">
      <c r="A400" s="53" t="s">
        <v>699</v>
      </c>
      <c r="B400" s="54" t="s">
        <v>1270</v>
      </c>
      <c r="C400" s="55">
        <v>10183.77</v>
      </c>
      <c r="D400" s="54">
        <v>405</v>
      </c>
    </row>
    <row r="401" spans="1:4" x14ac:dyDescent="0.3">
      <c r="A401" s="53" t="s">
        <v>709</v>
      </c>
      <c r="B401" s="54" t="s">
        <v>1272</v>
      </c>
      <c r="C401" s="55">
        <v>83632.69</v>
      </c>
      <c r="D401" s="54">
        <v>406</v>
      </c>
    </row>
    <row r="402" spans="1:4" x14ac:dyDescent="0.3">
      <c r="A402" s="53" t="s">
        <v>710</v>
      </c>
      <c r="B402" s="54" t="s">
        <v>1272</v>
      </c>
      <c r="C402" s="55">
        <v>60035.62</v>
      </c>
      <c r="D402" s="54">
        <v>407</v>
      </c>
    </row>
    <row r="403" spans="1:4" x14ac:dyDescent="0.3">
      <c r="A403" s="53" t="s">
        <v>763</v>
      </c>
      <c r="B403" s="54" t="s">
        <v>1270</v>
      </c>
      <c r="C403" s="55">
        <v>14545.88</v>
      </c>
      <c r="D403" s="54">
        <v>408</v>
      </c>
    </row>
    <row r="404" spans="1:4" x14ac:dyDescent="0.3">
      <c r="A404" s="53" t="s">
        <v>903</v>
      </c>
      <c r="B404" s="54" t="s">
        <v>55</v>
      </c>
      <c r="C404" s="55">
        <v>37272.75</v>
      </c>
      <c r="D404" s="54">
        <v>409</v>
      </c>
    </row>
    <row r="405" spans="1:4" x14ac:dyDescent="0.3">
      <c r="A405" s="53" t="s">
        <v>904</v>
      </c>
      <c r="B405" s="54" t="s">
        <v>55</v>
      </c>
      <c r="C405" s="55">
        <v>69470.600000000006</v>
      </c>
      <c r="D405" s="54">
        <v>410</v>
      </c>
    </row>
    <row r="406" spans="1:4" x14ac:dyDescent="0.3">
      <c r="A406" s="53" t="s">
        <v>2201</v>
      </c>
      <c r="B406" s="54" t="s">
        <v>1270</v>
      </c>
      <c r="C406" s="55">
        <v>17797.73</v>
      </c>
      <c r="D406" s="54">
        <v>411</v>
      </c>
    </row>
    <row r="407" spans="1:4" x14ac:dyDescent="0.3">
      <c r="A407" s="53" t="s">
        <v>905</v>
      </c>
      <c r="B407" s="54" t="s">
        <v>1270</v>
      </c>
      <c r="C407" s="55">
        <v>17830.39</v>
      </c>
      <c r="D407" s="54">
        <v>412</v>
      </c>
    </row>
    <row r="408" spans="1:4" x14ac:dyDescent="0.3">
      <c r="A408" s="53" t="s">
        <v>906</v>
      </c>
      <c r="B408" s="54" t="s">
        <v>1270</v>
      </c>
      <c r="C408" s="55">
        <v>31157.86</v>
      </c>
      <c r="D408" s="54">
        <v>413</v>
      </c>
    </row>
    <row r="409" spans="1:4" x14ac:dyDescent="0.3">
      <c r="A409" s="53" t="s">
        <v>907</v>
      </c>
      <c r="B409" s="54" t="s">
        <v>1270</v>
      </c>
      <c r="C409" s="55">
        <v>15714.08</v>
      </c>
      <c r="D409" s="54">
        <v>414</v>
      </c>
    </row>
    <row r="410" spans="1:4" x14ac:dyDescent="0.3">
      <c r="A410" s="53" t="s">
        <v>908</v>
      </c>
      <c r="B410" s="54" t="s">
        <v>1270</v>
      </c>
      <c r="C410" s="55">
        <v>17909.810000000001</v>
      </c>
      <c r="D410" s="54">
        <v>415</v>
      </c>
    </row>
    <row r="411" spans="1:4" x14ac:dyDescent="0.3">
      <c r="A411" s="53" t="s">
        <v>909</v>
      </c>
      <c r="B411" s="54" t="s">
        <v>1270</v>
      </c>
      <c r="C411" s="55">
        <v>17463.13</v>
      </c>
      <c r="D411" s="54">
        <v>416</v>
      </c>
    </row>
    <row r="412" spans="1:4" x14ac:dyDescent="0.3">
      <c r="A412" s="53" t="s">
        <v>910</v>
      </c>
      <c r="B412" s="54" t="s">
        <v>1270</v>
      </c>
      <c r="C412" s="55">
        <v>56903.67</v>
      </c>
      <c r="D412" s="54">
        <v>417</v>
      </c>
    </row>
    <row r="413" spans="1:4" x14ac:dyDescent="0.3">
      <c r="A413" s="53" t="s">
        <v>927</v>
      </c>
      <c r="B413" s="54" t="s">
        <v>1270</v>
      </c>
      <c r="C413" s="55">
        <v>36365.839999999997</v>
      </c>
      <c r="D413" s="54">
        <v>418</v>
      </c>
    </row>
    <row r="414" spans="1:4" x14ac:dyDescent="0.3">
      <c r="A414" s="53" t="s">
        <v>928</v>
      </c>
      <c r="B414" s="54" t="s">
        <v>1270</v>
      </c>
      <c r="C414" s="55">
        <v>20959.86</v>
      </c>
      <c r="D414" s="54">
        <v>419</v>
      </c>
    </row>
    <row r="415" spans="1:4" x14ac:dyDescent="0.3">
      <c r="A415" s="53" t="s">
        <v>948</v>
      </c>
      <c r="B415" s="54" t="s">
        <v>55</v>
      </c>
      <c r="C415" s="55">
        <v>8823.6200000000008</v>
      </c>
      <c r="D415" s="54">
        <v>420</v>
      </c>
    </row>
    <row r="416" spans="1:4" x14ac:dyDescent="0.3">
      <c r="A416" s="53" t="s">
        <v>1245</v>
      </c>
      <c r="B416" s="54" t="s">
        <v>55</v>
      </c>
      <c r="C416" s="55">
        <v>404138.87</v>
      </c>
      <c r="D416" s="54">
        <v>421</v>
      </c>
    </row>
    <row r="417" spans="1:4" x14ac:dyDescent="0.3">
      <c r="A417" s="53" t="s">
        <v>1246</v>
      </c>
      <c r="B417" s="54" t="s">
        <v>55</v>
      </c>
      <c r="C417" s="55">
        <v>302451.18</v>
      </c>
      <c r="D417" s="54">
        <v>422</v>
      </c>
    </row>
    <row r="418" spans="1:4" x14ac:dyDescent="0.3">
      <c r="A418" s="53" t="s">
        <v>1247</v>
      </c>
      <c r="B418" s="54" t="s">
        <v>55</v>
      </c>
      <c r="C418" s="55">
        <v>375985.21</v>
      </c>
      <c r="D418" s="54">
        <v>423</v>
      </c>
    </row>
    <row r="419" spans="1:4" x14ac:dyDescent="0.3">
      <c r="A419" s="53" t="s">
        <v>197</v>
      </c>
      <c r="B419" s="54" t="s">
        <v>1275</v>
      </c>
      <c r="C419" s="55">
        <v>19576.11</v>
      </c>
      <c r="D419" s="54">
        <v>424</v>
      </c>
    </row>
    <row r="420" spans="1:4" x14ac:dyDescent="0.3">
      <c r="A420" s="53" t="s">
        <v>98</v>
      </c>
      <c r="B420" s="54" t="s">
        <v>55</v>
      </c>
      <c r="C420" s="55">
        <v>375.62</v>
      </c>
      <c r="D420" s="54">
        <v>425</v>
      </c>
    </row>
    <row r="421" spans="1:4" x14ac:dyDescent="0.3">
      <c r="A421" s="53" t="s">
        <v>99</v>
      </c>
      <c r="B421" s="54" t="s">
        <v>55</v>
      </c>
      <c r="C421" s="55">
        <v>433.19</v>
      </c>
      <c r="D421" s="54">
        <v>426</v>
      </c>
    </row>
    <row r="422" spans="1:4" x14ac:dyDescent="0.3">
      <c r="A422" s="53" t="s">
        <v>100</v>
      </c>
      <c r="B422" s="54" t="s">
        <v>55</v>
      </c>
      <c r="C422" s="55">
        <v>493.21</v>
      </c>
      <c r="D422" s="54">
        <v>427</v>
      </c>
    </row>
    <row r="423" spans="1:4" x14ac:dyDescent="0.3">
      <c r="A423" s="53" t="s">
        <v>101</v>
      </c>
      <c r="B423" s="54" t="s">
        <v>55</v>
      </c>
      <c r="C423" s="55">
        <v>441.14</v>
      </c>
      <c r="D423" s="54">
        <v>428</v>
      </c>
    </row>
    <row r="424" spans="1:4" x14ac:dyDescent="0.3">
      <c r="A424" s="53" t="s">
        <v>102</v>
      </c>
      <c r="B424" s="54" t="s">
        <v>55</v>
      </c>
      <c r="C424" s="55">
        <v>4989.59</v>
      </c>
      <c r="D424" s="54">
        <v>429</v>
      </c>
    </row>
    <row r="425" spans="1:4" x14ac:dyDescent="0.3">
      <c r="A425" s="53" t="s">
        <v>103</v>
      </c>
      <c r="B425" s="54" t="s">
        <v>55</v>
      </c>
      <c r="C425" s="55">
        <v>1047.23</v>
      </c>
      <c r="D425" s="54">
        <v>430</v>
      </c>
    </row>
    <row r="426" spans="1:4" x14ac:dyDescent="0.3">
      <c r="A426" s="53" t="s">
        <v>184</v>
      </c>
      <c r="B426" s="54" t="s">
        <v>1274</v>
      </c>
      <c r="C426" s="55">
        <v>371068.97</v>
      </c>
      <c r="D426" s="54">
        <v>431</v>
      </c>
    </row>
    <row r="427" spans="1:4" x14ac:dyDescent="0.3">
      <c r="A427" s="53" t="s">
        <v>185</v>
      </c>
      <c r="B427" s="54" t="s">
        <v>1274</v>
      </c>
      <c r="C427" s="55">
        <v>412172.08</v>
      </c>
      <c r="D427" s="54">
        <v>432</v>
      </c>
    </row>
    <row r="428" spans="1:4" x14ac:dyDescent="0.3">
      <c r="A428" s="53" t="s">
        <v>186</v>
      </c>
      <c r="B428" s="54" t="s">
        <v>1274</v>
      </c>
      <c r="C428" s="55">
        <v>230439.16</v>
      </c>
      <c r="D428" s="54">
        <v>433</v>
      </c>
    </row>
    <row r="429" spans="1:4" x14ac:dyDescent="0.3">
      <c r="A429" s="53" t="s">
        <v>187</v>
      </c>
      <c r="B429" s="54" t="s">
        <v>2145</v>
      </c>
      <c r="C429" s="55">
        <v>18236.830000000002</v>
      </c>
      <c r="D429" s="54">
        <v>434</v>
      </c>
    </row>
    <row r="430" spans="1:4" x14ac:dyDescent="0.3">
      <c r="A430" s="53" t="s">
        <v>188</v>
      </c>
      <c r="B430" s="54" t="s">
        <v>2145</v>
      </c>
      <c r="C430" s="55">
        <v>18729.89</v>
      </c>
      <c r="D430" s="54">
        <v>435</v>
      </c>
    </row>
    <row r="431" spans="1:4" x14ac:dyDescent="0.3">
      <c r="A431" s="53" t="s">
        <v>189</v>
      </c>
      <c r="B431" s="54" t="s">
        <v>2145</v>
      </c>
      <c r="C431" s="55">
        <v>20220.48</v>
      </c>
      <c r="D431" s="54">
        <v>436</v>
      </c>
    </row>
    <row r="432" spans="1:4" x14ac:dyDescent="0.3">
      <c r="A432" s="53" t="s">
        <v>190</v>
      </c>
      <c r="B432" s="54" t="s">
        <v>2145</v>
      </c>
      <c r="C432" s="55">
        <v>15126.22</v>
      </c>
      <c r="D432" s="54">
        <v>437</v>
      </c>
    </row>
    <row r="433" spans="1:4" x14ac:dyDescent="0.3">
      <c r="A433" s="53" t="s">
        <v>191</v>
      </c>
      <c r="B433" s="54" t="s">
        <v>2145</v>
      </c>
      <c r="C433" s="55">
        <v>16003.66</v>
      </c>
      <c r="D433" s="54">
        <v>438</v>
      </c>
    </row>
    <row r="434" spans="1:4" x14ac:dyDescent="0.3">
      <c r="A434" s="53" t="s">
        <v>192</v>
      </c>
      <c r="B434" s="54" t="s">
        <v>2145</v>
      </c>
      <c r="C434" s="55">
        <v>18179.86</v>
      </c>
      <c r="D434" s="54">
        <v>439</v>
      </c>
    </row>
    <row r="435" spans="1:4" x14ac:dyDescent="0.3">
      <c r="A435" s="53" t="s">
        <v>203</v>
      </c>
      <c r="B435" s="54" t="s">
        <v>55</v>
      </c>
      <c r="C435" s="55">
        <v>66297.13</v>
      </c>
      <c r="D435" s="54">
        <v>440</v>
      </c>
    </row>
    <row r="436" spans="1:4" x14ac:dyDescent="0.3">
      <c r="A436" s="53" t="s">
        <v>204</v>
      </c>
      <c r="B436" s="54" t="s">
        <v>55</v>
      </c>
      <c r="C436" s="55">
        <v>100101.96</v>
      </c>
      <c r="D436" s="54">
        <v>441</v>
      </c>
    </row>
    <row r="437" spans="1:4" x14ac:dyDescent="0.3">
      <c r="A437" s="53" t="s">
        <v>205</v>
      </c>
      <c r="B437" s="54" t="s">
        <v>55</v>
      </c>
      <c r="C437" s="55">
        <v>91142.11</v>
      </c>
      <c r="D437" s="54">
        <v>442</v>
      </c>
    </row>
    <row r="438" spans="1:4" x14ac:dyDescent="0.3">
      <c r="A438" s="53" t="s">
        <v>206</v>
      </c>
      <c r="B438" s="54" t="s">
        <v>55</v>
      </c>
      <c r="C438" s="55">
        <v>187501.94</v>
      </c>
      <c r="D438" s="54">
        <v>443</v>
      </c>
    </row>
    <row r="439" spans="1:4" x14ac:dyDescent="0.3">
      <c r="A439" s="53" t="s">
        <v>207</v>
      </c>
      <c r="B439" s="54" t="s">
        <v>1276</v>
      </c>
      <c r="C439" s="55">
        <v>79571.56</v>
      </c>
      <c r="D439" s="54">
        <v>444</v>
      </c>
    </row>
    <row r="440" spans="1:4" x14ac:dyDescent="0.3">
      <c r="A440" s="53" t="s">
        <v>208</v>
      </c>
      <c r="B440" s="54" t="s">
        <v>55</v>
      </c>
      <c r="C440" s="55">
        <v>346.23</v>
      </c>
      <c r="D440" s="54">
        <v>445</v>
      </c>
    </row>
    <row r="441" spans="1:4" x14ac:dyDescent="0.3">
      <c r="A441" s="53" t="s">
        <v>209</v>
      </c>
      <c r="B441" s="54" t="s">
        <v>55</v>
      </c>
      <c r="C441" s="55">
        <v>353.61</v>
      </c>
      <c r="D441" s="54">
        <v>446</v>
      </c>
    </row>
    <row r="442" spans="1:4" x14ac:dyDescent="0.3">
      <c r="A442" s="53" t="s">
        <v>210</v>
      </c>
      <c r="B442" s="54" t="s">
        <v>55</v>
      </c>
      <c r="C442" s="55">
        <v>20.420000000000002</v>
      </c>
      <c r="D442" s="54">
        <v>447</v>
      </c>
    </row>
    <row r="443" spans="1:4" x14ac:dyDescent="0.3">
      <c r="A443" s="53" t="s">
        <v>211</v>
      </c>
      <c r="B443" s="54" t="s">
        <v>55</v>
      </c>
      <c r="C443" s="55">
        <v>717.59</v>
      </c>
      <c r="D443" s="54">
        <v>448</v>
      </c>
    </row>
    <row r="444" spans="1:4" x14ac:dyDescent="0.3">
      <c r="A444" s="53" t="s">
        <v>212</v>
      </c>
      <c r="B444" s="54" t="s">
        <v>55</v>
      </c>
      <c r="C444" s="55">
        <v>389.2</v>
      </c>
      <c r="D444" s="54">
        <v>449</v>
      </c>
    </row>
    <row r="445" spans="1:4" x14ac:dyDescent="0.3">
      <c r="A445" s="53" t="s">
        <v>213</v>
      </c>
      <c r="B445" s="54" t="s">
        <v>55</v>
      </c>
      <c r="C445" s="55">
        <v>788.08</v>
      </c>
      <c r="D445" s="54">
        <v>450</v>
      </c>
    </row>
    <row r="446" spans="1:4" x14ac:dyDescent="0.3">
      <c r="A446" s="53" t="s">
        <v>214</v>
      </c>
      <c r="B446" s="54" t="s">
        <v>55</v>
      </c>
      <c r="C446" s="55">
        <v>1239.69</v>
      </c>
      <c r="D446" s="54">
        <v>451</v>
      </c>
    </row>
    <row r="447" spans="1:4" x14ac:dyDescent="0.3">
      <c r="A447" s="53" t="s">
        <v>291</v>
      </c>
      <c r="B447" s="54" t="s">
        <v>55</v>
      </c>
      <c r="C447" s="55">
        <v>15780.35</v>
      </c>
      <c r="D447" s="54">
        <v>452</v>
      </c>
    </row>
    <row r="448" spans="1:4" x14ac:dyDescent="0.3">
      <c r="A448" s="53" t="s">
        <v>292</v>
      </c>
      <c r="B448" s="54" t="s">
        <v>55</v>
      </c>
      <c r="C448" s="55">
        <v>22788.98</v>
      </c>
      <c r="D448" s="54">
        <v>453</v>
      </c>
    </row>
    <row r="449" spans="1:4" x14ac:dyDescent="0.3">
      <c r="A449" s="53" t="s">
        <v>293</v>
      </c>
      <c r="B449" s="54" t="s">
        <v>55</v>
      </c>
      <c r="C449" s="55">
        <v>75326.600000000006</v>
      </c>
      <c r="D449" s="54">
        <v>454</v>
      </c>
    </row>
    <row r="450" spans="1:4" x14ac:dyDescent="0.3">
      <c r="A450" s="53" t="s">
        <v>299</v>
      </c>
      <c r="B450" s="54" t="s">
        <v>55</v>
      </c>
      <c r="C450" s="55">
        <v>98362.240000000005</v>
      </c>
      <c r="D450" s="54">
        <v>455</v>
      </c>
    </row>
    <row r="451" spans="1:4" x14ac:dyDescent="0.3">
      <c r="A451" s="53" t="s">
        <v>300</v>
      </c>
      <c r="B451" s="54" t="s">
        <v>55</v>
      </c>
      <c r="C451" s="55">
        <v>52305.96</v>
      </c>
      <c r="D451" s="54">
        <v>456</v>
      </c>
    </row>
    <row r="452" spans="1:4" x14ac:dyDescent="0.3">
      <c r="A452" s="53" t="s">
        <v>301</v>
      </c>
      <c r="B452" s="54" t="s">
        <v>55</v>
      </c>
      <c r="C452" s="55">
        <v>9257.59</v>
      </c>
      <c r="D452" s="54">
        <v>457</v>
      </c>
    </row>
    <row r="453" spans="1:4" x14ac:dyDescent="0.3">
      <c r="A453" s="53" t="s">
        <v>302</v>
      </c>
      <c r="B453" s="54" t="s">
        <v>55</v>
      </c>
      <c r="C453" s="55">
        <v>6706.89</v>
      </c>
      <c r="D453" s="54">
        <v>458</v>
      </c>
    </row>
    <row r="454" spans="1:4" x14ac:dyDescent="0.3">
      <c r="A454" s="53" t="s">
        <v>303</v>
      </c>
      <c r="B454" s="54" t="s">
        <v>55</v>
      </c>
      <c r="C454" s="55">
        <v>16197.49</v>
      </c>
      <c r="D454" s="54">
        <v>459</v>
      </c>
    </row>
    <row r="455" spans="1:4" x14ac:dyDescent="0.3">
      <c r="A455" s="53" t="s">
        <v>304</v>
      </c>
      <c r="B455" s="54" t="s">
        <v>55</v>
      </c>
      <c r="C455" s="55">
        <v>10981.33</v>
      </c>
      <c r="D455" s="54">
        <v>460</v>
      </c>
    </row>
    <row r="456" spans="1:4" x14ac:dyDescent="0.3">
      <c r="A456" s="53" t="s">
        <v>305</v>
      </c>
      <c r="B456" s="54" t="s">
        <v>55</v>
      </c>
      <c r="C456" s="55">
        <v>15724.62</v>
      </c>
      <c r="D456" s="54">
        <v>461</v>
      </c>
    </row>
    <row r="457" spans="1:4" x14ac:dyDescent="0.3">
      <c r="A457" s="53" t="s">
        <v>306</v>
      </c>
      <c r="B457" s="54" t="s">
        <v>55</v>
      </c>
      <c r="C457" s="55">
        <v>6751.43</v>
      </c>
      <c r="D457" s="54">
        <v>462</v>
      </c>
    </row>
    <row r="458" spans="1:4" x14ac:dyDescent="0.3">
      <c r="A458" s="53" t="s">
        <v>307</v>
      </c>
      <c r="B458" s="54" t="s">
        <v>55</v>
      </c>
      <c r="C458" s="55">
        <v>11421.13</v>
      </c>
      <c r="D458" s="54">
        <v>463</v>
      </c>
    </row>
    <row r="459" spans="1:4" x14ac:dyDescent="0.3">
      <c r="A459" s="53" t="s">
        <v>308</v>
      </c>
      <c r="B459" s="54" t="s">
        <v>55</v>
      </c>
      <c r="C459" s="55">
        <v>19459.47</v>
      </c>
      <c r="D459" s="54">
        <v>464</v>
      </c>
    </row>
    <row r="460" spans="1:4" x14ac:dyDescent="0.3">
      <c r="A460" s="53" t="s">
        <v>309</v>
      </c>
      <c r="B460" s="54" t="s">
        <v>55</v>
      </c>
      <c r="C460" s="55">
        <v>27566.04</v>
      </c>
      <c r="D460" s="54">
        <v>465</v>
      </c>
    </row>
    <row r="461" spans="1:4" x14ac:dyDescent="0.3">
      <c r="A461" s="53" t="s">
        <v>310</v>
      </c>
      <c r="B461" s="54" t="s">
        <v>55</v>
      </c>
      <c r="C461" s="55">
        <v>38894.57</v>
      </c>
      <c r="D461" s="54">
        <v>466</v>
      </c>
    </row>
    <row r="462" spans="1:4" x14ac:dyDescent="0.3">
      <c r="A462" s="53" t="s">
        <v>408</v>
      </c>
      <c r="B462" s="54" t="s">
        <v>55</v>
      </c>
      <c r="C462" s="55">
        <v>33855.99</v>
      </c>
      <c r="D462" s="54">
        <v>467</v>
      </c>
    </row>
    <row r="463" spans="1:4" x14ac:dyDescent="0.3">
      <c r="A463" s="53" t="s">
        <v>414</v>
      </c>
      <c r="B463" s="54" t="s">
        <v>1272</v>
      </c>
      <c r="C463" s="55">
        <v>34661.120000000003</v>
      </c>
      <c r="D463" s="54">
        <v>468</v>
      </c>
    </row>
    <row r="464" spans="1:4" x14ac:dyDescent="0.3">
      <c r="A464" s="53" t="s">
        <v>415</v>
      </c>
      <c r="B464" s="54" t="s">
        <v>1272</v>
      </c>
      <c r="C464" s="55">
        <v>33183.4</v>
      </c>
      <c r="D464" s="54">
        <v>469</v>
      </c>
    </row>
    <row r="465" spans="1:4" x14ac:dyDescent="0.3">
      <c r="A465" s="53" t="s">
        <v>416</v>
      </c>
      <c r="B465" s="54" t="s">
        <v>1272</v>
      </c>
      <c r="C465" s="55">
        <v>46119.57</v>
      </c>
      <c r="D465" s="54">
        <v>470</v>
      </c>
    </row>
    <row r="466" spans="1:4" x14ac:dyDescent="0.3">
      <c r="A466" s="53" t="s">
        <v>419</v>
      </c>
      <c r="B466" s="54" t="s">
        <v>2202</v>
      </c>
      <c r="C466" s="55">
        <v>50453.95</v>
      </c>
      <c r="D466" s="54">
        <v>471</v>
      </c>
    </row>
    <row r="467" spans="1:4" x14ac:dyDescent="0.3">
      <c r="A467" s="53" t="s">
        <v>422</v>
      </c>
      <c r="B467" s="54" t="s">
        <v>55</v>
      </c>
      <c r="C467" s="55">
        <v>14384.49</v>
      </c>
      <c r="D467" s="54">
        <v>472</v>
      </c>
    </row>
    <row r="468" spans="1:4" x14ac:dyDescent="0.3">
      <c r="A468" s="53" t="s">
        <v>423</v>
      </c>
      <c r="B468" s="54" t="s">
        <v>55</v>
      </c>
      <c r="C468" s="55">
        <v>10859.97</v>
      </c>
      <c r="D468" s="54">
        <v>473</v>
      </c>
    </row>
    <row r="469" spans="1:4" x14ac:dyDescent="0.3">
      <c r="A469" s="53" t="s">
        <v>434</v>
      </c>
      <c r="B469" s="54" t="s">
        <v>55</v>
      </c>
      <c r="C469" s="55">
        <v>284.44</v>
      </c>
      <c r="D469" s="54">
        <v>474</v>
      </c>
    </row>
    <row r="470" spans="1:4" x14ac:dyDescent="0.3">
      <c r="A470" s="53" t="s">
        <v>435</v>
      </c>
      <c r="B470" s="54" t="s">
        <v>55</v>
      </c>
      <c r="C470" s="55">
        <v>101.49</v>
      </c>
      <c r="D470" s="54">
        <v>475</v>
      </c>
    </row>
    <row r="471" spans="1:4" x14ac:dyDescent="0.3">
      <c r="A471" s="53" t="s">
        <v>436</v>
      </c>
      <c r="B471" s="54" t="s">
        <v>55</v>
      </c>
      <c r="C471" s="55">
        <v>101.42</v>
      </c>
      <c r="D471" s="54">
        <v>476</v>
      </c>
    </row>
    <row r="472" spans="1:4" x14ac:dyDescent="0.3">
      <c r="A472" s="53" t="s">
        <v>437</v>
      </c>
      <c r="B472" s="54" t="s">
        <v>55</v>
      </c>
      <c r="C472" s="55">
        <v>193.77</v>
      </c>
      <c r="D472" s="54">
        <v>477</v>
      </c>
    </row>
    <row r="473" spans="1:4" x14ac:dyDescent="0.3">
      <c r="A473" s="53" t="s">
        <v>438</v>
      </c>
      <c r="B473" s="54" t="s">
        <v>55</v>
      </c>
      <c r="C473" s="55">
        <v>279.93</v>
      </c>
      <c r="D473" s="54">
        <v>478</v>
      </c>
    </row>
    <row r="474" spans="1:4" x14ac:dyDescent="0.3">
      <c r="A474" s="53" t="s">
        <v>439</v>
      </c>
      <c r="B474" s="54" t="s">
        <v>55</v>
      </c>
      <c r="C474" s="55">
        <v>1537.17</v>
      </c>
      <c r="D474" s="54">
        <v>479</v>
      </c>
    </row>
    <row r="475" spans="1:4" x14ac:dyDescent="0.3">
      <c r="A475" s="53" t="s">
        <v>440</v>
      </c>
      <c r="B475" s="54" t="s">
        <v>55</v>
      </c>
      <c r="C475" s="55">
        <v>2150.79</v>
      </c>
      <c r="D475" s="54">
        <v>480</v>
      </c>
    </row>
    <row r="476" spans="1:4" x14ac:dyDescent="0.3">
      <c r="A476" s="53" t="s">
        <v>441</v>
      </c>
      <c r="B476" s="54" t="s">
        <v>55</v>
      </c>
      <c r="C476" s="55">
        <v>415.83</v>
      </c>
      <c r="D476" s="54">
        <v>481</v>
      </c>
    </row>
    <row r="477" spans="1:4" x14ac:dyDescent="0.3">
      <c r="A477" s="53" t="s">
        <v>442</v>
      </c>
      <c r="B477" s="54" t="s">
        <v>55</v>
      </c>
      <c r="C477" s="55">
        <v>341.76</v>
      </c>
      <c r="D477" s="54">
        <v>482</v>
      </c>
    </row>
    <row r="478" spans="1:4" x14ac:dyDescent="0.3">
      <c r="A478" s="53" t="s">
        <v>452</v>
      </c>
      <c r="B478" s="54" t="s">
        <v>55</v>
      </c>
      <c r="C478" s="55">
        <v>4144.87</v>
      </c>
      <c r="D478" s="54">
        <v>483</v>
      </c>
    </row>
    <row r="479" spans="1:4" x14ac:dyDescent="0.3">
      <c r="A479" s="53" t="s">
        <v>453</v>
      </c>
      <c r="B479" s="54" t="s">
        <v>55</v>
      </c>
      <c r="C479" s="55">
        <v>8117.02</v>
      </c>
      <c r="D479" s="54">
        <v>484</v>
      </c>
    </row>
    <row r="480" spans="1:4" x14ac:dyDescent="0.3">
      <c r="A480" s="53" t="s">
        <v>454</v>
      </c>
      <c r="B480" s="54" t="s">
        <v>55</v>
      </c>
      <c r="C480" s="55">
        <v>3760.99</v>
      </c>
      <c r="D480" s="54">
        <v>485</v>
      </c>
    </row>
    <row r="481" spans="1:4" x14ac:dyDescent="0.3">
      <c r="A481" s="53" t="s">
        <v>455</v>
      </c>
      <c r="B481" s="54" t="s">
        <v>55</v>
      </c>
      <c r="C481" s="55">
        <v>27110.98</v>
      </c>
      <c r="D481" s="54">
        <v>486</v>
      </c>
    </row>
    <row r="482" spans="1:4" x14ac:dyDescent="0.3">
      <c r="A482" s="53" t="s">
        <v>456</v>
      </c>
      <c r="B482" s="54" t="s">
        <v>55</v>
      </c>
      <c r="C482" s="55">
        <v>30979.360000000001</v>
      </c>
      <c r="D482" s="54">
        <v>487</v>
      </c>
    </row>
    <row r="483" spans="1:4" x14ac:dyDescent="0.3">
      <c r="A483" s="53" t="s">
        <v>457</v>
      </c>
      <c r="B483" s="54" t="s">
        <v>55</v>
      </c>
      <c r="C483" s="55">
        <v>30128.36</v>
      </c>
      <c r="D483" s="54">
        <v>488</v>
      </c>
    </row>
    <row r="484" spans="1:4" x14ac:dyDescent="0.3">
      <c r="A484" s="53" t="s">
        <v>458</v>
      </c>
      <c r="B484" s="54" t="s">
        <v>55</v>
      </c>
      <c r="C484" s="55">
        <v>5451.65</v>
      </c>
      <c r="D484" s="54">
        <v>489</v>
      </c>
    </row>
    <row r="485" spans="1:4" x14ac:dyDescent="0.3">
      <c r="A485" s="53" t="s">
        <v>459</v>
      </c>
      <c r="B485" s="54" t="s">
        <v>55</v>
      </c>
      <c r="C485" s="55">
        <v>9607.4500000000007</v>
      </c>
      <c r="D485" s="54">
        <v>490</v>
      </c>
    </row>
    <row r="486" spans="1:4" x14ac:dyDescent="0.3">
      <c r="A486" s="53" t="s">
        <v>460</v>
      </c>
      <c r="B486" s="54" t="s">
        <v>55</v>
      </c>
      <c r="C486" s="55">
        <v>12353.62</v>
      </c>
      <c r="D486" s="54">
        <v>491</v>
      </c>
    </row>
    <row r="487" spans="1:4" x14ac:dyDescent="0.3">
      <c r="A487" s="53" t="s">
        <v>461</v>
      </c>
      <c r="B487" s="54" t="s">
        <v>55</v>
      </c>
      <c r="C487" s="55">
        <v>18425.5</v>
      </c>
      <c r="D487" s="54">
        <v>492</v>
      </c>
    </row>
    <row r="488" spans="1:4" x14ac:dyDescent="0.3">
      <c r="A488" s="53" t="s">
        <v>462</v>
      </c>
      <c r="B488" s="54" t="s">
        <v>55</v>
      </c>
      <c r="C488" s="55">
        <v>20768.37</v>
      </c>
      <c r="D488" s="54">
        <v>493</v>
      </c>
    </row>
    <row r="489" spans="1:4" x14ac:dyDescent="0.3">
      <c r="A489" s="53" t="s">
        <v>469</v>
      </c>
      <c r="B489" s="54" t="s">
        <v>55</v>
      </c>
      <c r="C489" s="55">
        <v>96263.92</v>
      </c>
      <c r="D489" s="54">
        <v>494</v>
      </c>
    </row>
    <row r="490" spans="1:4" x14ac:dyDescent="0.3">
      <c r="A490" s="53" t="s">
        <v>470</v>
      </c>
      <c r="B490" s="54" t="s">
        <v>55</v>
      </c>
      <c r="C490" s="55">
        <v>52190.79</v>
      </c>
      <c r="D490" s="54">
        <v>495</v>
      </c>
    </row>
    <row r="491" spans="1:4" x14ac:dyDescent="0.3">
      <c r="A491" s="53" t="s">
        <v>471</v>
      </c>
      <c r="B491" s="54" t="s">
        <v>55</v>
      </c>
      <c r="C491" s="55">
        <v>31597.49</v>
      </c>
      <c r="D491" s="54">
        <v>496</v>
      </c>
    </row>
    <row r="492" spans="1:4" x14ac:dyDescent="0.3">
      <c r="A492" s="53" t="s">
        <v>472</v>
      </c>
      <c r="B492" s="54" t="s">
        <v>55</v>
      </c>
      <c r="C492" s="55">
        <v>2556.2800000000002</v>
      </c>
      <c r="D492" s="54">
        <v>497</v>
      </c>
    </row>
    <row r="493" spans="1:4" x14ac:dyDescent="0.3">
      <c r="A493" s="53" t="s">
        <v>473</v>
      </c>
      <c r="B493" s="54" t="s">
        <v>55</v>
      </c>
      <c r="C493" s="55">
        <v>2478.41</v>
      </c>
      <c r="D493" s="54">
        <v>498</v>
      </c>
    </row>
    <row r="494" spans="1:4" x14ac:dyDescent="0.3">
      <c r="A494" s="53" t="s">
        <v>474</v>
      </c>
      <c r="B494" s="54" t="s">
        <v>55</v>
      </c>
      <c r="C494" s="55">
        <v>4663.3900000000003</v>
      </c>
      <c r="D494" s="54">
        <v>499</v>
      </c>
    </row>
    <row r="495" spans="1:4" x14ac:dyDescent="0.3">
      <c r="A495" s="53" t="s">
        <v>475</v>
      </c>
      <c r="B495" s="54" t="s">
        <v>55</v>
      </c>
      <c r="C495" s="55">
        <v>2994.39</v>
      </c>
      <c r="D495" s="54">
        <v>500</v>
      </c>
    </row>
    <row r="496" spans="1:4" x14ac:dyDescent="0.3">
      <c r="A496" s="53" t="s">
        <v>476</v>
      </c>
      <c r="B496" s="54" t="s">
        <v>55</v>
      </c>
      <c r="C496" s="55">
        <v>4233.3999999999996</v>
      </c>
      <c r="D496" s="54">
        <v>501</v>
      </c>
    </row>
    <row r="497" spans="1:4" x14ac:dyDescent="0.3">
      <c r="A497" s="53" t="s">
        <v>477</v>
      </c>
      <c r="B497" s="54" t="s">
        <v>55</v>
      </c>
      <c r="C497" s="55">
        <v>10722.79</v>
      </c>
      <c r="D497" s="54">
        <v>502</v>
      </c>
    </row>
    <row r="498" spans="1:4" x14ac:dyDescent="0.3">
      <c r="A498" s="53" t="s">
        <v>478</v>
      </c>
      <c r="B498" s="54" t="s">
        <v>55</v>
      </c>
      <c r="C498" s="55">
        <v>11811.48</v>
      </c>
      <c r="D498" s="54">
        <v>503</v>
      </c>
    </row>
    <row r="499" spans="1:4" x14ac:dyDescent="0.3">
      <c r="A499" s="53" t="s">
        <v>479</v>
      </c>
      <c r="B499" s="54" t="s">
        <v>55</v>
      </c>
      <c r="C499" s="55">
        <v>10697.01</v>
      </c>
      <c r="D499" s="54">
        <v>504</v>
      </c>
    </row>
    <row r="500" spans="1:4" x14ac:dyDescent="0.3">
      <c r="A500" s="53" t="s">
        <v>480</v>
      </c>
      <c r="B500" s="54" t="s">
        <v>55</v>
      </c>
      <c r="C500" s="55">
        <v>10958.37</v>
      </c>
      <c r="D500" s="54">
        <v>505</v>
      </c>
    </row>
    <row r="501" spans="1:4" x14ac:dyDescent="0.3">
      <c r="A501" s="53" t="s">
        <v>481</v>
      </c>
      <c r="B501" s="54" t="s">
        <v>55</v>
      </c>
      <c r="C501" s="55">
        <v>10259.69</v>
      </c>
      <c r="D501" s="54">
        <v>506</v>
      </c>
    </row>
    <row r="502" spans="1:4" x14ac:dyDescent="0.3">
      <c r="A502" s="53" t="s">
        <v>482</v>
      </c>
      <c r="B502" s="54" t="s">
        <v>55</v>
      </c>
      <c r="C502" s="55">
        <v>10399.93</v>
      </c>
      <c r="D502" s="54">
        <v>507</v>
      </c>
    </row>
    <row r="503" spans="1:4" x14ac:dyDescent="0.3">
      <c r="A503" s="53" t="s">
        <v>483</v>
      </c>
      <c r="B503" s="54" t="s">
        <v>55</v>
      </c>
      <c r="C503" s="55">
        <v>10145.959999999999</v>
      </c>
      <c r="D503" s="54">
        <v>508</v>
      </c>
    </row>
    <row r="504" spans="1:4" x14ac:dyDescent="0.3">
      <c r="A504" s="53" t="s">
        <v>484</v>
      </c>
      <c r="B504" s="54" t="s">
        <v>55</v>
      </c>
      <c r="C504" s="55">
        <v>9568.8799999999992</v>
      </c>
      <c r="D504" s="54">
        <v>509</v>
      </c>
    </row>
    <row r="505" spans="1:4" x14ac:dyDescent="0.3">
      <c r="A505" s="53" t="s">
        <v>485</v>
      </c>
      <c r="B505" s="54" t="s">
        <v>55</v>
      </c>
      <c r="C505" s="55">
        <v>10608.26</v>
      </c>
      <c r="D505" s="54">
        <v>510</v>
      </c>
    </row>
    <row r="506" spans="1:4" x14ac:dyDescent="0.3">
      <c r="A506" s="53" t="s">
        <v>486</v>
      </c>
      <c r="B506" s="54" t="s">
        <v>55</v>
      </c>
      <c r="C506" s="55">
        <v>10475.4</v>
      </c>
      <c r="D506" s="54">
        <v>511</v>
      </c>
    </row>
    <row r="507" spans="1:4" x14ac:dyDescent="0.3">
      <c r="A507" s="53" t="s">
        <v>560</v>
      </c>
      <c r="B507" s="54" t="s">
        <v>55</v>
      </c>
      <c r="C507" s="55">
        <v>15508.05</v>
      </c>
      <c r="D507" s="54">
        <v>512</v>
      </c>
    </row>
    <row r="508" spans="1:4" x14ac:dyDescent="0.3">
      <c r="A508" s="53" t="s">
        <v>561</v>
      </c>
      <c r="B508" s="54" t="s">
        <v>55</v>
      </c>
      <c r="C508" s="55">
        <v>30827.02</v>
      </c>
      <c r="D508" s="54">
        <v>513</v>
      </c>
    </row>
    <row r="509" spans="1:4" x14ac:dyDescent="0.3">
      <c r="A509" s="53" t="s">
        <v>562</v>
      </c>
      <c r="B509" s="54" t="s">
        <v>55</v>
      </c>
      <c r="C509" s="55">
        <v>96279.59</v>
      </c>
      <c r="D509" s="54">
        <v>514</v>
      </c>
    </row>
    <row r="510" spans="1:4" x14ac:dyDescent="0.3">
      <c r="A510" s="53" t="s">
        <v>563</v>
      </c>
      <c r="B510" s="54" t="s">
        <v>55</v>
      </c>
      <c r="C510" s="55">
        <v>130294.43</v>
      </c>
      <c r="D510" s="54">
        <v>515</v>
      </c>
    </row>
    <row r="511" spans="1:4" x14ac:dyDescent="0.3">
      <c r="A511" s="53" t="s">
        <v>564</v>
      </c>
      <c r="B511" s="54" t="s">
        <v>55</v>
      </c>
      <c r="C511" s="55">
        <v>33984.339999999997</v>
      </c>
      <c r="D511" s="54">
        <v>516</v>
      </c>
    </row>
    <row r="512" spans="1:4" x14ac:dyDescent="0.3">
      <c r="A512" s="53" t="s">
        <v>565</v>
      </c>
      <c r="B512" s="54" t="s">
        <v>55</v>
      </c>
      <c r="C512" s="55">
        <v>105235.42</v>
      </c>
      <c r="D512" s="54">
        <v>517</v>
      </c>
    </row>
    <row r="513" spans="1:4" x14ac:dyDescent="0.3">
      <c r="A513" s="53" t="s">
        <v>566</v>
      </c>
      <c r="B513" s="54" t="s">
        <v>55</v>
      </c>
      <c r="C513" s="55">
        <v>162384.95999999999</v>
      </c>
      <c r="D513" s="54">
        <v>518</v>
      </c>
    </row>
    <row r="514" spans="1:4" x14ac:dyDescent="0.3">
      <c r="A514" s="53" t="s">
        <v>569</v>
      </c>
      <c r="B514" s="54" t="s">
        <v>55</v>
      </c>
      <c r="C514" s="55">
        <v>1197295.99</v>
      </c>
      <c r="D514" s="54">
        <v>519</v>
      </c>
    </row>
    <row r="515" spans="1:4" x14ac:dyDescent="0.3">
      <c r="A515" s="53" t="s">
        <v>588</v>
      </c>
      <c r="B515" s="54" t="s">
        <v>55</v>
      </c>
      <c r="C515" s="55">
        <v>25825.88</v>
      </c>
      <c r="D515" s="54">
        <v>520</v>
      </c>
    </row>
    <row r="516" spans="1:4" x14ac:dyDescent="0.3">
      <c r="A516" s="53" t="s">
        <v>2203</v>
      </c>
      <c r="B516" s="54" t="s">
        <v>55</v>
      </c>
      <c r="C516" s="55">
        <v>55073.8</v>
      </c>
      <c r="D516" s="54">
        <v>521</v>
      </c>
    </row>
    <row r="517" spans="1:4" x14ac:dyDescent="0.3">
      <c r="A517" s="53" t="s">
        <v>589</v>
      </c>
      <c r="B517" s="54" t="s">
        <v>55</v>
      </c>
      <c r="C517" s="55">
        <v>35995.53</v>
      </c>
      <c r="D517" s="54">
        <v>522</v>
      </c>
    </row>
    <row r="518" spans="1:4" x14ac:dyDescent="0.3">
      <c r="A518" s="53" t="s">
        <v>590</v>
      </c>
      <c r="B518" s="54" t="s">
        <v>55</v>
      </c>
      <c r="C518" s="55">
        <v>37052.69</v>
      </c>
      <c r="D518" s="54">
        <v>523</v>
      </c>
    </row>
    <row r="519" spans="1:4" x14ac:dyDescent="0.3">
      <c r="A519" s="53" t="s">
        <v>591</v>
      </c>
      <c r="B519" s="54" t="s">
        <v>55</v>
      </c>
      <c r="C519" s="55">
        <v>55308.91</v>
      </c>
      <c r="D519" s="54">
        <v>524</v>
      </c>
    </row>
    <row r="520" spans="1:4" x14ac:dyDescent="0.3">
      <c r="A520" s="53" t="s">
        <v>592</v>
      </c>
      <c r="B520" s="54" t="s">
        <v>55</v>
      </c>
      <c r="C520" s="55">
        <v>72884.320000000007</v>
      </c>
      <c r="D520" s="54">
        <v>525</v>
      </c>
    </row>
    <row r="521" spans="1:4" x14ac:dyDescent="0.3">
      <c r="A521" s="53" t="s">
        <v>593</v>
      </c>
      <c r="B521" s="54" t="s">
        <v>55</v>
      </c>
      <c r="C521" s="55">
        <v>49419.76</v>
      </c>
      <c r="D521" s="54">
        <v>526</v>
      </c>
    </row>
    <row r="522" spans="1:4" x14ac:dyDescent="0.3">
      <c r="A522" s="53" t="s">
        <v>594</v>
      </c>
      <c r="B522" s="54" t="s">
        <v>55</v>
      </c>
      <c r="C522" s="55">
        <v>74325.509999999995</v>
      </c>
      <c r="D522" s="54">
        <v>527</v>
      </c>
    </row>
    <row r="523" spans="1:4" x14ac:dyDescent="0.3">
      <c r="A523" s="53" t="s">
        <v>603</v>
      </c>
      <c r="B523" s="54" t="s">
        <v>1277</v>
      </c>
      <c r="C523" s="55">
        <v>15656.1</v>
      </c>
      <c r="D523" s="54">
        <v>528</v>
      </c>
    </row>
    <row r="524" spans="1:4" x14ac:dyDescent="0.3">
      <c r="A524" s="53" t="s">
        <v>604</v>
      </c>
      <c r="B524" s="54" t="s">
        <v>1277</v>
      </c>
      <c r="C524" s="55">
        <v>9962.09</v>
      </c>
      <c r="D524" s="54">
        <v>529</v>
      </c>
    </row>
    <row r="525" spans="1:4" x14ac:dyDescent="0.3">
      <c r="A525" s="53" t="s">
        <v>607</v>
      </c>
      <c r="B525" s="54" t="s">
        <v>1268</v>
      </c>
      <c r="C525" s="55">
        <v>15716.25</v>
      </c>
      <c r="D525" s="54">
        <v>530</v>
      </c>
    </row>
    <row r="526" spans="1:4" x14ac:dyDescent="0.3">
      <c r="A526" s="53" t="s">
        <v>608</v>
      </c>
      <c r="B526" s="54" t="s">
        <v>1268</v>
      </c>
      <c r="C526" s="55">
        <v>21692.32</v>
      </c>
      <c r="D526" s="54">
        <v>531</v>
      </c>
    </row>
    <row r="527" spans="1:4" x14ac:dyDescent="0.3">
      <c r="A527" s="53" t="s">
        <v>609</v>
      </c>
      <c r="B527" s="54" t="s">
        <v>55</v>
      </c>
      <c r="C527" s="55">
        <v>8322.4500000000007</v>
      </c>
      <c r="D527" s="54">
        <v>532</v>
      </c>
    </row>
    <row r="528" spans="1:4" x14ac:dyDescent="0.3">
      <c r="A528" s="53" t="s">
        <v>619</v>
      </c>
      <c r="B528" s="54" t="s">
        <v>1276</v>
      </c>
      <c r="C528" s="55">
        <v>149099.46</v>
      </c>
      <c r="D528" s="54">
        <v>533</v>
      </c>
    </row>
    <row r="529" spans="1:4" x14ac:dyDescent="0.3">
      <c r="A529" s="53" t="s">
        <v>627</v>
      </c>
      <c r="B529" s="54" t="s">
        <v>1276</v>
      </c>
      <c r="C529" s="55">
        <v>97337.58</v>
      </c>
      <c r="D529" s="54">
        <v>534</v>
      </c>
    </row>
    <row r="530" spans="1:4" x14ac:dyDescent="0.3">
      <c r="A530" s="53" t="s">
        <v>639</v>
      </c>
      <c r="B530" s="54" t="s">
        <v>55</v>
      </c>
      <c r="C530" s="55">
        <v>237985.76</v>
      </c>
      <c r="D530" s="54">
        <v>535</v>
      </c>
    </row>
    <row r="531" spans="1:4" x14ac:dyDescent="0.3">
      <c r="A531" s="53" t="s">
        <v>640</v>
      </c>
      <c r="B531" s="54" t="s">
        <v>55</v>
      </c>
      <c r="C531" s="55">
        <v>180252.97</v>
      </c>
      <c r="D531" s="54">
        <v>536</v>
      </c>
    </row>
    <row r="532" spans="1:4" x14ac:dyDescent="0.3">
      <c r="A532" s="53" t="s">
        <v>641</v>
      </c>
      <c r="B532" s="54" t="s">
        <v>55</v>
      </c>
      <c r="C532" s="55">
        <v>188163.03</v>
      </c>
      <c r="D532" s="54">
        <v>537</v>
      </c>
    </row>
    <row r="533" spans="1:4" x14ac:dyDescent="0.3">
      <c r="A533" s="53" t="s">
        <v>642</v>
      </c>
      <c r="B533" s="54" t="s">
        <v>55</v>
      </c>
      <c r="C533" s="55">
        <v>570287.75</v>
      </c>
      <c r="D533" s="54">
        <v>538</v>
      </c>
    </row>
    <row r="534" spans="1:4" x14ac:dyDescent="0.3">
      <c r="A534" s="53" t="s">
        <v>643</v>
      </c>
      <c r="B534" s="54" t="s">
        <v>55</v>
      </c>
      <c r="C534" s="55">
        <v>210112.38</v>
      </c>
      <c r="D534" s="54">
        <v>539</v>
      </c>
    </row>
    <row r="535" spans="1:4" x14ac:dyDescent="0.3">
      <c r="A535" s="53" t="s">
        <v>644</v>
      </c>
      <c r="B535" s="54" t="s">
        <v>55</v>
      </c>
      <c r="C535" s="55">
        <v>165421.65</v>
      </c>
      <c r="D535" s="54">
        <v>540</v>
      </c>
    </row>
    <row r="536" spans="1:4" x14ac:dyDescent="0.3">
      <c r="A536" s="53" t="s">
        <v>645</v>
      </c>
      <c r="B536" s="54" t="s">
        <v>55</v>
      </c>
      <c r="C536" s="55">
        <v>109820.95</v>
      </c>
      <c r="D536" s="54">
        <v>541</v>
      </c>
    </row>
    <row r="537" spans="1:4" x14ac:dyDescent="0.3">
      <c r="A537" s="53" t="s">
        <v>646</v>
      </c>
      <c r="B537" s="54" t="s">
        <v>55</v>
      </c>
      <c r="C537" s="55">
        <v>83292.259999999995</v>
      </c>
      <c r="D537" s="54">
        <v>542</v>
      </c>
    </row>
    <row r="538" spans="1:4" x14ac:dyDescent="0.3">
      <c r="A538" s="53" t="s">
        <v>647</v>
      </c>
      <c r="B538" s="54" t="s">
        <v>55</v>
      </c>
      <c r="C538" s="55">
        <v>125247.03999999999</v>
      </c>
      <c r="D538" s="54">
        <v>543</v>
      </c>
    </row>
    <row r="539" spans="1:4" x14ac:dyDescent="0.3">
      <c r="A539" s="53" t="s">
        <v>648</v>
      </c>
      <c r="B539" s="54" t="s">
        <v>55</v>
      </c>
      <c r="C539" s="55">
        <v>113747.91</v>
      </c>
      <c r="D539" s="54">
        <v>544</v>
      </c>
    </row>
    <row r="540" spans="1:4" x14ac:dyDescent="0.3">
      <c r="A540" s="53" t="s">
        <v>649</v>
      </c>
      <c r="B540" s="54" t="s">
        <v>55</v>
      </c>
      <c r="C540" s="55">
        <v>93431.59</v>
      </c>
      <c r="D540" s="54">
        <v>545</v>
      </c>
    </row>
    <row r="541" spans="1:4" x14ac:dyDescent="0.3">
      <c r="A541" s="53" t="s">
        <v>651</v>
      </c>
      <c r="B541" s="54" t="s">
        <v>55</v>
      </c>
      <c r="C541" s="55">
        <v>470181.98</v>
      </c>
      <c r="D541" s="54">
        <v>546</v>
      </c>
    </row>
    <row r="542" spans="1:4" x14ac:dyDescent="0.3">
      <c r="A542" s="53" t="s">
        <v>652</v>
      </c>
      <c r="B542" s="54" t="s">
        <v>55</v>
      </c>
      <c r="C542" s="55">
        <v>588092.12</v>
      </c>
      <c r="D542" s="54">
        <v>547</v>
      </c>
    </row>
    <row r="543" spans="1:4" x14ac:dyDescent="0.3">
      <c r="A543" s="53" t="s">
        <v>657</v>
      </c>
      <c r="B543" s="54" t="s">
        <v>55</v>
      </c>
      <c r="C543" s="55">
        <v>260473.24</v>
      </c>
      <c r="D543" s="54">
        <v>548</v>
      </c>
    </row>
    <row r="544" spans="1:4" x14ac:dyDescent="0.3">
      <c r="A544" s="53" t="s">
        <v>658</v>
      </c>
      <c r="B544" s="54" t="s">
        <v>55</v>
      </c>
      <c r="C544" s="55">
        <v>243267.93</v>
      </c>
      <c r="D544" s="54">
        <v>549</v>
      </c>
    </row>
    <row r="545" spans="1:4" x14ac:dyDescent="0.3">
      <c r="A545" s="53" t="s">
        <v>659</v>
      </c>
      <c r="B545" s="54" t="s">
        <v>55</v>
      </c>
      <c r="C545" s="55">
        <v>189495.65</v>
      </c>
      <c r="D545" s="54">
        <v>550</v>
      </c>
    </row>
    <row r="546" spans="1:4" x14ac:dyDescent="0.3">
      <c r="A546" s="53" t="s">
        <v>660</v>
      </c>
      <c r="B546" s="54" t="s">
        <v>55</v>
      </c>
      <c r="C546" s="55">
        <v>128726.26</v>
      </c>
      <c r="D546" s="54">
        <v>551</v>
      </c>
    </row>
    <row r="547" spans="1:4" x14ac:dyDescent="0.3">
      <c r="A547" s="53" t="s">
        <v>2304</v>
      </c>
      <c r="B547" s="54" t="s">
        <v>55</v>
      </c>
      <c r="C547" s="55">
        <v>97892.39</v>
      </c>
      <c r="D547" s="54">
        <v>552</v>
      </c>
    </row>
    <row r="548" spans="1:4" x14ac:dyDescent="0.3">
      <c r="A548" s="53" t="s">
        <v>662</v>
      </c>
      <c r="B548" s="54" t="s">
        <v>55</v>
      </c>
      <c r="C548" s="55">
        <v>166010.29</v>
      </c>
      <c r="D548" s="54">
        <v>553</v>
      </c>
    </row>
    <row r="549" spans="1:4" x14ac:dyDescent="0.3">
      <c r="A549" s="53" t="s">
        <v>663</v>
      </c>
      <c r="B549" s="54" t="s">
        <v>55</v>
      </c>
      <c r="C549" s="55">
        <v>137323.46</v>
      </c>
      <c r="D549" s="54">
        <v>554</v>
      </c>
    </row>
    <row r="550" spans="1:4" x14ac:dyDescent="0.3">
      <c r="A550" s="53" t="s">
        <v>664</v>
      </c>
      <c r="B550" s="54" t="s">
        <v>55</v>
      </c>
      <c r="C550" s="55">
        <v>114992.55</v>
      </c>
      <c r="D550" s="54">
        <v>555</v>
      </c>
    </row>
    <row r="551" spans="1:4" x14ac:dyDescent="0.3">
      <c r="A551" s="53" t="s">
        <v>673</v>
      </c>
      <c r="B551" s="54" t="s">
        <v>55</v>
      </c>
      <c r="C551" s="55">
        <v>2760.55</v>
      </c>
      <c r="D551" s="54">
        <v>556</v>
      </c>
    </row>
    <row r="552" spans="1:4" x14ac:dyDescent="0.3">
      <c r="A552" s="53" t="s">
        <v>674</v>
      </c>
      <c r="B552" s="54" t="s">
        <v>55</v>
      </c>
      <c r="C552" s="55">
        <v>3662.42</v>
      </c>
      <c r="D552" s="54">
        <v>557</v>
      </c>
    </row>
    <row r="553" spans="1:4" x14ac:dyDescent="0.3">
      <c r="A553" s="53" t="s">
        <v>675</v>
      </c>
      <c r="B553" s="54" t="s">
        <v>55</v>
      </c>
      <c r="C553" s="55">
        <v>2757.79</v>
      </c>
      <c r="D553" s="54">
        <v>558</v>
      </c>
    </row>
    <row r="554" spans="1:4" x14ac:dyDescent="0.3">
      <c r="A554" s="53" t="s">
        <v>676</v>
      </c>
      <c r="B554" s="54" t="s">
        <v>55</v>
      </c>
      <c r="C554" s="55">
        <v>2895.29</v>
      </c>
      <c r="D554" s="54">
        <v>559</v>
      </c>
    </row>
    <row r="555" spans="1:4" x14ac:dyDescent="0.3">
      <c r="A555" s="53" t="s">
        <v>677</v>
      </c>
      <c r="B555" s="54" t="s">
        <v>55</v>
      </c>
      <c r="C555" s="55">
        <v>2507.59</v>
      </c>
      <c r="D555" s="54">
        <v>560</v>
      </c>
    </row>
    <row r="556" spans="1:4" x14ac:dyDescent="0.3">
      <c r="A556" s="53" t="s">
        <v>678</v>
      </c>
      <c r="B556" s="54" t="s">
        <v>55</v>
      </c>
      <c r="C556" s="55">
        <v>2531.6799999999998</v>
      </c>
      <c r="D556" s="54">
        <v>561</v>
      </c>
    </row>
    <row r="557" spans="1:4" x14ac:dyDescent="0.3">
      <c r="A557" s="53" t="s">
        <v>679</v>
      </c>
      <c r="B557" s="54" t="s">
        <v>55</v>
      </c>
      <c r="C557" s="55">
        <v>2514.8200000000002</v>
      </c>
      <c r="D557" s="54">
        <v>562</v>
      </c>
    </row>
    <row r="558" spans="1:4" x14ac:dyDescent="0.3">
      <c r="A558" s="53" t="s">
        <v>680</v>
      </c>
      <c r="B558" s="54" t="s">
        <v>55</v>
      </c>
      <c r="C558" s="55">
        <v>2691.48</v>
      </c>
      <c r="D558" s="54">
        <v>563</v>
      </c>
    </row>
    <row r="559" spans="1:4" x14ac:dyDescent="0.3">
      <c r="A559" s="53" t="s">
        <v>681</v>
      </c>
      <c r="B559" s="54" t="s">
        <v>55</v>
      </c>
      <c r="C559" s="55">
        <v>3803.5</v>
      </c>
      <c r="D559" s="54">
        <v>564</v>
      </c>
    </row>
    <row r="560" spans="1:4" x14ac:dyDescent="0.3">
      <c r="A560" s="53" t="s">
        <v>682</v>
      </c>
      <c r="B560" s="54" t="s">
        <v>55</v>
      </c>
      <c r="C560" s="55">
        <v>3777.1</v>
      </c>
      <c r="D560" s="54">
        <v>565</v>
      </c>
    </row>
    <row r="561" spans="1:4" x14ac:dyDescent="0.3">
      <c r="A561" s="53" t="s">
        <v>683</v>
      </c>
      <c r="B561" s="54" t="s">
        <v>55</v>
      </c>
      <c r="C561" s="55">
        <v>3777.1</v>
      </c>
      <c r="D561" s="54">
        <v>566</v>
      </c>
    </row>
    <row r="562" spans="1:4" x14ac:dyDescent="0.3">
      <c r="A562" s="53" t="s">
        <v>684</v>
      </c>
      <c r="B562" s="54" t="s">
        <v>55</v>
      </c>
      <c r="C562" s="55">
        <v>3783.78</v>
      </c>
      <c r="D562" s="54">
        <v>567</v>
      </c>
    </row>
    <row r="563" spans="1:4" x14ac:dyDescent="0.3">
      <c r="A563" s="53" t="s">
        <v>685</v>
      </c>
      <c r="B563" s="54" t="s">
        <v>55</v>
      </c>
      <c r="C563" s="55">
        <v>3783.78</v>
      </c>
      <c r="D563" s="54">
        <v>568</v>
      </c>
    </row>
    <row r="564" spans="1:4" x14ac:dyDescent="0.3">
      <c r="A564" s="53" t="s">
        <v>686</v>
      </c>
      <c r="B564" s="54" t="s">
        <v>55</v>
      </c>
      <c r="C564" s="55">
        <v>3798.49</v>
      </c>
      <c r="D564" s="54">
        <v>569</v>
      </c>
    </row>
    <row r="565" spans="1:4" x14ac:dyDescent="0.3">
      <c r="A565" s="53" t="s">
        <v>688</v>
      </c>
      <c r="B565" s="54" t="s">
        <v>55</v>
      </c>
      <c r="C565" s="55">
        <v>72255.87</v>
      </c>
      <c r="D565" s="54">
        <v>570</v>
      </c>
    </row>
    <row r="566" spans="1:4" x14ac:dyDescent="0.3">
      <c r="A566" s="53" t="s">
        <v>689</v>
      </c>
      <c r="B566" s="54" t="s">
        <v>55</v>
      </c>
      <c r="C566" s="55">
        <v>40212.69</v>
      </c>
      <c r="D566" s="54">
        <v>571</v>
      </c>
    </row>
    <row r="567" spans="1:4" x14ac:dyDescent="0.3">
      <c r="A567" s="53" t="s">
        <v>703</v>
      </c>
      <c r="B567" s="54" t="s">
        <v>55</v>
      </c>
      <c r="C567" s="55">
        <v>33347.99</v>
      </c>
      <c r="D567" s="54">
        <v>572</v>
      </c>
    </row>
    <row r="568" spans="1:4" x14ac:dyDescent="0.3">
      <c r="A568" s="53" t="s">
        <v>701</v>
      </c>
      <c r="B568" s="54" t="s">
        <v>55</v>
      </c>
      <c r="C568" s="55">
        <v>43907.66</v>
      </c>
      <c r="D568" s="54">
        <v>573</v>
      </c>
    </row>
    <row r="569" spans="1:4" x14ac:dyDescent="0.3">
      <c r="A569" s="53" t="s">
        <v>702</v>
      </c>
      <c r="B569" s="54" t="s">
        <v>55</v>
      </c>
      <c r="C569" s="55">
        <v>28924.01</v>
      </c>
      <c r="D569" s="54">
        <v>574</v>
      </c>
    </row>
    <row r="570" spans="1:4" x14ac:dyDescent="0.3">
      <c r="A570" s="53" t="s">
        <v>2204</v>
      </c>
      <c r="B570" s="54" t="s">
        <v>1270</v>
      </c>
      <c r="C570" s="55">
        <v>33553.26</v>
      </c>
      <c r="D570" s="54">
        <v>575</v>
      </c>
    </row>
    <row r="571" spans="1:4" x14ac:dyDescent="0.3">
      <c r="A571" s="53" t="s">
        <v>713</v>
      </c>
      <c r="B571" s="54" t="s">
        <v>1270</v>
      </c>
      <c r="C571" s="55">
        <v>43051.839999999997</v>
      </c>
      <c r="D571" s="54">
        <v>576</v>
      </c>
    </row>
    <row r="572" spans="1:4" x14ac:dyDescent="0.3">
      <c r="A572" s="53" t="s">
        <v>714</v>
      </c>
      <c r="B572" s="54" t="s">
        <v>1270</v>
      </c>
      <c r="C572" s="55">
        <v>43598.239999999998</v>
      </c>
      <c r="D572" s="54">
        <v>577</v>
      </c>
    </row>
    <row r="573" spans="1:4" x14ac:dyDescent="0.3">
      <c r="A573" s="53" t="s">
        <v>715</v>
      </c>
      <c r="B573" s="54" t="s">
        <v>1270</v>
      </c>
      <c r="C573" s="55">
        <v>46585.48</v>
      </c>
      <c r="D573" s="54">
        <v>578</v>
      </c>
    </row>
    <row r="574" spans="1:4" x14ac:dyDescent="0.3">
      <c r="A574" s="53" t="s">
        <v>716</v>
      </c>
      <c r="B574" s="54" t="s">
        <v>1270</v>
      </c>
      <c r="C574" s="55">
        <v>4364.45</v>
      </c>
      <c r="D574" s="54">
        <v>579</v>
      </c>
    </row>
    <row r="575" spans="1:4" x14ac:dyDescent="0.3">
      <c r="A575" s="53" t="s">
        <v>717</v>
      </c>
      <c r="B575" s="54" t="s">
        <v>1270</v>
      </c>
      <c r="C575" s="55">
        <v>6730.79</v>
      </c>
      <c r="D575" s="54">
        <v>580</v>
      </c>
    </row>
    <row r="576" spans="1:4" x14ac:dyDescent="0.3">
      <c r="A576" s="53" t="s">
        <v>718</v>
      </c>
      <c r="B576" s="54" t="s">
        <v>1270</v>
      </c>
      <c r="C576" s="55">
        <v>6337.27</v>
      </c>
      <c r="D576" s="54">
        <v>581</v>
      </c>
    </row>
    <row r="577" spans="1:4" x14ac:dyDescent="0.3">
      <c r="A577" s="53" t="s">
        <v>719</v>
      </c>
      <c r="B577" s="54" t="s">
        <v>1270</v>
      </c>
      <c r="C577" s="55">
        <v>5429.88</v>
      </c>
      <c r="D577" s="54">
        <v>582</v>
      </c>
    </row>
    <row r="578" spans="1:4" x14ac:dyDescent="0.3">
      <c r="A578" s="53" t="s">
        <v>720</v>
      </c>
      <c r="B578" s="54" t="s">
        <v>1270</v>
      </c>
      <c r="C578" s="55">
        <v>20220.810000000001</v>
      </c>
      <c r="D578" s="54">
        <v>583</v>
      </c>
    </row>
    <row r="579" spans="1:4" x14ac:dyDescent="0.3">
      <c r="A579" s="53" t="s">
        <v>721</v>
      </c>
      <c r="B579" s="54" t="s">
        <v>1270</v>
      </c>
      <c r="C579" s="55">
        <v>11648.29</v>
      </c>
      <c r="D579" s="54">
        <v>584</v>
      </c>
    </row>
    <row r="580" spans="1:4" x14ac:dyDescent="0.3">
      <c r="A580" s="53" t="s">
        <v>722</v>
      </c>
      <c r="B580" s="54" t="s">
        <v>1270</v>
      </c>
      <c r="C580" s="55">
        <v>12309.76</v>
      </c>
      <c r="D580" s="54">
        <v>585</v>
      </c>
    </row>
    <row r="581" spans="1:4" x14ac:dyDescent="0.3">
      <c r="A581" s="53" t="s">
        <v>724</v>
      </c>
      <c r="B581" s="54" t="s">
        <v>1270</v>
      </c>
      <c r="C581" s="55">
        <v>4067.79</v>
      </c>
      <c r="D581" s="54">
        <v>586</v>
      </c>
    </row>
    <row r="582" spans="1:4" x14ac:dyDescent="0.3">
      <c r="A582" s="53" t="s">
        <v>725</v>
      </c>
      <c r="B582" s="54" t="s">
        <v>1270</v>
      </c>
      <c r="C582" s="55">
        <v>15458.14</v>
      </c>
      <c r="D582" s="54">
        <v>587</v>
      </c>
    </row>
    <row r="583" spans="1:4" x14ac:dyDescent="0.3">
      <c r="A583" s="53" t="s">
        <v>726</v>
      </c>
      <c r="B583" s="54" t="s">
        <v>1270</v>
      </c>
      <c r="C583" s="55">
        <v>27520.87</v>
      </c>
      <c r="D583" s="54">
        <v>588</v>
      </c>
    </row>
    <row r="584" spans="1:4" x14ac:dyDescent="0.3">
      <c r="A584" s="53" t="s">
        <v>727</v>
      </c>
      <c r="B584" s="54" t="s">
        <v>1270</v>
      </c>
      <c r="C584" s="55">
        <v>2236.4</v>
      </c>
      <c r="D584" s="54">
        <v>589</v>
      </c>
    </row>
    <row r="585" spans="1:4" x14ac:dyDescent="0.3">
      <c r="A585" s="53" t="s">
        <v>728</v>
      </c>
      <c r="B585" s="54" t="s">
        <v>1270</v>
      </c>
      <c r="C585" s="55">
        <v>4190.58</v>
      </c>
      <c r="D585" s="54">
        <v>590</v>
      </c>
    </row>
    <row r="586" spans="1:4" x14ac:dyDescent="0.3">
      <c r="A586" s="53" t="s">
        <v>729</v>
      </c>
      <c r="B586" s="54" t="s">
        <v>1270</v>
      </c>
      <c r="C586" s="55">
        <v>10109.040000000001</v>
      </c>
      <c r="D586" s="54">
        <v>591</v>
      </c>
    </row>
    <row r="587" spans="1:4" x14ac:dyDescent="0.3">
      <c r="A587" s="53" t="s">
        <v>730</v>
      </c>
      <c r="B587" s="54" t="s">
        <v>1270</v>
      </c>
      <c r="C587" s="55">
        <v>4467.16</v>
      </c>
      <c r="D587" s="54">
        <v>592</v>
      </c>
    </row>
    <row r="588" spans="1:4" x14ac:dyDescent="0.3">
      <c r="A588" s="53" t="s">
        <v>731</v>
      </c>
      <c r="B588" s="54" t="s">
        <v>1270</v>
      </c>
      <c r="C588" s="55">
        <v>7999.09</v>
      </c>
      <c r="D588" s="54">
        <v>593</v>
      </c>
    </row>
    <row r="589" spans="1:4" x14ac:dyDescent="0.3">
      <c r="A589" s="53" t="s">
        <v>732</v>
      </c>
      <c r="B589" s="54" t="s">
        <v>1270</v>
      </c>
      <c r="C589" s="55">
        <v>3134.77</v>
      </c>
      <c r="D589" s="54">
        <v>594</v>
      </c>
    </row>
    <row r="590" spans="1:4" x14ac:dyDescent="0.3">
      <c r="A590" s="53" t="s">
        <v>733</v>
      </c>
      <c r="B590" s="54" t="s">
        <v>1270</v>
      </c>
      <c r="C590" s="55">
        <v>6835.18</v>
      </c>
      <c r="D590" s="54">
        <v>595</v>
      </c>
    </row>
    <row r="591" spans="1:4" x14ac:dyDescent="0.3">
      <c r="A591" s="53" t="s">
        <v>740</v>
      </c>
      <c r="B591" s="54" t="s">
        <v>55</v>
      </c>
      <c r="C591" s="55">
        <v>57195.16</v>
      </c>
      <c r="D591" s="54">
        <v>596</v>
      </c>
    </row>
    <row r="592" spans="1:4" x14ac:dyDescent="0.3">
      <c r="A592" s="53" t="s">
        <v>767</v>
      </c>
      <c r="B592" s="54" t="s">
        <v>1276</v>
      </c>
      <c r="C592" s="55">
        <v>168627.65</v>
      </c>
      <c r="D592" s="54">
        <v>597</v>
      </c>
    </row>
    <row r="593" spans="1:4" x14ac:dyDescent="0.3">
      <c r="A593" s="53" t="s">
        <v>800</v>
      </c>
      <c r="B593" s="54" t="s">
        <v>1270</v>
      </c>
      <c r="C593" s="55">
        <v>251.25</v>
      </c>
      <c r="D593" s="54">
        <v>598</v>
      </c>
    </row>
    <row r="594" spans="1:4" x14ac:dyDescent="0.3">
      <c r="A594" s="53" t="s">
        <v>801</v>
      </c>
      <c r="B594" s="54" t="s">
        <v>1270</v>
      </c>
      <c r="C594" s="55">
        <v>285.44</v>
      </c>
      <c r="D594" s="54">
        <v>599</v>
      </c>
    </row>
    <row r="595" spans="1:4" x14ac:dyDescent="0.3">
      <c r="A595" s="53" t="s">
        <v>807</v>
      </c>
      <c r="B595" s="54" t="s">
        <v>1272</v>
      </c>
      <c r="C595" s="55">
        <v>28305.89</v>
      </c>
      <c r="D595" s="54">
        <v>600</v>
      </c>
    </row>
    <row r="596" spans="1:4" x14ac:dyDescent="0.3">
      <c r="A596" s="53" t="s">
        <v>808</v>
      </c>
      <c r="B596" s="54" t="s">
        <v>1272</v>
      </c>
      <c r="C596" s="55">
        <v>22784.32</v>
      </c>
      <c r="D596" s="54">
        <v>601</v>
      </c>
    </row>
    <row r="597" spans="1:4" x14ac:dyDescent="0.3">
      <c r="A597" s="53" t="s">
        <v>833</v>
      </c>
      <c r="B597" s="54" t="s">
        <v>55</v>
      </c>
      <c r="C597" s="55">
        <v>13435.36</v>
      </c>
      <c r="D597" s="54">
        <v>602</v>
      </c>
    </row>
    <row r="598" spans="1:4" x14ac:dyDescent="0.3">
      <c r="A598" s="53" t="s">
        <v>834</v>
      </c>
      <c r="B598" s="54" t="s">
        <v>55</v>
      </c>
      <c r="C598" s="55">
        <v>8609.1200000000008</v>
      </c>
      <c r="D598" s="54">
        <v>603</v>
      </c>
    </row>
    <row r="599" spans="1:4" x14ac:dyDescent="0.3">
      <c r="A599" s="53" t="s">
        <v>835</v>
      </c>
      <c r="B599" s="54" t="s">
        <v>55</v>
      </c>
      <c r="C599" s="55">
        <v>10633.37</v>
      </c>
      <c r="D599" s="54">
        <v>604</v>
      </c>
    </row>
    <row r="600" spans="1:4" x14ac:dyDescent="0.3">
      <c r="A600" s="53" t="s">
        <v>72</v>
      </c>
      <c r="B600" s="54" t="s">
        <v>55</v>
      </c>
      <c r="C600" s="55">
        <v>10330.58</v>
      </c>
      <c r="D600" s="54">
        <v>605</v>
      </c>
    </row>
    <row r="601" spans="1:4" x14ac:dyDescent="0.3">
      <c r="A601" s="53" t="s">
        <v>836</v>
      </c>
      <c r="B601" s="54" t="s">
        <v>55</v>
      </c>
      <c r="C601" s="55">
        <v>7720.38</v>
      </c>
      <c r="D601" s="54">
        <v>606</v>
      </c>
    </row>
    <row r="602" spans="1:4" x14ac:dyDescent="0.3">
      <c r="A602" s="53" t="s">
        <v>837</v>
      </c>
      <c r="B602" s="54" t="s">
        <v>55</v>
      </c>
      <c r="C602" s="55">
        <v>10847.72</v>
      </c>
      <c r="D602" s="54">
        <v>607</v>
      </c>
    </row>
    <row r="603" spans="1:4" x14ac:dyDescent="0.3">
      <c r="A603" s="53" t="s">
        <v>838</v>
      </c>
      <c r="B603" s="54" t="s">
        <v>55</v>
      </c>
      <c r="C603" s="55">
        <v>11150.17</v>
      </c>
      <c r="D603" s="54">
        <v>608</v>
      </c>
    </row>
    <row r="604" spans="1:4" x14ac:dyDescent="0.3">
      <c r="A604" s="53" t="s">
        <v>839</v>
      </c>
      <c r="B604" s="54" t="s">
        <v>55</v>
      </c>
      <c r="C604" s="55">
        <v>8845.19</v>
      </c>
      <c r="D604" s="54">
        <v>609</v>
      </c>
    </row>
    <row r="605" spans="1:4" x14ac:dyDescent="0.3">
      <c r="A605" s="53" t="s">
        <v>840</v>
      </c>
      <c r="B605" s="54" t="s">
        <v>55</v>
      </c>
      <c r="C605" s="55">
        <v>15243.28</v>
      </c>
      <c r="D605" s="54">
        <v>610</v>
      </c>
    </row>
    <row r="606" spans="1:4" x14ac:dyDescent="0.3">
      <c r="A606" s="53" t="s">
        <v>841</v>
      </c>
      <c r="B606" s="54" t="s">
        <v>55</v>
      </c>
      <c r="C606" s="55">
        <v>9447.7900000000009</v>
      </c>
      <c r="D606" s="54">
        <v>611</v>
      </c>
    </row>
    <row r="607" spans="1:4" x14ac:dyDescent="0.3">
      <c r="A607" s="53" t="s">
        <v>842</v>
      </c>
      <c r="B607" s="54" t="s">
        <v>55</v>
      </c>
      <c r="C607" s="55">
        <v>13515.93</v>
      </c>
      <c r="D607" s="54">
        <v>612</v>
      </c>
    </row>
    <row r="608" spans="1:4" x14ac:dyDescent="0.3">
      <c r="A608" s="53" t="s">
        <v>843</v>
      </c>
      <c r="B608" s="54" t="s">
        <v>55</v>
      </c>
      <c r="C608" s="55">
        <v>16426.490000000002</v>
      </c>
      <c r="D608" s="54">
        <v>613</v>
      </c>
    </row>
    <row r="609" spans="1:4" x14ac:dyDescent="0.3">
      <c r="A609" s="53" t="s">
        <v>844</v>
      </c>
      <c r="B609" s="54" t="s">
        <v>55</v>
      </c>
      <c r="C609" s="55">
        <v>8402.5400000000009</v>
      </c>
      <c r="D609" s="54">
        <v>614</v>
      </c>
    </row>
    <row r="610" spans="1:4" x14ac:dyDescent="0.3">
      <c r="A610" s="53" t="s">
        <v>845</v>
      </c>
      <c r="B610" s="54" t="s">
        <v>55</v>
      </c>
      <c r="C610" s="55">
        <v>10821.69</v>
      </c>
      <c r="D610" s="54">
        <v>615</v>
      </c>
    </row>
    <row r="611" spans="1:4" x14ac:dyDescent="0.3">
      <c r="A611" s="53" t="s">
        <v>851</v>
      </c>
      <c r="B611" s="54" t="s">
        <v>55</v>
      </c>
      <c r="C611" s="55">
        <v>13868.55</v>
      </c>
      <c r="D611" s="54">
        <v>616</v>
      </c>
    </row>
    <row r="612" spans="1:4" x14ac:dyDescent="0.3">
      <c r="A612" s="53" t="s">
        <v>852</v>
      </c>
      <c r="B612" s="54" t="s">
        <v>55</v>
      </c>
      <c r="C612" s="55">
        <v>22652.55</v>
      </c>
      <c r="D612" s="54">
        <v>617</v>
      </c>
    </row>
    <row r="613" spans="1:4" x14ac:dyDescent="0.3">
      <c r="A613" s="53" t="s">
        <v>853</v>
      </c>
      <c r="B613" s="54" t="s">
        <v>55</v>
      </c>
      <c r="C613" s="55">
        <v>48498.89</v>
      </c>
      <c r="D613" s="54">
        <v>618</v>
      </c>
    </row>
    <row r="614" spans="1:4" x14ac:dyDescent="0.3">
      <c r="A614" s="53" t="s">
        <v>854</v>
      </c>
      <c r="B614" s="54" t="s">
        <v>55</v>
      </c>
      <c r="C614" s="55">
        <v>51812.2</v>
      </c>
      <c r="D614" s="54">
        <v>619</v>
      </c>
    </row>
    <row r="615" spans="1:4" x14ac:dyDescent="0.3">
      <c r="A615" s="53" t="s">
        <v>855</v>
      </c>
      <c r="B615" s="54" t="s">
        <v>55</v>
      </c>
      <c r="C615" s="55">
        <v>4250.78</v>
      </c>
      <c r="D615" s="54">
        <v>620</v>
      </c>
    </row>
    <row r="616" spans="1:4" x14ac:dyDescent="0.3">
      <c r="A616" s="53" t="s">
        <v>856</v>
      </c>
      <c r="B616" s="54" t="s">
        <v>55</v>
      </c>
      <c r="C616" s="55">
        <v>6962.72</v>
      </c>
      <c r="D616" s="54">
        <v>621</v>
      </c>
    </row>
    <row r="617" spans="1:4" x14ac:dyDescent="0.3">
      <c r="A617" s="53" t="s">
        <v>857</v>
      </c>
      <c r="B617" s="54" t="s">
        <v>55</v>
      </c>
      <c r="C617" s="55">
        <v>7143.64</v>
      </c>
      <c r="D617" s="54">
        <v>622</v>
      </c>
    </row>
    <row r="618" spans="1:4" x14ac:dyDescent="0.3">
      <c r="A618" s="53" t="s">
        <v>858</v>
      </c>
      <c r="B618" s="54" t="s">
        <v>55</v>
      </c>
      <c r="C618" s="55">
        <v>33466.480000000003</v>
      </c>
      <c r="D618" s="54">
        <v>623</v>
      </c>
    </row>
    <row r="619" spans="1:4" x14ac:dyDescent="0.3">
      <c r="A619" s="53" t="s">
        <v>859</v>
      </c>
      <c r="B619" s="54" t="s">
        <v>55</v>
      </c>
      <c r="C619" s="55">
        <v>50511.46</v>
      </c>
      <c r="D619" s="54">
        <v>624</v>
      </c>
    </row>
    <row r="620" spans="1:4" x14ac:dyDescent="0.3">
      <c r="A620" s="53" t="s">
        <v>860</v>
      </c>
      <c r="B620" s="54" t="s">
        <v>55</v>
      </c>
      <c r="C620" s="55">
        <v>78383.77</v>
      </c>
      <c r="D620" s="54">
        <v>625</v>
      </c>
    </row>
    <row r="621" spans="1:4" x14ac:dyDescent="0.3">
      <c r="A621" s="53" t="s">
        <v>861</v>
      </c>
      <c r="B621" s="54" t="s">
        <v>55</v>
      </c>
      <c r="C621" s="55">
        <v>21369.75</v>
      </c>
      <c r="D621" s="54">
        <v>626</v>
      </c>
    </row>
    <row r="622" spans="1:4" x14ac:dyDescent="0.3">
      <c r="A622" s="53" t="s">
        <v>862</v>
      </c>
      <c r="B622" s="54" t="s">
        <v>55</v>
      </c>
      <c r="C622" s="55">
        <v>23737.4</v>
      </c>
      <c r="D622" s="54">
        <v>627</v>
      </c>
    </row>
    <row r="623" spans="1:4" x14ac:dyDescent="0.3">
      <c r="A623" s="53" t="s">
        <v>863</v>
      </c>
      <c r="B623" s="54" t="s">
        <v>55</v>
      </c>
      <c r="C623" s="55">
        <v>12592.07</v>
      </c>
      <c r="D623" s="54">
        <v>628</v>
      </c>
    </row>
    <row r="624" spans="1:4" x14ac:dyDescent="0.3">
      <c r="A624" s="53" t="s">
        <v>864</v>
      </c>
      <c r="B624" s="54" t="s">
        <v>55</v>
      </c>
      <c r="C624" s="55">
        <v>13710.72</v>
      </c>
      <c r="D624" s="54">
        <v>629</v>
      </c>
    </row>
    <row r="625" spans="1:4" x14ac:dyDescent="0.3">
      <c r="A625" s="53" t="s">
        <v>866</v>
      </c>
      <c r="B625" s="54" t="s">
        <v>55</v>
      </c>
      <c r="C625" s="55">
        <v>19600.419999999998</v>
      </c>
      <c r="D625" s="54">
        <v>630</v>
      </c>
    </row>
    <row r="626" spans="1:4" x14ac:dyDescent="0.3">
      <c r="A626" s="53" t="s">
        <v>867</v>
      </c>
      <c r="B626" s="54" t="s">
        <v>55</v>
      </c>
      <c r="C626" s="55">
        <v>20079.34</v>
      </c>
      <c r="D626" s="54">
        <v>631</v>
      </c>
    </row>
    <row r="627" spans="1:4" x14ac:dyDescent="0.3">
      <c r="A627" s="53" t="s">
        <v>870</v>
      </c>
      <c r="B627" s="54" t="s">
        <v>1276</v>
      </c>
      <c r="C627" s="55">
        <v>34206.239999999998</v>
      </c>
      <c r="D627" s="54">
        <v>632</v>
      </c>
    </row>
    <row r="628" spans="1:4" x14ac:dyDescent="0.3">
      <c r="A628" s="53" t="s">
        <v>883</v>
      </c>
      <c r="B628" s="54" t="s">
        <v>55</v>
      </c>
      <c r="C628" s="55">
        <v>21789.71</v>
      </c>
      <c r="D628" s="54">
        <v>633</v>
      </c>
    </row>
    <row r="629" spans="1:4" x14ac:dyDescent="0.3">
      <c r="A629" s="53" t="s">
        <v>2334</v>
      </c>
      <c r="B629" s="54" t="s">
        <v>55</v>
      </c>
      <c r="C629" s="55">
        <v>21298.32</v>
      </c>
      <c r="D629" s="54">
        <v>634</v>
      </c>
    </row>
    <row r="630" spans="1:4" x14ac:dyDescent="0.3">
      <c r="A630" s="53" t="s">
        <v>891</v>
      </c>
      <c r="B630" s="54" t="s">
        <v>55</v>
      </c>
      <c r="C630" s="55">
        <v>126500.29</v>
      </c>
      <c r="D630" s="54">
        <v>635</v>
      </c>
    </row>
    <row r="631" spans="1:4" x14ac:dyDescent="0.3">
      <c r="A631" s="53" t="s">
        <v>892</v>
      </c>
      <c r="B631" s="54" t="s">
        <v>55</v>
      </c>
      <c r="C631" s="55">
        <v>76003.77</v>
      </c>
      <c r="D631" s="54">
        <v>636</v>
      </c>
    </row>
    <row r="632" spans="1:4" ht="26.4" x14ac:dyDescent="0.3">
      <c r="A632" s="53" t="s">
        <v>949</v>
      </c>
      <c r="B632" s="54" t="s">
        <v>55</v>
      </c>
      <c r="C632" s="55">
        <v>653988.85</v>
      </c>
      <c r="D632" s="54">
        <v>637</v>
      </c>
    </row>
    <row r="633" spans="1:4" ht="26.4" x14ac:dyDescent="0.3">
      <c r="A633" s="53" t="s">
        <v>950</v>
      </c>
      <c r="B633" s="54" t="s">
        <v>55</v>
      </c>
      <c r="C633" s="55">
        <v>1447319.72</v>
      </c>
      <c r="D633" s="54">
        <v>638</v>
      </c>
    </row>
    <row r="634" spans="1:4" ht="26.4" x14ac:dyDescent="0.3">
      <c r="A634" s="53" t="s">
        <v>951</v>
      </c>
      <c r="B634" s="54" t="s">
        <v>55</v>
      </c>
      <c r="C634" s="55">
        <v>269064.62</v>
      </c>
      <c r="D634" s="54">
        <v>639</v>
      </c>
    </row>
    <row r="635" spans="1:4" ht="26.4" x14ac:dyDescent="0.3">
      <c r="A635" s="53" t="s">
        <v>952</v>
      </c>
      <c r="B635" s="54" t="s">
        <v>55</v>
      </c>
      <c r="C635" s="55">
        <v>424379.21</v>
      </c>
      <c r="D635" s="54">
        <v>640</v>
      </c>
    </row>
    <row r="636" spans="1:4" ht="26.4" x14ac:dyDescent="0.3">
      <c r="A636" s="53" t="s">
        <v>953</v>
      </c>
      <c r="B636" s="54" t="s">
        <v>55</v>
      </c>
      <c r="C636" s="55">
        <v>4096710.8</v>
      </c>
      <c r="D636" s="54">
        <v>641</v>
      </c>
    </row>
    <row r="637" spans="1:4" x14ac:dyDescent="0.3">
      <c r="A637" s="53" t="s">
        <v>955</v>
      </c>
      <c r="B637" s="54" t="s">
        <v>55</v>
      </c>
      <c r="C637" s="55">
        <v>31710.32</v>
      </c>
      <c r="D637" s="54">
        <v>642</v>
      </c>
    </row>
    <row r="638" spans="1:4" x14ac:dyDescent="0.3">
      <c r="A638" s="53" t="s">
        <v>956</v>
      </c>
      <c r="B638" s="54" t="s">
        <v>55</v>
      </c>
      <c r="C638" s="55">
        <v>37853.07</v>
      </c>
      <c r="D638" s="54">
        <v>643</v>
      </c>
    </row>
    <row r="639" spans="1:4" x14ac:dyDescent="0.3">
      <c r="A639" s="53" t="s">
        <v>967</v>
      </c>
      <c r="B639" s="54" t="s">
        <v>55</v>
      </c>
      <c r="C639" s="55">
        <v>18437.07</v>
      </c>
      <c r="D639" s="54">
        <v>644</v>
      </c>
    </row>
    <row r="640" spans="1:4" x14ac:dyDescent="0.3">
      <c r="A640" s="53" t="s">
        <v>1050</v>
      </c>
      <c r="B640" s="54" t="s">
        <v>1270</v>
      </c>
      <c r="C640" s="55">
        <v>9322.89</v>
      </c>
      <c r="D640" s="54">
        <v>645</v>
      </c>
    </row>
    <row r="641" spans="1:4" x14ac:dyDescent="0.3">
      <c r="A641" s="53" t="s">
        <v>1054</v>
      </c>
      <c r="B641" s="54" t="s">
        <v>1276</v>
      </c>
      <c r="C641" s="55">
        <v>53120.160000000003</v>
      </c>
      <c r="D641" s="54">
        <v>646</v>
      </c>
    </row>
    <row r="642" spans="1:4" x14ac:dyDescent="0.3">
      <c r="A642" s="53" t="s">
        <v>1062</v>
      </c>
      <c r="B642" s="54" t="s">
        <v>55</v>
      </c>
      <c r="C642" s="55">
        <v>635.47</v>
      </c>
      <c r="D642" s="54">
        <v>647</v>
      </c>
    </row>
    <row r="643" spans="1:4" x14ac:dyDescent="0.3">
      <c r="A643" s="53" t="s">
        <v>1061</v>
      </c>
      <c r="B643" s="54" t="s">
        <v>55</v>
      </c>
      <c r="C643" s="55">
        <v>384.06</v>
      </c>
      <c r="D643" s="54">
        <v>648</v>
      </c>
    </row>
    <row r="644" spans="1:4" x14ac:dyDescent="0.3">
      <c r="A644" s="53" t="s">
        <v>1064</v>
      </c>
      <c r="B644" s="54" t="s">
        <v>55</v>
      </c>
      <c r="C644" s="55">
        <v>433.9</v>
      </c>
      <c r="D644" s="54">
        <v>649</v>
      </c>
    </row>
    <row r="645" spans="1:4" x14ac:dyDescent="0.3">
      <c r="A645" s="53" t="s">
        <v>1063</v>
      </c>
      <c r="B645" s="54" t="s">
        <v>55</v>
      </c>
      <c r="C645" s="55">
        <v>326.94</v>
      </c>
      <c r="D645" s="54">
        <v>650</v>
      </c>
    </row>
    <row r="646" spans="1:4" x14ac:dyDescent="0.3">
      <c r="A646" s="53" t="s">
        <v>1065</v>
      </c>
      <c r="B646" s="54" t="s">
        <v>55</v>
      </c>
      <c r="C646" s="55">
        <v>397.48</v>
      </c>
      <c r="D646" s="54">
        <v>651</v>
      </c>
    </row>
    <row r="647" spans="1:4" x14ac:dyDescent="0.3">
      <c r="A647" s="53" t="s">
        <v>1068</v>
      </c>
      <c r="B647" s="54" t="s">
        <v>55</v>
      </c>
      <c r="C647" s="55">
        <v>258.14</v>
      </c>
      <c r="D647" s="54">
        <v>652</v>
      </c>
    </row>
    <row r="648" spans="1:4" x14ac:dyDescent="0.3">
      <c r="A648" s="53" t="s">
        <v>1067</v>
      </c>
      <c r="B648" s="54" t="s">
        <v>55</v>
      </c>
      <c r="C648" s="55">
        <v>294.19</v>
      </c>
      <c r="D648" s="54">
        <v>653</v>
      </c>
    </row>
    <row r="649" spans="1:4" x14ac:dyDescent="0.3">
      <c r="A649" s="53" t="s">
        <v>1066</v>
      </c>
      <c r="B649" s="54" t="s">
        <v>55</v>
      </c>
      <c r="C649" s="55">
        <v>410.23</v>
      </c>
      <c r="D649" s="54">
        <v>654</v>
      </c>
    </row>
    <row r="650" spans="1:4" x14ac:dyDescent="0.3">
      <c r="A650" s="53" t="s">
        <v>1069</v>
      </c>
      <c r="B650" s="54" t="s">
        <v>55</v>
      </c>
      <c r="C650" s="55">
        <v>115.43</v>
      </c>
      <c r="D650" s="54">
        <v>655</v>
      </c>
    </row>
    <row r="651" spans="1:4" x14ac:dyDescent="0.3">
      <c r="A651" s="53" t="s">
        <v>1071</v>
      </c>
      <c r="B651" s="54" t="s">
        <v>55</v>
      </c>
      <c r="C651" s="55">
        <v>163.07</v>
      </c>
      <c r="D651" s="54">
        <v>656</v>
      </c>
    </row>
    <row r="652" spans="1:4" x14ac:dyDescent="0.3">
      <c r="A652" s="53" t="s">
        <v>1072</v>
      </c>
      <c r="B652" s="54" t="s">
        <v>55</v>
      </c>
      <c r="C652" s="55">
        <v>165.59</v>
      </c>
      <c r="D652" s="54">
        <v>657</v>
      </c>
    </row>
    <row r="653" spans="1:4" x14ac:dyDescent="0.3">
      <c r="A653" s="53" t="s">
        <v>1070</v>
      </c>
      <c r="B653" s="54" t="s">
        <v>55</v>
      </c>
      <c r="C653" s="55">
        <v>422.13</v>
      </c>
      <c r="D653" s="54">
        <v>658</v>
      </c>
    </row>
    <row r="654" spans="1:4" x14ac:dyDescent="0.3">
      <c r="A654" s="53" t="s">
        <v>1077</v>
      </c>
      <c r="B654" s="54" t="s">
        <v>55</v>
      </c>
      <c r="C654" s="55">
        <v>171.13</v>
      </c>
      <c r="D654" s="54">
        <v>659</v>
      </c>
    </row>
    <row r="655" spans="1:4" x14ac:dyDescent="0.3">
      <c r="A655" s="53" t="s">
        <v>1076</v>
      </c>
      <c r="B655" s="54" t="s">
        <v>55</v>
      </c>
      <c r="C655" s="55">
        <v>205.84</v>
      </c>
      <c r="D655" s="54">
        <v>660</v>
      </c>
    </row>
    <row r="656" spans="1:4" x14ac:dyDescent="0.3">
      <c r="A656" s="53" t="s">
        <v>1078</v>
      </c>
      <c r="B656" s="54" t="s">
        <v>55</v>
      </c>
      <c r="C656" s="55">
        <v>191</v>
      </c>
      <c r="D656" s="54">
        <v>661</v>
      </c>
    </row>
    <row r="657" spans="1:4" x14ac:dyDescent="0.3">
      <c r="A657" s="53" t="s">
        <v>1084</v>
      </c>
      <c r="B657" s="54" t="s">
        <v>55</v>
      </c>
      <c r="C657" s="55">
        <v>153.21</v>
      </c>
      <c r="D657" s="54">
        <v>662</v>
      </c>
    </row>
    <row r="658" spans="1:4" x14ac:dyDescent="0.3">
      <c r="A658" s="53" t="s">
        <v>2335</v>
      </c>
      <c r="B658" s="54" t="s">
        <v>55</v>
      </c>
      <c r="C658" s="55">
        <v>179.46</v>
      </c>
      <c r="D658" s="54">
        <v>663</v>
      </c>
    </row>
    <row r="659" spans="1:4" x14ac:dyDescent="0.3">
      <c r="A659" s="53" t="s">
        <v>1079</v>
      </c>
      <c r="B659" s="54" t="s">
        <v>55</v>
      </c>
      <c r="C659" s="55">
        <v>1603.7</v>
      </c>
      <c r="D659" s="54">
        <v>664</v>
      </c>
    </row>
    <row r="660" spans="1:4" x14ac:dyDescent="0.3">
      <c r="A660" s="53" t="s">
        <v>1082</v>
      </c>
      <c r="B660" s="54" t="s">
        <v>55</v>
      </c>
      <c r="C660" s="55">
        <v>42.44</v>
      </c>
      <c r="D660" s="54">
        <v>665</v>
      </c>
    </row>
    <row r="661" spans="1:4" x14ac:dyDescent="0.3">
      <c r="A661" s="53" t="s">
        <v>1081</v>
      </c>
      <c r="B661" s="54" t="s">
        <v>55</v>
      </c>
      <c r="C661" s="55">
        <v>786.64</v>
      </c>
      <c r="D661" s="54">
        <v>666</v>
      </c>
    </row>
    <row r="662" spans="1:4" x14ac:dyDescent="0.3">
      <c r="A662" s="53" t="s">
        <v>1080</v>
      </c>
      <c r="B662" s="54" t="s">
        <v>55</v>
      </c>
      <c r="C662" s="55">
        <v>692.42</v>
      </c>
      <c r="D662" s="54">
        <v>667</v>
      </c>
    </row>
    <row r="663" spans="1:4" x14ac:dyDescent="0.3">
      <c r="A663" s="53" t="s">
        <v>2336</v>
      </c>
      <c r="B663" s="54" t="s">
        <v>55</v>
      </c>
      <c r="C663" s="55">
        <v>1325.99</v>
      </c>
      <c r="D663" s="54">
        <v>668</v>
      </c>
    </row>
    <row r="664" spans="1:4" x14ac:dyDescent="0.3">
      <c r="A664" s="53" t="s">
        <v>1086</v>
      </c>
      <c r="B664" s="54" t="s">
        <v>55</v>
      </c>
      <c r="C664" s="55">
        <v>995.62</v>
      </c>
      <c r="D664" s="54">
        <v>669</v>
      </c>
    </row>
    <row r="665" spans="1:4" x14ac:dyDescent="0.3">
      <c r="A665" s="53" t="s">
        <v>1087</v>
      </c>
      <c r="B665" s="54" t="s">
        <v>55</v>
      </c>
      <c r="C665" s="55">
        <v>8096.99</v>
      </c>
      <c r="D665" s="54">
        <v>670</v>
      </c>
    </row>
    <row r="666" spans="1:4" x14ac:dyDescent="0.3">
      <c r="A666" s="53" t="s">
        <v>1090</v>
      </c>
      <c r="B666" s="54" t="s">
        <v>55</v>
      </c>
      <c r="C666" s="55">
        <v>893.78</v>
      </c>
      <c r="D666" s="54">
        <v>671</v>
      </c>
    </row>
    <row r="667" spans="1:4" x14ac:dyDescent="0.3">
      <c r="A667" s="53" t="s">
        <v>1089</v>
      </c>
      <c r="B667" s="54" t="s">
        <v>55</v>
      </c>
      <c r="C667" s="55">
        <v>384.59</v>
      </c>
      <c r="D667" s="54">
        <v>672</v>
      </c>
    </row>
    <row r="668" spans="1:4" x14ac:dyDescent="0.3">
      <c r="A668" s="53" t="s">
        <v>1088</v>
      </c>
      <c r="B668" s="54" t="s">
        <v>55</v>
      </c>
      <c r="C668" s="55">
        <v>341.42</v>
      </c>
      <c r="D668" s="54">
        <v>673</v>
      </c>
    </row>
    <row r="669" spans="1:4" x14ac:dyDescent="0.3">
      <c r="A669" s="53" t="s">
        <v>1091</v>
      </c>
      <c r="B669" s="54" t="s">
        <v>55</v>
      </c>
      <c r="C669" s="55">
        <v>464.77</v>
      </c>
      <c r="D669" s="54">
        <v>674</v>
      </c>
    </row>
    <row r="670" spans="1:4" x14ac:dyDescent="0.3">
      <c r="A670" s="53" t="s">
        <v>1074</v>
      </c>
      <c r="B670" s="54" t="s">
        <v>55</v>
      </c>
      <c r="C670" s="55">
        <v>145.66999999999999</v>
      </c>
      <c r="D670" s="54">
        <v>675</v>
      </c>
    </row>
    <row r="671" spans="1:4" x14ac:dyDescent="0.3">
      <c r="A671" s="53" t="s">
        <v>1075</v>
      </c>
      <c r="B671" s="54" t="s">
        <v>55</v>
      </c>
      <c r="C671" s="55">
        <v>259.52999999999997</v>
      </c>
      <c r="D671" s="54">
        <v>676</v>
      </c>
    </row>
    <row r="672" spans="1:4" x14ac:dyDescent="0.3">
      <c r="A672" s="53" t="s">
        <v>1073</v>
      </c>
      <c r="B672" s="54" t="s">
        <v>55</v>
      </c>
      <c r="C672" s="55">
        <v>170.37</v>
      </c>
      <c r="D672" s="54">
        <v>677</v>
      </c>
    </row>
    <row r="673" spans="1:4" x14ac:dyDescent="0.3">
      <c r="A673" s="53" t="s">
        <v>1153</v>
      </c>
      <c r="B673" s="54" t="s">
        <v>55</v>
      </c>
      <c r="C673" s="55">
        <v>2574.09</v>
      </c>
      <c r="D673" s="54">
        <v>678</v>
      </c>
    </row>
    <row r="674" spans="1:4" x14ac:dyDescent="0.3">
      <c r="A674" s="53" t="s">
        <v>1154</v>
      </c>
      <c r="B674" s="54" t="s">
        <v>55</v>
      </c>
      <c r="C674" s="55">
        <v>1561.78</v>
      </c>
      <c r="D674" s="54">
        <v>679</v>
      </c>
    </row>
    <row r="675" spans="1:4" x14ac:dyDescent="0.3">
      <c r="A675" s="53" t="s">
        <v>1155</v>
      </c>
      <c r="B675" s="54" t="s">
        <v>55</v>
      </c>
      <c r="C675" s="55">
        <v>337.23</v>
      </c>
      <c r="D675" s="54">
        <v>680</v>
      </c>
    </row>
    <row r="676" spans="1:4" x14ac:dyDescent="0.3">
      <c r="A676" s="53" t="s">
        <v>1156</v>
      </c>
      <c r="B676" s="54" t="s">
        <v>55</v>
      </c>
      <c r="C676" s="55">
        <v>938.79</v>
      </c>
      <c r="D676" s="54">
        <v>681</v>
      </c>
    </row>
    <row r="677" spans="1:4" x14ac:dyDescent="0.3">
      <c r="A677" s="53" t="s">
        <v>1157</v>
      </c>
      <c r="B677" s="54" t="s">
        <v>55</v>
      </c>
      <c r="C677" s="55">
        <v>347.76</v>
      </c>
      <c r="D677" s="54">
        <v>682</v>
      </c>
    </row>
    <row r="678" spans="1:4" x14ac:dyDescent="0.3">
      <c r="A678" s="53" t="s">
        <v>1158</v>
      </c>
      <c r="B678" s="54" t="s">
        <v>55</v>
      </c>
      <c r="C678" s="55">
        <v>3095.03</v>
      </c>
      <c r="D678" s="54">
        <v>683</v>
      </c>
    </row>
    <row r="679" spans="1:4" x14ac:dyDescent="0.3">
      <c r="A679" s="53" t="s">
        <v>1159</v>
      </c>
      <c r="B679" s="54" t="s">
        <v>55</v>
      </c>
      <c r="C679" s="55">
        <v>1533.53</v>
      </c>
      <c r="D679" s="54">
        <v>684</v>
      </c>
    </row>
    <row r="680" spans="1:4" x14ac:dyDescent="0.3">
      <c r="A680" s="53" t="s">
        <v>2205</v>
      </c>
      <c r="B680" s="54" t="s">
        <v>55</v>
      </c>
      <c r="C680" s="55">
        <v>73221.19</v>
      </c>
      <c r="D680" s="54">
        <v>685</v>
      </c>
    </row>
    <row r="681" spans="1:4" x14ac:dyDescent="0.3">
      <c r="A681" s="53" t="s">
        <v>2206</v>
      </c>
      <c r="B681" s="54" t="s">
        <v>55</v>
      </c>
      <c r="C681" s="55">
        <v>117395.98</v>
      </c>
      <c r="D681" s="54">
        <v>686</v>
      </c>
    </row>
    <row r="682" spans="1:4" x14ac:dyDescent="0.3">
      <c r="A682" s="53" t="s">
        <v>1216</v>
      </c>
      <c r="B682" s="54" t="s">
        <v>55</v>
      </c>
      <c r="C682" s="55">
        <v>23773.89</v>
      </c>
      <c r="D682" s="54">
        <v>687</v>
      </c>
    </row>
    <row r="683" spans="1:4" x14ac:dyDescent="0.3">
      <c r="A683" s="53" t="s">
        <v>1217</v>
      </c>
      <c r="B683" s="54" t="s">
        <v>55</v>
      </c>
      <c r="C683" s="55">
        <v>9025.3700000000008</v>
      </c>
      <c r="D683" s="54">
        <v>688</v>
      </c>
    </row>
    <row r="684" spans="1:4" x14ac:dyDescent="0.3">
      <c r="A684" s="53" t="s">
        <v>1218</v>
      </c>
      <c r="B684" s="54" t="s">
        <v>55</v>
      </c>
      <c r="C684" s="55">
        <v>13091.99</v>
      </c>
      <c r="D684" s="54">
        <v>689</v>
      </c>
    </row>
    <row r="685" spans="1:4" x14ac:dyDescent="0.3">
      <c r="A685" s="53" t="s">
        <v>1219</v>
      </c>
      <c r="B685" s="54" t="s">
        <v>55</v>
      </c>
      <c r="C685" s="55">
        <v>6583.45</v>
      </c>
      <c r="D685" s="54">
        <v>690</v>
      </c>
    </row>
    <row r="686" spans="1:4" x14ac:dyDescent="0.3">
      <c r="A686" s="53" t="s">
        <v>1220</v>
      </c>
      <c r="B686" s="54" t="s">
        <v>55</v>
      </c>
      <c r="C686" s="55">
        <v>4255.93</v>
      </c>
      <c r="D686" s="54">
        <v>691</v>
      </c>
    </row>
    <row r="687" spans="1:4" x14ac:dyDescent="0.3">
      <c r="A687" s="53" t="s">
        <v>1221</v>
      </c>
      <c r="B687" s="54" t="s">
        <v>55</v>
      </c>
      <c r="C687" s="55">
        <v>6090.28</v>
      </c>
      <c r="D687" s="54">
        <v>692</v>
      </c>
    </row>
    <row r="688" spans="1:4" x14ac:dyDescent="0.3">
      <c r="A688" s="53" t="s">
        <v>1222</v>
      </c>
      <c r="B688" s="54" t="s">
        <v>55</v>
      </c>
      <c r="C688" s="55">
        <v>5961.88</v>
      </c>
      <c r="D688" s="54">
        <v>693</v>
      </c>
    </row>
    <row r="689" spans="1:4" x14ac:dyDescent="0.3">
      <c r="A689" s="53" t="s">
        <v>1223</v>
      </c>
      <c r="B689" s="54" t="s">
        <v>55</v>
      </c>
      <c r="C689" s="55">
        <v>4045.65</v>
      </c>
      <c r="D689" s="54">
        <v>694</v>
      </c>
    </row>
    <row r="690" spans="1:4" x14ac:dyDescent="0.3">
      <c r="A690" s="53" t="s">
        <v>1224</v>
      </c>
      <c r="B690" s="54" t="s">
        <v>55</v>
      </c>
      <c r="C690" s="55">
        <v>6232.12</v>
      </c>
      <c r="D690" s="54">
        <v>695</v>
      </c>
    </row>
    <row r="691" spans="1:4" x14ac:dyDescent="0.3">
      <c r="A691" s="53" t="s">
        <v>1225</v>
      </c>
      <c r="B691" s="54" t="s">
        <v>55</v>
      </c>
      <c r="C691" s="55">
        <v>12180.06</v>
      </c>
      <c r="D691" s="54">
        <v>696</v>
      </c>
    </row>
    <row r="692" spans="1:4" x14ac:dyDescent="0.3">
      <c r="A692" s="53" t="s">
        <v>1226</v>
      </c>
      <c r="B692" s="54" t="s">
        <v>55</v>
      </c>
      <c r="C692" s="55">
        <v>8264.2000000000007</v>
      </c>
      <c r="D692" s="54">
        <v>697</v>
      </c>
    </row>
    <row r="693" spans="1:4" x14ac:dyDescent="0.3">
      <c r="A693" s="53" t="s">
        <v>1227</v>
      </c>
      <c r="B693" s="54" t="s">
        <v>55</v>
      </c>
      <c r="C693" s="55">
        <v>8989.2800000000007</v>
      </c>
      <c r="D693" s="54">
        <v>698</v>
      </c>
    </row>
    <row r="694" spans="1:4" x14ac:dyDescent="0.3">
      <c r="A694" s="53" t="s">
        <v>1228</v>
      </c>
      <c r="B694" s="54" t="s">
        <v>55</v>
      </c>
      <c r="C694" s="55">
        <v>13244.11</v>
      </c>
      <c r="D694" s="54">
        <v>699</v>
      </c>
    </row>
    <row r="695" spans="1:4" x14ac:dyDescent="0.3">
      <c r="A695" s="53" t="s">
        <v>1229</v>
      </c>
      <c r="B695" s="54" t="s">
        <v>55</v>
      </c>
      <c r="C695" s="55">
        <v>5169.9799999999996</v>
      </c>
      <c r="D695" s="54">
        <v>700</v>
      </c>
    </row>
    <row r="696" spans="1:4" x14ac:dyDescent="0.3">
      <c r="A696" s="53" t="s">
        <v>1230</v>
      </c>
      <c r="B696" s="54" t="s">
        <v>55</v>
      </c>
      <c r="C696" s="55">
        <v>6707.48</v>
      </c>
      <c r="D696" s="54">
        <v>701</v>
      </c>
    </row>
    <row r="697" spans="1:4" x14ac:dyDescent="0.3">
      <c r="A697" s="53" t="s">
        <v>1243</v>
      </c>
      <c r="B697" s="54" t="s">
        <v>55</v>
      </c>
      <c r="C697" s="55">
        <v>943082.1</v>
      </c>
      <c r="D697" s="54">
        <v>702</v>
      </c>
    </row>
    <row r="698" spans="1:4" x14ac:dyDescent="0.3">
      <c r="A698" s="53" t="s">
        <v>2207</v>
      </c>
      <c r="B698" s="54" t="s">
        <v>2145</v>
      </c>
      <c r="C698" s="55">
        <v>27013.62</v>
      </c>
      <c r="D698" s="54">
        <v>704</v>
      </c>
    </row>
    <row r="699" spans="1:4" x14ac:dyDescent="0.3">
      <c r="A699" s="53" t="s">
        <v>243</v>
      </c>
      <c r="B699" s="54" t="s">
        <v>55</v>
      </c>
      <c r="C699" s="55">
        <v>13400.41</v>
      </c>
      <c r="D699" s="54">
        <v>705</v>
      </c>
    </row>
    <row r="700" spans="1:4" x14ac:dyDescent="0.3">
      <c r="A700" s="53" t="s">
        <v>244</v>
      </c>
      <c r="B700" s="54" t="s">
        <v>55</v>
      </c>
      <c r="C700" s="55">
        <v>20371.7</v>
      </c>
      <c r="D700" s="54">
        <v>706</v>
      </c>
    </row>
    <row r="701" spans="1:4" x14ac:dyDescent="0.3">
      <c r="A701" s="53" t="s">
        <v>245</v>
      </c>
      <c r="B701" s="54" t="s">
        <v>55</v>
      </c>
      <c r="C701" s="55">
        <v>17059.419999999998</v>
      </c>
      <c r="D701" s="54">
        <v>707</v>
      </c>
    </row>
    <row r="702" spans="1:4" x14ac:dyDescent="0.3">
      <c r="A702" s="53" t="s">
        <v>246</v>
      </c>
      <c r="B702" s="54" t="s">
        <v>55</v>
      </c>
      <c r="C702" s="55">
        <v>11321.72</v>
      </c>
      <c r="D702" s="54">
        <v>708</v>
      </c>
    </row>
    <row r="703" spans="1:4" x14ac:dyDescent="0.3">
      <c r="A703" s="53" t="s">
        <v>247</v>
      </c>
      <c r="B703" s="54" t="s">
        <v>55</v>
      </c>
      <c r="C703" s="55">
        <v>16336.09</v>
      </c>
      <c r="D703" s="54">
        <v>709</v>
      </c>
    </row>
    <row r="704" spans="1:4" x14ac:dyDescent="0.3">
      <c r="A704" s="53" t="s">
        <v>248</v>
      </c>
      <c r="B704" s="54" t="s">
        <v>55</v>
      </c>
      <c r="C704" s="55">
        <v>15621.7</v>
      </c>
      <c r="D704" s="54">
        <v>710</v>
      </c>
    </row>
    <row r="705" spans="1:4" x14ac:dyDescent="0.3">
      <c r="A705" s="53" t="s">
        <v>249</v>
      </c>
      <c r="B705" s="54" t="s">
        <v>55</v>
      </c>
      <c r="C705" s="55">
        <v>12889.58</v>
      </c>
      <c r="D705" s="54">
        <v>711</v>
      </c>
    </row>
    <row r="706" spans="1:4" x14ac:dyDescent="0.3">
      <c r="A706" s="53" t="s">
        <v>250</v>
      </c>
      <c r="B706" s="54" t="s">
        <v>55</v>
      </c>
      <c r="C706" s="55">
        <v>17675.98</v>
      </c>
      <c r="D706" s="54">
        <v>712</v>
      </c>
    </row>
    <row r="707" spans="1:4" x14ac:dyDescent="0.3">
      <c r="A707" s="53" t="s">
        <v>251</v>
      </c>
      <c r="B707" s="54" t="s">
        <v>55</v>
      </c>
      <c r="C707" s="55">
        <v>14530.08</v>
      </c>
      <c r="D707" s="54">
        <v>713</v>
      </c>
    </row>
    <row r="708" spans="1:4" x14ac:dyDescent="0.3">
      <c r="A708" s="53" t="s">
        <v>252</v>
      </c>
      <c r="B708" s="54" t="s">
        <v>55</v>
      </c>
      <c r="C708" s="55">
        <v>8078.38</v>
      </c>
      <c r="D708" s="54">
        <v>714</v>
      </c>
    </row>
    <row r="709" spans="1:4" x14ac:dyDescent="0.3">
      <c r="A709" s="53" t="s">
        <v>253</v>
      </c>
      <c r="B709" s="54" t="s">
        <v>55</v>
      </c>
      <c r="C709" s="55">
        <v>6886.49</v>
      </c>
      <c r="D709" s="54">
        <v>715</v>
      </c>
    </row>
    <row r="710" spans="1:4" x14ac:dyDescent="0.3">
      <c r="A710" s="53" t="s">
        <v>254</v>
      </c>
      <c r="B710" s="54" t="s">
        <v>55</v>
      </c>
      <c r="C710" s="55">
        <v>13738.65</v>
      </c>
      <c r="D710" s="54">
        <v>716</v>
      </c>
    </row>
    <row r="711" spans="1:4" x14ac:dyDescent="0.3">
      <c r="A711" s="53" t="s">
        <v>255</v>
      </c>
      <c r="B711" s="54" t="s">
        <v>55</v>
      </c>
      <c r="C711" s="55">
        <v>12843.03</v>
      </c>
      <c r="D711" s="54">
        <v>717</v>
      </c>
    </row>
    <row r="712" spans="1:4" x14ac:dyDescent="0.3">
      <c r="A712" s="53" t="s">
        <v>256</v>
      </c>
      <c r="B712" s="54" t="s">
        <v>55</v>
      </c>
      <c r="C712" s="55">
        <v>10419.58</v>
      </c>
      <c r="D712" s="54">
        <v>718</v>
      </c>
    </row>
    <row r="713" spans="1:4" x14ac:dyDescent="0.3">
      <c r="A713" s="53" t="s">
        <v>257</v>
      </c>
      <c r="B713" s="54" t="s">
        <v>55</v>
      </c>
      <c r="C713" s="55">
        <v>7272.85</v>
      </c>
      <c r="D713" s="54">
        <v>719</v>
      </c>
    </row>
    <row r="714" spans="1:4" x14ac:dyDescent="0.3">
      <c r="A714" s="53" t="s">
        <v>258</v>
      </c>
      <c r="B714" s="54" t="s">
        <v>55</v>
      </c>
      <c r="C714" s="55">
        <v>9916.94</v>
      </c>
      <c r="D714" s="54">
        <v>720</v>
      </c>
    </row>
    <row r="715" spans="1:4" x14ac:dyDescent="0.3">
      <c r="A715" s="53" t="s">
        <v>259</v>
      </c>
      <c r="B715" s="54" t="s">
        <v>55</v>
      </c>
      <c r="C715" s="55">
        <v>10512.15</v>
      </c>
      <c r="D715" s="54">
        <v>721</v>
      </c>
    </row>
    <row r="716" spans="1:4" x14ac:dyDescent="0.3">
      <c r="A716" s="53" t="s">
        <v>260</v>
      </c>
      <c r="B716" s="54" t="s">
        <v>55</v>
      </c>
      <c r="C716" s="55">
        <v>12921.78</v>
      </c>
      <c r="D716" s="54">
        <v>722</v>
      </c>
    </row>
    <row r="717" spans="1:4" x14ac:dyDescent="0.3">
      <c r="A717" s="53" t="s">
        <v>261</v>
      </c>
      <c r="B717" s="54" t="s">
        <v>55</v>
      </c>
      <c r="C717" s="55">
        <v>17581.13</v>
      </c>
      <c r="D717" s="54">
        <v>723</v>
      </c>
    </row>
    <row r="718" spans="1:4" x14ac:dyDescent="0.3">
      <c r="A718" s="53" t="s">
        <v>262</v>
      </c>
      <c r="B718" s="54" t="s">
        <v>55</v>
      </c>
      <c r="C718" s="55">
        <v>17815.38</v>
      </c>
      <c r="D718" s="54">
        <v>724</v>
      </c>
    </row>
    <row r="719" spans="1:4" x14ac:dyDescent="0.3">
      <c r="A719" s="53" t="s">
        <v>362</v>
      </c>
      <c r="B719" s="54" t="s">
        <v>1270</v>
      </c>
      <c r="C719" s="55">
        <v>2361.19</v>
      </c>
      <c r="D719" s="54">
        <v>725</v>
      </c>
    </row>
    <row r="720" spans="1:4" x14ac:dyDescent="0.3">
      <c r="A720" s="53" t="s">
        <v>363</v>
      </c>
      <c r="B720" s="54" t="s">
        <v>1270</v>
      </c>
      <c r="C720" s="55">
        <v>9980.98</v>
      </c>
      <c r="D720" s="54">
        <v>726</v>
      </c>
    </row>
    <row r="721" spans="1:4" x14ac:dyDescent="0.3">
      <c r="A721" s="53" t="s">
        <v>364</v>
      </c>
      <c r="B721" s="54" t="s">
        <v>1270</v>
      </c>
      <c r="C721" s="55">
        <v>6644.91</v>
      </c>
      <c r="D721" s="54">
        <v>727</v>
      </c>
    </row>
    <row r="722" spans="1:4" x14ac:dyDescent="0.3">
      <c r="A722" s="53" t="s">
        <v>365</v>
      </c>
      <c r="B722" s="54" t="s">
        <v>1270</v>
      </c>
      <c r="C722" s="55">
        <v>11308.94</v>
      </c>
      <c r="D722" s="54">
        <v>728</v>
      </c>
    </row>
    <row r="723" spans="1:4" x14ac:dyDescent="0.3">
      <c r="A723" s="53" t="s">
        <v>366</v>
      </c>
      <c r="B723" s="54" t="s">
        <v>1270</v>
      </c>
      <c r="C723" s="55">
        <v>15423.94</v>
      </c>
      <c r="D723" s="54">
        <v>729</v>
      </c>
    </row>
    <row r="724" spans="1:4" x14ac:dyDescent="0.3">
      <c r="A724" s="53" t="s">
        <v>803</v>
      </c>
      <c r="B724" s="54" t="s">
        <v>55</v>
      </c>
      <c r="C724" s="55">
        <v>30937.21</v>
      </c>
      <c r="D724" s="54">
        <v>730</v>
      </c>
    </row>
    <row r="725" spans="1:4" x14ac:dyDescent="0.3">
      <c r="A725" s="53" t="s">
        <v>802</v>
      </c>
      <c r="B725" s="54" t="s">
        <v>55</v>
      </c>
      <c r="C725" s="55">
        <v>28735</v>
      </c>
      <c r="D725" s="54">
        <v>731</v>
      </c>
    </row>
    <row r="726" spans="1:4" x14ac:dyDescent="0.3">
      <c r="A726" s="53" t="s">
        <v>889</v>
      </c>
      <c r="B726" s="54" t="s">
        <v>2145</v>
      </c>
      <c r="C726" s="55">
        <v>31609.72</v>
      </c>
      <c r="D726" s="54">
        <v>732</v>
      </c>
    </row>
    <row r="727" spans="1:4" x14ac:dyDescent="0.3">
      <c r="A727" s="53" t="s">
        <v>890</v>
      </c>
      <c r="B727" s="54" t="s">
        <v>2145</v>
      </c>
      <c r="C727" s="55">
        <v>38951.11</v>
      </c>
      <c r="D727" s="54">
        <v>733</v>
      </c>
    </row>
    <row r="728" spans="1:4" x14ac:dyDescent="0.3">
      <c r="A728" s="53" t="s">
        <v>587</v>
      </c>
      <c r="B728" s="54" t="s">
        <v>2208</v>
      </c>
      <c r="C728" s="55">
        <v>41084.47</v>
      </c>
      <c r="D728" s="54">
        <v>734</v>
      </c>
    </row>
    <row r="729" spans="1:4" x14ac:dyDescent="0.3">
      <c r="A729" s="53" t="s">
        <v>704</v>
      </c>
      <c r="B729" s="54" t="s">
        <v>55</v>
      </c>
      <c r="C729" s="55">
        <v>70894.429999999993</v>
      </c>
      <c r="D729" s="54">
        <v>735</v>
      </c>
    </row>
    <row r="730" spans="1:4" x14ac:dyDescent="0.3">
      <c r="A730" s="53" t="s">
        <v>705</v>
      </c>
      <c r="B730" s="54" t="s">
        <v>55</v>
      </c>
      <c r="C730" s="55">
        <v>53435.98</v>
      </c>
      <c r="D730" s="54">
        <v>736</v>
      </c>
    </row>
    <row r="731" spans="1:4" x14ac:dyDescent="0.3">
      <c r="A731" s="53" t="s">
        <v>706</v>
      </c>
      <c r="B731" s="54" t="s">
        <v>55</v>
      </c>
      <c r="C731" s="55">
        <v>72656.73</v>
      </c>
      <c r="D731" s="54">
        <v>737</v>
      </c>
    </row>
    <row r="732" spans="1:4" x14ac:dyDescent="0.3">
      <c r="A732" s="53" t="s">
        <v>707</v>
      </c>
      <c r="B732" s="54" t="s">
        <v>55</v>
      </c>
      <c r="C732" s="55">
        <v>14487.89</v>
      </c>
      <c r="D732" s="54">
        <v>738</v>
      </c>
    </row>
    <row r="733" spans="1:4" x14ac:dyDescent="0.3">
      <c r="A733" s="53" t="s">
        <v>743</v>
      </c>
      <c r="B733" s="54" t="s">
        <v>1278</v>
      </c>
      <c r="C733" s="55">
        <v>14396.69</v>
      </c>
      <c r="D733" s="54">
        <v>739</v>
      </c>
    </row>
    <row r="734" spans="1:4" x14ac:dyDescent="0.3">
      <c r="A734" s="53" t="s">
        <v>700</v>
      </c>
      <c r="B734" s="54" t="s">
        <v>55</v>
      </c>
      <c r="C734" s="55">
        <v>101605.61</v>
      </c>
      <c r="D734" s="54">
        <v>740</v>
      </c>
    </row>
    <row r="735" spans="1:4" x14ac:dyDescent="0.3">
      <c r="A735" s="53" t="s">
        <v>75</v>
      </c>
      <c r="B735" s="54" t="s">
        <v>1274</v>
      </c>
      <c r="C735" s="55">
        <v>45829.21</v>
      </c>
      <c r="D735" s="54">
        <v>741</v>
      </c>
    </row>
    <row r="736" spans="1:4" x14ac:dyDescent="0.3">
      <c r="A736" s="53" t="s">
        <v>199</v>
      </c>
      <c r="B736" s="54" t="s">
        <v>55</v>
      </c>
      <c r="C736" s="55">
        <v>8113.37</v>
      </c>
      <c r="D736" s="54">
        <v>742</v>
      </c>
    </row>
    <row r="737" spans="1:4" x14ac:dyDescent="0.3">
      <c r="A737" s="53" t="s">
        <v>2337</v>
      </c>
      <c r="B737" s="54" t="s">
        <v>55</v>
      </c>
      <c r="C737" s="55">
        <v>3423.82</v>
      </c>
      <c r="D737" s="54">
        <v>743</v>
      </c>
    </row>
    <row r="738" spans="1:4" x14ac:dyDescent="0.3">
      <c r="A738" s="53" t="s">
        <v>201</v>
      </c>
      <c r="B738" s="54" t="s">
        <v>55</v>
      </c>
      <c r="C738" s="55">
        <v>22613.83</v>
      </c>
      <c r="D738" s="54">
        <v>744</v>
      </c>
    </row>
    <row r="739" spans="1:4" x14ac:dyDescent="0.3">
      <c r="A739" s="53" t="s">
        <v>202</v>
      </c>
      <c r="B739" s="54" t="s">
        <v>55</v>
      </c>
      <c r="C739" s="55">
        <v>18604.29</v>
      </c>
      <c r="D739" s="54">
        <v>745</v>
      </c>
    </row>
    <row r="740" spans="1:4" x14ac:dyDescent="0.3">
      <c r="A740" s="53" t="s">
        <v>224</v>
      </c>
      <c r="B740" s="54" t="s">
        <v>1272</v>
      </c>
      <c r="C740" s="55">
        <v>121618.95</v>
      </c>
      <c r="D740" s="54">
        <v>746</v>
      </c>
    </row>
    <row r="741" spans="1:4" x14ac:dyDescent="0.3">
      <c r="A741" s="53" t="s">
        <v>2209</v>
      </c>
      <c r="B741" s="54" t="s">
        <v>1272</v>
      </c>
      <c r="C741" s="55">
        <v>117191.73</v>
      </c>
      <c r="D741" s="54">
        <v>747</v>
      </c>
    </row>
    <row r="742" spans="1:4" x14ac:dyDescent="0.3">
      <c r="A742" s="53" t="s">
        <v>225</v>
      </c>
      <c r="B742" s="54" t="s">
        <v>1272</v>
      </c>
      <c r="C742" s="55">
        <v>102479.91</v>
      </c>
      <c r="D742" s="54">
        <v>748</v>
      </c>
    </row>
    <row r="743" spans="1:4" x14ac:dyDescent="0.3">
      <c r="A743" s="53" t="s">
        <v>226</v>
      </c>
      <c r="B743" s="54" t="s">
        <v>1272</v>
      </c>
      <c r="C743" s="55">
        <v>120955.57</v>
      </c>
      <c r="D743" s="54">
        <v>749</v>
      </c>
    </row>
    <row r="744" spans="1:4" x14ac:dyDescent="0.3">
      <c r="A744" s="53" t="s">
        <v>227</v>
      </c>
      <c r="B744" s="54" t="s">
        <v>1272</v>
      </c>
      <c r="C744" s="55">
        <v>72557.7</v>
      </c>
      <c r="D744" s="54">
        <v>750</v>
      </c>
    </row>
    <row r="745" spans="1:4" x14ac:dyDescent="0.3">
      <c r="A745" s="53" t="s">
        <v>228</v>
      </c>
      <c r="B745" s="54" t="s">
        <v>1272</v>
      </c>
      <c r="C745" s="55">
        <v>83614.36</v>
      </c>
      <c r="D745" s="54">
        <v>751</v>
      </c>
    </row>
    <row r="746" spans="1:4" x14ac:dyDescent="0.3">
      <c r="A746" s="53" t="s">
        <v>229</v>
      </c>
      <c r="B746" s="54" t="s">
        <v>1272</v>
      </c>
      <c r="C746" s="55">
        <v>91481.57</v>
      </c>
      <c r="D746" s="54">
        <v>752</v>
      </c>
    </row>
    <row r="747" spans="1:4" x14ac:dyDescent="0.3">
      <c r="A747" s="53" t="s">
        <v>230</v>
      </c>
      <c r="B747" s="54" t="s">
        <v>1272</v>
      </c>
      <c r="C747" s="55">
        <v>68828.710000000006</v>
      </c>
      <c r="D747" s="54">
        <v>753</v>
      </c>
    </row>
    <row r="748" spans="1:4" x14ac:dyDescent="0.3">
      <c r="A748" s="53" t="s">
        <v>231</v>
      </c>
      <c r="B748" s="54" t="s">
        <v>1272</v>
      </c>
      <c r="C748" s="55">
        <v>93016.57</v>
      </c>
      <c r="D748" s="54">
        <v>754</v>
      </c>
    </row>
    <row r="749" spans="1:4" x14ac:dyDescent="0.3">
      <c r="A749" s="53" t="s">
        <v>232</v>
      </c>
      <c r="B749" s="54" t="s">
        <v>1272</v>
      </c>
      <c r="C749" s="55">
        <v>113414.78</v>
      </c>
      <c r="D749" s="54">
        <v>755</v>
      </c>
    </row>
    <row r="750" spans="1:4" x14ac:dyDescent="0.3">
      <c r="A750" s="53" t="s">
        <v>233</v>
      </c>
      <c r="B750" s="54" t="s">
        <v>1272</v>
      </c>
      <c r="C750" s="55">
        <v>88427.47</v>
      </c>
      <c r="D750" s="54">
        <v>756</v>
      </c>
    </row>
    <row r="751" spans="1:4" x14ac:dyDescent="0.3">
      <c r="A751" s="53" t="s">
        <v>234</v>
      </c>
      <c r="B751" s="54" t="s">
        <v>1272</v>
      </c>
      <c r="C751" s="55">
        <v>91400.67</v>
      </c>
      <c r="D751" s="54">
        <v>757</v>
      </c>
    </row>
    <row r="752" spans="1:4" x14ac:dyDescent="0.3">
      <c r="A752" s="53" t="s">
        <v>235</v>
      </c>
      <c r="B752" s="54" t="s">
        <v>1272</v>
      </c>
      <c r="C752" s="55">
        <v>67683.210000000006</v>
      </c>
      <c r="D752" s="54">
        <v>758</v>
      </c>
    </row>
    <row r="753" spans="1:4" x14ac:dyDescent="0.3">
      <c r="A753" s="53" t="s">
        <v>236</v>
      </c>
      <c r="B753" s="54" t="s">
        <v>1272</v>
      </c>
      <c r="C753" s="55">
        <v>72338.11</v>
      </c>
      <c r="D753" s="54">
        <v>759</v>
      </c>
    </row>
    <row r="754" spans="1:4" x14ac:dyDescent="0.3">
      <c r="A754" s="53" t="s">
        <v>237</v>
      </c>
      <c r="B754" s="54" t="s">
        <v>1272</v>
      </c>
      <c r="C754" s="55">
        <v>85309.81</v>
      </c>
      <c r="D754" s="54">
        <v>760</v>
      </c>
    </row>
    <row r="755" spans="1:4" x14ac:dyDescent="0.3">
      <c r="A755" s="53" t="s">
        <v>238</v>
      </c>
      <c r="B755" s="54" t="s">
        <v>1272</v>
      </c>
      <c r="C755" s="55">
        <v>64164.46</v>
      </c>
      <c r="D755" s="54">
        <v>761</v>
      </c>
    </row>
    <row r="756" spans="1:4" x14ac:dyDescent="0.3">
      <c r="A756" s="53" t="s">
        <v>239</v>
      </c>
      <c r="B756" s="54" t="s">
        <v>1272</v>
      </c>
      <c r="C756" s="55">
        <v>66905.36</v>
      </c>
      <c r="D756" s="54">
        <v>762</v>
      </c>
    </row>
    <row r="757" spans="1:4" x14ac:dyDescent="0.3">
      <c r="A757" s="53" t="s">
        <v>240</v>
      </c>
      <c r="B757" s="54" t="s">
        <v>1272</v>
      </c>
      <c r="C757" s="55">
        <v>84327.56</v>
      </c>
      <c r="D757" s="54">
        <v>763</v>
      </c>
    </row>
    <row r="758" spans="1:4" x14ac:dyDescent="0.3">
      <c r="A758" s="53" t="s">
        <v>241</v>
      </c>
      <c r="B758" s="54" t="s">
        <v>1272</v>
      </c>
      <c r="C758" s="55">
        <v>90374.84</v>
      </c>
      <c r="D758" s="54">
        <v>764</v>
      </c>
    </row>
    <row r="759" spans="1:4" x14ac:dyDescent="0.3">
      <c r="A759" s="53" t="s">
        <v>412</v>
      </c>
      <c r="B759" s="54" t="s">
        <v>55</v>
      </c>
      <c r="C759" s="55">
        <v>14320.5</v>
      </c>
      <c r="D759" s="54">
        <v>765</v>
      </c>
    </row>
    <row r="760" spans="1:4" x14ac:dyDescent="0.3">
      <c r="A760" s="53" t="s">
        <v>2210</v>
      </c>
      <c r="B760" s="54" t="s">
        <v>55</v>
      </c>
      <c r="C760" s="55">
        <v>20054.27</v>
      </c>
      <c r="D760" s="54">
        <v>766</v>
      </c>
    </row>
    <row r="761" spans="1:4" x14ac:dyDescent="0.3">
      <c r="A761" s="53" t="s">
        <v>413</v>
      </c>
      <c r="B761" s="54" t="s">
        <v>2145</v>
      </c>
      <c r="C761" s="55">
        <v>1630.98</v>
      </c>
      <c r="D761" s="54">
        <v>767</v>
      </c>
    </row>
    <row r="762" spans="1:4" x14ac:dyDescent="0.3">
      <c r="A762" s="53" t="s">
        <v>418</v>
      </c>
      <c r="B762" s="54" t="s">
        <v>2145</v>
      </c>
      <c r="C762" s="55">
        <v>4881.63</v>
      </c>
      <c r="D762" s="54">
        <v>768</v>
      </c>
    </row>
    <row r="763" spans="1:4" x14ac:dyDescent="0.3">
      <c r="A763" s="53" t="s">
        <v>420</v>
      </c>
      <c r="B763" s="54" t="s">
        <v>55</v>
      </c>
      <c r="C763" s="55">
        <v>17826.560000000001</v>
      </c>
      <c r="D763" s="54">
        <v>769</v>
      </c>
    </row>
    <row r="764" spans="1:4" x14ac:dyDescent="0.3">
      <c r="A764" s="53" t="s">
        <v>421</v>
      </c>
      <c r="B764" s="54" t="s">
        <v>55</v>
      </c>
      <c r="C764" s="55">
        <v>24453.75</v>
      </c>
      <c r="D764" s="54">
        <v>770</v>
      </c>
    </row>
    <row r="765" spans="1:4" x14ac:dyDescent="0.3">
      <c r="A765" s="53" t="s">
        <v>424</v>
      </c>
      <c r="B765" s="54" t="s">
        <v>1272</v>
      </c>
      <c r="C765" s="55">
        <v>56711.89</v>
      </c>
      <c r="D765" s="54">
        <v>771</v>
      </c>
    </row>
    <row r="766" spans="1:4" x14ac:dyDescent="0.3">
      <c r="A766" s="53" t="s">
        <v>425</v>
      </c>
      <c r="B766" s="54" t="s">
        <v>1272</v>
      </c>
      <c r="C766" s="55">
        <v>67759.69</v>
      </c>
      <c r="D766" s="54">
        <v>772</v>
      </c>
    </row>
    <row r="767" spans="1:4" x14ac:dyDescent="0.3">
      <c r="A767" s="53" t="s">
        <v>426</v>
      </c>
      <c r="B767" s="54" t="s">
        <v>1272</v>
      </c>
      <c r="C767" s="55">
        <v>61979.91</v>
      </c>
      <c r="D767" s="54">
        <v>773</v>
      </c>
    </row>
    <row r="768" spans="1:4" x14ac:dyDescent="0.3">
      <c r="A768" s="53" t="s">
        <v>427</v>
      </c>
      <c r="B768" s="54" t="s">
        <v>1272</v>
      </c>
      <c r="C768" s="55">
        <v>65669.490000000005</v>
      </c>
      <c r="D768" s="54">
        <v>774</v>
      </c>
    </row>
    <row r="769" spans="1:4" x14ac:dyDescent="0.3">
      <c r="A769" s="53" t="s">
        <v>428</v>
      </c>
      <c r="B769" s="54" t="s">
        <v>1272</v>
      </c>
      <c r="C769" s="55">
        <v>65337.98</v>
      </c>
      <c r="D769" s="54">
        <v>775</v>
      </c>
    </row>
    <row r="770" spans="1:4" x14ac:dyDescent="0.3">
      <c r="A770" s="53" t="s">
        <v>429</v>
      </c>
      <c r="B770" s="54" t="s">
        <v>1272</v>
      </c>
      <c r="C770" s="55">
        <v>93423.66</v>
      </c>
      <c r="D770" s="54">
        <v>776</v>
      </c>
    </row>
    <row r="771" spans="1:4" x14ac:dyDescent="0.3">
      <c r="A771" s="53" t="s">
        <v>430</v>
      </c>
      <c r="B771" s="54" t="s">
        <v>1272</v>
      </c>
      <c r="C771" s="55">
        <v>70082.429999999993</v>
      </c>
      <c r="D771" s="54">
        <v>777</v>
      </c>
    </row>
    <row r="772" spans="1:4" x14ac:dyDescent="0.3">
      <c r="A772" s="53" t="s">
        <v>431</v>
      </c>
      <c r="B772" s="54" t="s">
        <v>1272</v>
      </c>
      <c r="C772" s="55">
        <v>76700.36</v>
      </c>
      <c r="D772" s="54">
        <v>778</v>
      </c>
    </row>
    <row r="773" spans="1:4" x14ac:dyDescent="0.3">
      <c r="A773" s="53" t="s">
        <v>2211</v>
      </c>
      <c r="B773" s="54" t="s">
        <v>1272</v>
      </c>
      <c r="C773" s="55">
        <v>63938.61</v>
      </c>
      <c r="D773" s="54">
        <v>779</v>
      </c>
    </row>
    <row r="774" spans="1:4" x14ac:dyDescent="0.3">
      <c r="A774" s="53" t="s">
        <v>463</v>
      </c>
      <c r="B774" s="54" t="s">
        <v>55</v>
      </c>
      <c r="C774" s="55">
        <v>9836.8799999999992</v>
      </c>
      <c r="D774" s="54">
        <v>780</v>
      </c>
    </row>
    <row r="775" spans="1:4" x14ac:dyDescent="0.3">
      <c r="A775" s="53" t="s">
        <v>464</v>
      </c>
      <c r="B775" s="54" t="s">
        <v>55</v>
      </c>
      <c r="C775" s="55">
        <v>16908.490000000002</v>
      </c>
      <c r="D775" s="54">
        <v>781</v>
      </c>
    </row>
    <row r="776" spans="1:4" x14ac:dyDescent="0.3">
      <c r="A776" s="53" t="s">
        <v>570</v>
      </c>
      <c r="B776" s="54" t="s">
        <v>1276</v>
      </c>
      <c r="C776" s="55">
        <v>105211.44</v>
      </c>
      <c r="D776" s="54">
        <v>782</v>
      </c>
    </row>
    <row r="777" spans="1:4" x14ac:dyDescent="0.3">
      <c r="A777" s="53" t="s">
        <v>465</v>
      </c>
      <c r="B777" s="54" t="s">
        <v>55</v>
      </c>
      <c r="C777" s="55">
        <v>33581.519999999997</v>
      </c>
      <c r="D777" s="54">
        <v>783</v>
      </c>
    </row>
    <row r="778" spans="1:4" x14ac:dyDescent="0.3">
      <c r="A778" s="53" t="s">
        <v>571</v>
      </c>
      <c r="B778" s="54" t="s">
        <v>1276</v>
      </c>
      <c r="C778" s="55">
        <v>123056.93</v>
      </c>
      <c r="D778" s="54">
        <v>784</v>
      </c>
    </row>
    <row r="779" spans="1:4" x14ac:dyDescent="0.3">
      <c r="A779" s="53" t="s">
        <v>466</v>
      </c>
      <c r="B779" s="54" t="s">
        <v>55</v>
      </c>
      <c r="C779" s="55">
        <v>15026.62</v>
      </c>
      <c r="D779" s="54">
        <v>785</v>
      </c>
    </row>
    <row r="780" spans="1:4" x14ac:dyDescent="0.3">
      <c r="A780" s="53" t="s">
        <v>572</v>
      </c>
      <c r="B780" s="54" t="s">
        <v>1276</v>
      </c>
      <c r="C780" s="55">
        <v>101737.28</v>
      </c>
      <c r="D780" s="54">
        <v>786</v>
      </c>
    </row>
    <row r="781" spans="1:4" x14ac:dyDescent="0.3">
      <c r="A781" s="53" t="s">
        <v>467</v>
      </c>
      <c r="B781" s="54" t="s">
        <v>55</v>
      </c>
      <c r="C781" s="55">
        <v>12966.37</v>
      </c>
      <c r="D781" s="54">
        <v>787</v>
      </c>
    </row>
    <row r="782" spans="1:4" x14ac:dyDescent="0.3">
      <c r="A782" s="53" t="s">
        <v>573</v>
      </c>
      <c r="B782" s="54" t="s">
        <v>1272</v>
      </c>
      <c r="C782" s="55">
        <v>118763.02</v>
      </c>
      <c r="D782" s="54">
        <v>788</v>
      </c>
    </row>
    <row r="783" spans="1:4" x14ac:dyDescent="0.3">
      <c r="A783" s="53" t="s">
        <v>574</v>
      </c>
      <c r="B783" s="54" t="s">
        <v>2145</v>
      </c>
      <c r="C783" s="55">
        <v>13665.47</v>
      </c>
      <c r="D783" s="54">
        <v>789</v>
      </c>
    </row>
    <row r="784" spans="1:4" x14ac:dyDescent="0.3">
      <c r="A784" s="53" t="s">
        <v>468</v>
      </c>
      <c r="B784" s="54" t="s">
        <v>55</v>
      </c>
      <c r="C784" s="55">
        <v>28988.13</v>
      </c>
      <c r="D784" s="54">
        <v>790</v>
      </c>
    </row>
    <row r="785" spans="1:4" ht="26.4" x14ac:dyDescent="0.3">
      <c r="A785" s="53" t="s">
        <v>535</v>
      </c>
      <c r="B785" s="54" t="s">
        <v>55</v>
      </c>
      <c r="C785" s="55">
        <v>495328.78</v>
      </c>
      <c r="D785" s="54">
        <v>791</v>
      </c>
    </row>
    <row r="786" spans="1:4" x14ac:dyDescent="0.3">
      <c r="A786" s="53" t="s">
        <v>575</v>
      </c>
      <c r="B786" s="54" t="s">
        <v>2145</v>
      </c>
      <c r="C786" s="55">
        <v>2713.97</v>
      </c>
      <c r="D786" s="54">
        <v>792</v>
      </c>
    </row>
    <row r="787" spans="1:4" x14ac:dyDescent="0.3">
      <c r="A787" s="53" t="s">
        <v>576</v>
      </c>
      <c r="B787" s="54" t="s">
        <v>55</v>
      </c>
      <c r="C787" s="55">
        <v>1163.97</v>
      </c>
      <c r="D787" s="54">
        <v>793</v>
      </c>
    </row>
    <row r="788" spans="1:4" x14ac:dyDescent="0.3">
      <c r="A788" s="53" t="s">
        <v>2305</v>
      </c>
      <c r="B788" s="54" t="s">
        <v>1279</v>
      </c>
      <c r="C788" s="55">
        <v>71106.63</v>
      </c>
      <c r="D788" s="54">
        <v>794</v>
      </c>
    </row>
    <row r="789" spans="1:4" x14ac:dyDescent="0.3">
      <c r="A789" s="53" t="s">
        <v>585</v>
      </c>
      <c r="B789" s="54" t="s">
        <v>2145</v>
      </c>
      <c r="C789" s="55">
        <v>6500.82</v>
      </c>
      <c r="D789" s="54">
        <v>795</v>
      </c>
    </row>
    <row r="790" spans="1:4" x14ac:dyDescent="0.3">
      <c r="A790" s="53" t="s">
        <v>586</v>
      </c>
      <c r="B790" s="54" t="s">
        <v>2145</v>
      </c>
      <c r="C790" s="55">
        <v>6710.74</v>
      </c>
      <c r="D790" s="54">
        <v>796</v>
      </c>
    </row>
    <row r="791" spans="1:4" x14ac:dyDescent="0.3">
      <c r="A791" s="53" t="s">
        <v>2212</v>
      </c>
      <c r="B791" s="54" t="s">
        <v>55</v>
      </c>
      <c r="C791" s="55">
        <v>74036.490000000005</v>
      </c>
      <c r="D791" s="54">
        <v>797</v>
      </c>
    </row>
    <row r="792" spans="1:4" x14ac:dyDescent="0.3">
      <c r="A792" s="53" t="s">
        <v>567</v>
      </c>
      <c r="B792" s="54" t="s">
        <v>55</v>
      </c>
      <c r="C792" s="55">
        <v>81609.81</v>
      </c>
      <c r="D792" s="54">
        <v>798</v>
      </c>
    </row>
    <row r="793" spans="1:4" x14ac:dyDescent="0.3">
      <c r="A793" s="53" t="s">
        <v>596</v>
      </c>
      <c r="B793" s="54" t="s">
        <v>55</v>
      </c>
      <c r="C793" s="55">
        <v>188272.61</v>
      </c>
      <c r="D793" s="54">
        <v>799</v>
      </c>
    </row>
    <row r="794" spans="1:4" x14ac:dyDescent="0.3">
      <c r="A794" s="53" t="s">
        <v>2213</v>
      </c>
      <c r="B794" s="54" t="s">
        <v>55</v>
      </c>
      <c r="C794" s="55">
        <v>96435.55</v>
      </c>
      <c r="D794" s="54">
        <v>800</v>
      </c>
    </row>
    <row r="795" spans="1:4" x14ac:dyDescent="0.3">
      <c r="A795" s="53" t="s">
        <v>2214</v>
      </c>
      <c r="B795" s="54" t="s">
        <v>55</v>
      </c>
      <c r="C795" s="55">
        <v>134755.9</v>
      </c>
      <c r="D795" s="54">
        <v>801</v>
      </c>
    </row>
    <row r="796" spans="1:4" x14ac:dyDescent="0.3">
      <c r="A796" s="53" t="s">
        <v>1215</v>
      </c>
      <c r="B796" s="54" t="s">
        <v>55</v>
      </c>
      <c r="C796" s="55">
        <v>67848.88</v>
      </c>
      <c r="D796" s="54">
        <v>802</v>
      </c>
    </row>
    <row r="797" spans="1:4" x14ac:dyDescent="0.3">
      <c r="A797" s="53" t="s">
        <v>597</v>
      </c>
      <c r="B797" s="54" t="s">
        <v>55</v>
      </c>
      <c r="C797" s="55">
        <v>50152.24</v>
      </c>
      <c r="D797" s="54">
        <v>803</v>
      </c>
    </row>
    <row r="798" spans="1:4" x14ac:dyDescent="0.3">
      <c r="A798" s="53" t="s">
        <v>598</v>
      </c>
      <c r="B798" s="54" t="s">
        <v>55</v>
      </c>
      <c r="C798" s="55">
        <v>44366.75</v>
      </c>
      <c r="D798" s="54">
        <v>804</v>
      </c>
    </row>
    <row r="799" spans="1:4" x14ac:dyDescent="0.3">
      <c r="A799" s="53" t="s">
        <v>605</v>
      </c>
      <c r="B799" s="54" t="s">
        <v>1270</v>
      </c>
      <c r="C799" s="55">
        <v>22627.57</v>
      </c>
      <c r="D799" s="54">
        <v>805</v>
      </c>
    </row>
    <row r="800" spans="1:4" ht="26.4" x14ac:dyDescent="0.3">
      <c r="A800" s="53" t="s">
        <v>2306</v>
      </c>
      <c r="B800" s="54" t="s">
        <v>2215</v>
      </c>
      <c r="C800" s="55">
        <v>99443.76</v>
      </c>
      <c r="D800" s="54">
        <v>806</v>
      </c>
    </row>
    <row r="801" spans="1:4" x14ac:dyDescent="0.3">
      <c r="A801" s="53" t="s">
        <v>666</v>
      </c>
      <c r="B801" s="54" t="s">
        <v>55</v>
      </c>
      <c r="C801" s="55">
        <v>417337.14</v>
      </c>
      <c r="D801" s="54">
        <v>807</v>
      </c>
    </row>
    <row r="802" spans="1:4" x14ac:dyDescent="0.3">
      <c r="A802" s="53" t="s">
        <v>667</v>
      </c>
      <c r="B802" s="54" t="s">
        <v>55</v>
      </c>
      <c r="C802" s="55">
        <v>211103.27</v>
      </c>
      <c r="D802" s="54">
        <v>808</v>
      </c>
    </row>
    <row r="803" spans="1:4" x14ac:dyDescent="0.3">
      <c r="A803" s="53" t="s">
        <v>668</v>
      </c>
      <c r="B803" s="54" t="s">
        <v>55</v>
      </c>
      <c r="C803" s="55">
        <v>93023.1</v>
      </c>
      <c r="D803" s="54">
        <v>809</v>
      </c>
    </row>
    <row r="804" spans="1:4" x14ac:dyDescent="0.3">
      <c r="A804" s="53" t="s">
        <v>671</v>
      </c>
      <c r="B804" s="54" t="s">
        <v>55</v>
      </c>
      <c r="C804" s="55">
        <v>175914.95</v>
      </c>
      <c r="D804" s="54">
        <v>810</v>
      </c>
    </row>
    <row r="805" spans="1:4" x14ac:dyDescent="0.3">
      <c r="A805" s="53" t="s">
        <v>669</v>
      </c>
      <c r="B805" s="54" t="s">
        <v>55</v>
      </c>
      <c r="C805" s="55">
        <v>697902.49</v>
      </c>
      <c r="D805" s="54">
        <v>811</v>
      </c>
    </row>
    <row r="806" spans="1:4" x14ac:dyDescent="0.3">
      <c r="A806" s="53" t="s">
        <v>670</v>
      </c>
      <c r="B806" s="54" t="s">
        <v>55</v>
      </c>
      <c r="C806" s="55">
        <v>272785.43</v>
      </c>
      <c r="D806" s="54">
        <v>812</v>
      </c>
    </row>
    <row r="807" spans="1:4" x14ac:dyDescent="0.3">
      <c r="A807" s="53" t="s">
        <v>672</v>
      </c>
      <c r="B807" s="54" t="s">
        <v>55</v>
      </c>
      <c r="C807" s="55">
        <v>223595.21</v>
      </c>
      <c r="D807" s="54">
        <v>813</v>
      </c>
    </row>
    <row r="808" spans="1:4" x14ac:dyDescent="0.3">
      <c r="A808" s="53" t="s">
        <v>650</v>
      </c>
      <c r="B808" s="54" t="s">
        <v>55</v>
      </c>
      <c r="C808" s="55">
        <v>110738.16</v>
      </c>
      <c r="D808" s="54">
        <v>814</v>
      </c>
    </row>
    <row r="809" spans="1:4" x14ac:dyDescent="0.3">
      <c r="A809" s="53" t="s">
        <v>741</v>
      </c>
      <c r="B809" s="54" t="s">
        <v>1276</v>
      </c>
      <c r="C809" s="55">
        <v>52822.78</v>
      </c>
      <c r="D809" s="54">
        <v>815</v>
      </c>
    </row>
    <row r="810" spans="1:4" x14ac:dyDescent="0.3">
      <c r="A810" s="53" t="s">
        <v>742</v>
      </c>
      <c r="B810" s="54" t="s">
        <v>1276</v>
      </c>
      <c r="C810" s="55">
        <v>22575.79</v>
      </c>
      <c r="D810" s="54">
        <v>816</v>
      </c>
    </row>
    <row r="811" spans="1:4" x14ac:dyDescent="0.3">
      <c r="A811" s="53" t="s">
        <v>2338</v>
      </c>
      <c r="B811" s="54" t="s">
        <v>55</v>
      </c>
      <c r="C811" s="55">
        <v>34641.699999999997</v>
      </c>
      <c r="D811" s="54">
        <v>817</v>
      </c>
    </row>
    <row r="812" spans="1:4" x14ac:dyDescent="0.3">
      <c r="A812" s="53" t="s">
        <v>2339</v>
      </c>
      <c r="B812" s="54" t="s">
        <v>55</v>
      </c>
      <c r="C812" s="55">
        <v>602467.65</v>
      </c>
      <c r="D812" s="54">
        <v>818</v>
      </c>
    </row>
    <row r="813" spans="1:4" x14ac:dyDescent="0.3">
      <c r="A813" s="53" t="s">
        <v>2340</v>
      </c>
      <c r="B813" s="54" t="s">
        <v>55</v>
      </c>
      <c r="C813" s="55">
        <v>456818.81</v>
      </c>
      <c r="D813" s="54">
        <v>819</v>
      </c>
    </row>
    <row r="814" spans="1:4" x14ac:dyDescent="0.3">
      <c r="A814" s="53" t="s">
        <v>764</v>
      </c>
      <c r="B814" s="54" t="s">
        <v>55</v>
      </c>
      <c r="C814" s="55">
        <v>19526.650000000001</v>
      </c>
      <c r="D814" s="54">
        <v>820</v>
      </c>
    </row>
    <row r="815" spans="1:4" x14ac:dyDescent="0.3">
      <c r="A815" s="53" t="s">
        <v>2366</v>
      </c>
      <c r="B815" s="54" t="s">
        <v>2145</v>
      </c>
      <c r="C815" s="55">
        <v>2937.02</v>
      </c>
      <c r="D815" s="54">
        <v>821</v>
      </c>
    </row>
    <row r="816" spans="1:4" x14ac:dyDescent="0.3">
      <c r="A816" s="53" t="s">
        <v>2367</v>
      </c>
      <c r="B816" s="54" t="s">
        <v>2145</v>
      </c>
      <c r="C816" s="55">
        <v>1790.68</v>
      </c>
      <c r="D816" s="54">
        <v>822</v>
      </c>
    </row>
    <row r="817" spans="1:4" x14ac:dyDescent="0.3">
      <c r="A817" s="53" t="s">
        <v>2341</v>
      </c>
      <c r="B817" s="54" t="s">
        <v>55</v>
      </c>
      <c r="C817" s="55">
        <v>5193.46</v>
      </c>
      <c r="D817" s="54">
        <v>823</v>
      </c>
    </row>
    <row r="818" spans="1:4" x14ac:dyDescent="0.3">
      <c r="A818" s="53" t="s">
        <v>769</v>
      </c>
      <c r="B818" s="54" t="s">
        <v>55</v>
      </c>
      <c r="C818" s="55">
        <v>44582.28</v>
      </c>
      <c r="D818" s="54">
        <v>824</v>
      </c>
    </row>
    <row r="819" spans="1:4" x14ac:dyDescent="0.3">
      <c r="A819" s="53" t="s">
        <v>784</v>
      </c>
      <c r="B819" s="54" t="s">
        <v>55</v>
      </c>
      <c r="C819" s="55">
        <v>29014.880000000001</v>
      </c>
      <c r="D819" s="54">
        <v>825</v>
      </c>
    </row>
    <row r="820" spans="1:4" x14ac:dyDescent="0.3">
      <c r="A820" s="53" t="s">
        <v>785</v>
      </c>
      <c r="B820" s="54" t="s">
        <v>55</v>
      </c>
      <c r="C820" s="55">
        <v>17303.5</v>
      </c>
      <c r="D820" s="54">
        <v>826</v>
      </c>
    </row>
    <row r="821" spans="1:4" x14ac:dyDescent="0.3">
      <c r="A821" s="53" t="s">
        <v>786</v>
      </c>
      <c r="B821" s="54" t="s">
        <v>55</v>
      </c>
      <c r="C821" s="55">
        <v>13019.54</v>
      </c>
      <c r="D821" s="54">
        <v>827</v>
      </c>
    </row>
    <row r="822" spans="1:4" x14ac:dyDescent="0.3">
      <c r="A822" s="53" t="s">
        <v>804</v>
      </c>
      <c r="B822" s="54" t="s">
        <v>55</v>
      </c>
      <c r="C822" s="55">
        <v>155807.26</v>
      </c>
      <c r="D822" s="54">
        <v>828</v>
      </c>
    </row>
    <row r="823" spans="1:4" x14ac:dyDescent="0.3">
      <c r="A823" s="53" t="s">
        <v>795</v>
      </c>
      <c r="B823" s="54" t="s">
        <v>1276</v>
      </c>
      <c r="C823" s="55">
        <v>136620.92000000001</v>
      </c>
      <c r="D823" s="54">
        <v>829</v>
      </c>
    </row>
    <row r="824" spans="1:4" x14ac:dyDescent="0.3">
      <c r="A824" s="53" t="s">
        <v>796</v>
      </c>
      <c r="B824" s="54" t="s">
        <v>1276</v>
      </c>
      <c r="C824" s="55">
        <v>153387.79999999999</v>
      </c>
      <c r="D824" s="54">
        <v>830</v>
      </c>
    </row>
    <row r="825" spans="1:4" x14ac:dyDescent="0.3">
      <c r="A825" s="53" t="s">
        <v>2307</v>
      </c>
      <c r="B825" s="54" t="s">
        <v>1280</v>
      </c>
      <c r="C825" s="55">
        <v>676328.63</v>
      </c>
      <c r="D825" s="54">
        <v>831</v>
      </c>
    </row>
    <row r="826" spans="1:4" x14ac:dyDescent="0.3">
      <c r="A826" s="53" t="s">
        <v>797</v>
      </c>
      <c r="B826" s="54" t="s">
        <v>1276</v>
      </c>
      <c r="C826" s="55">
        <v>115067.3</v>
      </c>
      <c r="D826" s="54">
        <v>832</v>
      </c>
    </row>
    <row r="827" spans="1:4" x14ac:dyDescent="0.3">
      <c r="A827" s="53" t="s">
        <v>2308</v>
      </c>
      <c r="B827" s="54" t="s">
        <v>1280</v>
      </c>
      <c r="C827" s="55">
        <v>525952.76</v>
      </c>
      <c r="D827" s="54">
        <v>833</v>
      </c>
    </row>
    <row r="828" spans="1:4" x14ac:dyDescent="0.3">
      <c r="A828" s="53" t="s">
        <v>798</v>
      </c>
      <c r="B828" s="54" t="s">
        <v>1276</v>
      </c>
      <c r="C828" s="55">
        <v>164872.24</v>
      </c>
      <c r="D828" s="54">
        <v>834</v>
      </c>
    </row>
    <row r="829" spans="1:4" x14ac:dyDescent="0.3">
      <c r="A829" s="53" t="s">
        <v>799</v>
      </c>
      <c r="B829" s="54" t="s">
        <v>1276</v>
      </c>
      <c r="C829" s="55">
        <v>198792.83</v>
      </c>
      <c r="D829" s="54">
        <v>835</v>
      </c>
    </row>
    <row r="830" spans="1:4" x14ac:dyDescent="0.3">
      <c r="A830" s="53" t="s">
        <v>820</v>
      </c>
      <c r="B830" s="54" t="s">
        <v>1272</v>
      </c>
      <c r="C830" s="55">
        <v>106527.13</v>
      </c>
      <c r="D830" s="54">
        <v>836</v>
      </c>
    </row>
    <row r="831" spans="1:4" x14ac:dyDescent="0.3">
      <c r="A831" s="53" t="s">
        <v>821</v>
      </c>
      <c r="B831" s="54" t="s">
        <v>1272</v>
      </c>
      <c r="C831" s="55">
        <v>239341.74</v>
      </c>
      <c r="D831" s="54">
        <v>837</v>
      </c>
    </row>
    <row r="832" spans="1:4" x14ac:dyDescent="0.3">
      <c r="A832" s="53" t="s">
        <v>822</v>
      </c>
      <c r="B832" s="54" t="s">
        <v>1272</v>
      </c>
      <c r="C832" s="55">
        <v>160705.62</v>
      </c>
      <c r="D832" s="54">
        <v>838</v>
      </c>
    </row>
    <row r="833" spans="1:4" x14ac:dyDescent="0.3">
      <c r="A833" s="53" t="s">
        <v>823</v>
      </c>
      <c r="B833" s="54" t="s">
        <v>1272</v>
      </c>
      <c r="C833" s="55">
        <v>97469.19</v>
      </c>
      <c r="D833" s="54">
        <v>839</v>
      </c>
    </row>
    <row r="834" spans="1:4" x14ac:dyDescent="0.3">
      <c r="A834" s="53" t="s">
        <v>824</v>
      </c>
      <c r="B834" s="54" t="s">
        <v>1272</v>
      </c>
      <c r="C834" s="55">
        <v>108992.53</v>
      </c>
      <c r="D834" s="54">
        <v>840</v>
      </c>
    </row>
    <row r="835" spans="1:4" x14ac:dyDescent="0.3">
      <c r="A835" s="53" t="s">
        <v>1236</v>
      </c>
      <c r="B835" s="54" t="s">
        <v>1272</v>
      </c>
      <c r="C835" s="55">
        <v>102934.72</v>
      </c>
      <c r="D835" s="54">
        <v>841</v>
      </c>
    </row>
    <row r="836" spans="1:4" x14ac:dyDescent="0.3">
      <c r="A836" s="53" t="s">
        <v>1237</v>
      </c>
      <c r="B836" s="54" t="s">
        <v>1272</v>
      </c>
      <c r="C836" s="55">
        <v>125822.5</v>
      </c>
      <c r="D836" s="54">
        <v>842</v>
      </c>
    </row>
    <row r="837" spans="1:4" x14ac:dyDescent="0.3">
      <c r="A837" s="53" t="s">
        <v>1238</v>
      </c>
      <c r="B837" s="54" t="s">
        <v>1272</v>
      </c>
      <c r="C837" s="55">
        <v>146273.34</v>
      </c>
      <c r="D837" s="54">
        <v>843</v>
      </c>
    </row>
    <row r="838" spans="1:4" x14ac:dyDescent="0.3">
      <c r="A838" s="53" t="s">
        <v>1239</v>
      </c>
      <c r="B838" s="54" t="s">
        <v>1272</v>
      </c>
      <c r="C838" s="55">
        <v>124592.28</v>
      </c>
      <c r="D838" s="54">
        <v>844</v>
      </c>
    </row>
    <row r="839" spans="1:4" x14ac:dyDescent="0.3">
      <c r="A839" s="53" t="s">
        <v>1240</v>
      </c>
      <c r="B839" s="54" t="s">
        <v>1272</v>
      </c>
      <c r="C839" s="55">
        <v>422084</v>
      </c>
      <c r="D839" s="54">
        <v>845</v>
      </c>
    </row>
    <row r="840" spans="1:4" x14ac:dyDescent="0.3">
      <c r="A840" s="53" t="s">
        <v>1241</v>
      </c>
      <c r="B840" s="54" t="s">
        <v>1272</v>
      </c>
      <c r="C840" s="55">
        <v>206209.63</v>
      </c>
      <c r="D840" s="54">
        <v>846</v>
      </c>
    </row>
    <row r="841" spans="1:4" x14ac:dyDescent="0.3">
      <c r="A841" s="53" t="s">
        <v>1242</v>
      </c>
      <c r="B841" s="54" t="s">
        <v>1272</v>
      </c>
      <c r="C841" s="55">
        <v>276048.46000000002</v>
      </c>
      <c r="D841" s="54">
        <v>847</v>
      </c>
    </row>
    <row r="842" spans="1:4" x14ac:dyDescent="0.3">
      <c r="A842" s="53" t="s">
        <v>1263</v>
      </c>
      <c r="B842" s="54" t="s">
        <v>2145</v>
      </c>
      <c r="C842" s="55">
        <v>14814.82</v>
      </c>
      <c r="D842" s="54">
        <v>848</v>
      </c>
    </row>
    <row r="843" spans="1:4" x14ac:dyDescent="0.3">
      <c r="A843" s="53" t="s">
        <v>765</v>
      </c>
      <c r="B843" s="54" t="s">
        <v>1276</v>
      </c>
      <c r="C843" s="55">
        <v>31970.73</v>
      </c>
      <c r="D843" s="54">
        <v>849</v>
      </c>
    </row>
    <row r="844" spans="1:4" x14ac:dyDescent="0.3">
      <c r="A844" s="53" t="s">
        <v>1248</v>
      </c>
      <c r="B844" s="54" t="s">
        <v>55</v>
      </c>
      <c r="C844" s="55">
        <v>29481.35</v>
      </c>
      <c r="D844" s="54">
        <v>850</v>
      </c>
    </row>
    <row r="845" spans="1:4" x14ac:dyDescent="0.3">
      <c r="A845" s="53" t="s">
        <v>1249</v>
      </c>
      <c r="B845" s="54" t="s">
        <v>55</v>
      </c>
      <c r="C845" s="55">
        <v>10990.66</v>
      </c>
      <c r="D845" s="54">
        <v>851</v>
      </c>
    </row>
    <row r="846" spans="1:4" x14ac:dyDescent="0.3">
      <c r="A846" s="53" t="s">
        <v>768</v>
      </c>
      <c r="B846" s="54" t="s">
        <v>55</v>
      </c>
      <c r="C846" s="55">
        <v>625190.68999999994</v>
      </c>
      <c r="D846" s="54">
        <v>852</v>
      </c>
    </row>
    <row r="847" spans="1:4" x14ac:dyDescent="0.3">
      <c r="A847" s="53" t="s">
        <v>771</v>
      </c>
      <c r="B847" s="54" t="s">
        <v>55</v>
      </c>
      <c r="C847" s="55">
        <v>118197.33</v>
      </c>
      <c r="D847" s="54">
        <v>853</v>
      </c>
    </row>
    <row r="848" spans="1:4" x14ac:dyDescent="0.3">
      <c r="A848" s="53" t="s">
        <v>2219</v>
      </c>
      <c r="B848" s="54" t="s">
        <v>55</v>
      </c>
      <c r="C848" s="55">
        <v>127554.59</v>
      </c>
      <c r="D848" s="54">
        <v>854</v>
      </c>
    </row>
    <row r="849" spans="1:4" x14ac:dyDescent="0.3">
      <c r="A849" s="53" t="s">
        <v>771</v>
      </c>
      <c r="B849" s="54" t="s">
        <v>55</v>
      </c>
      <c r="C849" s="55">
        <v>118106.33</v>
      </c>
      <c r="D849" s="54">
        <v>855</v>
      </c>
    </row>
    <row r="850" spans="1:4" x14ac:dyDescent="0.3">
      <c r="A850" s="53" t="s">
        <v>772</v>
      </c>
      <c r="B850" s="54" t="s">
        <v>55</v>
      </c>
      <c r="C850" s="55">
        <v>147135.87</v>
      </c>
      <c r="D850" s="54">
        <v>856</v>
      </c>
    </row>
    <row r="851" spans="1:4" x14ac:dyDescent="0.3">
      <c r="A851" s="53" t="s">
        <v>773</v>
      </c>
      <c r="B851" s="54" t="s">
        <v>55</v>
      </c>
      <c r="C851" s="55">
        <v>150387.17000000001</v>
      </c>
      <c r="D851" s="54">
        <v>857</v>
      </c>
    </row>
    <row r="852" spans="1:4" x14ac:dyDescent="0.3">
      <c r="A852" s="53" t="s">
        <v>774</v>
      </c>
      <c r="B852" s="54" t="s">
        <v>55</v>
      </c>
      <c r="C852" s="55">
        <v>158303.07</v>
      </c>
      <c r="D852" s="54">
        <v>858</v>
      </c>
    </row>
    <row r="853" spans="1:4" x14ac:dyDescent="0.3">
      <c r="A853" s="53" t="s">
        <v>775</v>
      </c>
      <c r="B853" s="54" t="s">
        <v>55</v>
      </c>
      <c r="C853" s="55">
        <v>231115.28</v>
      </c>
      <c r="D853" s="54">
        <v>859</v>
      </c>
    </row>
    <row r="854" spans="1:4" x14ac:dyDescent="0.3">
      <c r="A854" s="53" t="s">
        <v>2342</v>
      </c>
      <c r="B854" s="54" t="s">
        <v>55</v>
      </c>
      <c r="C854" s="55">
        <v>158424.66</v>
      </c>
      <c r="D854" s="54">
        <v>860</v>
      </c>
    </row>
    <row r="855" spans="1:4" x14ac:dyDescent="0.3">
      <c r="A855" s="53" t="s">
        <v>777</v>
      </c>
      <c r="B855" s="54" t="s">
        <v>55</v>
      </c>
      <c r="C855" s="55">
        <v>144059.39000000001</v>
      </c>
      <c r="D855" s="54">
        <v>861</v>
      </c>
    </row>
    <row r="856" spans="1:4" x14ac:dyDescent="0.3">
      <c r="A856" s="53" t="s">
        <v>778</v>
      </c>
      <c r="B856" s="54" t="s">
        <v>55</v>
      </c>
      <c r="C856" s="55">
        <v>138621.26</v>
      </c>
      <c r="D856" s="54">
        <v>862</v>
      </c>
    </row>
    <row r="857" spans="1:4" x14ac:dyDescent="0.3">
      <c r="A857" s="53" t="s">
        <v>779</v>
      </c>
      <c r="B857" s="54" t="s">
        <v>55</v>
      </c>
      <c r="C857" s="55">
        <v>182068.32</v>
      </c>
      <c r="D857" s="54">
        <v>863</v>
      </c>
    </row>
    <row r="858" spans="1:4" x14ac:dyDescent="0.3">
      <c r="A858" s="53" t="s">
        <v>780</v>
      </c>
      <c r="B858" s="54" t="s">
        <v>55</v>
      </c>
      <c r="C858" s="55">
        <v>250760.76</v>
      </c>
      <c r="D858" s="54">
        <v>864</v>
      </c>
    </row>
    <row r="859" spans="1:4" x14ac:dyDescent="0.3">
      <c r="A859" s="53" t="s">
        <v>2220</v>
      </c>
      <c r="B859" s="54" t="s">
        <v>55</v>
      </c>
      <c r="C859" s="55">
        <v>402982.2</v>
      </c>
      <c r="D859" s="54">
        <v>865</v>
      </c>
    </row>
    <row r="860" spans="1:4" x14ac:dyDescent="0.3">
      <c r="A860" s="53" t="s">
        <v>781</v>
      </c>
      <c r="B860" s="54" t="s">
        <v>55</v>
      </c>
      <c r="C860" s="55">
        <v>308558.45</v>
      </c>
      <c r="D860" s="54">
        <v>866</v>
      </c>
    </row>
    <row r="861" spans="1:4" x14ac:dyDescent="0.3">
      <c r="A861" s="53" t="s">
        <v>2221</v>
      </c>
      <c r="B861" s="54" t="s">
        <v>55</v>
      </c>
      <c r="C861" s="55">
        <v>117587.01</v>
      </c>
      <c r="D861" s="54">
        <v>867</v>
      </c>
    </row>
    <row r="862" spans="1:4" x14ac:dyDescent="0.3">
      <c r="A862" s="53" t="s">
        <v>2222</v>
      </c>
      <c r="B862" s="54" t="s">
        <v>55</v>
      </c>
      <c r="C862" s="55">
        <v>141533.06</v>
      </c>
      <c r="D862" s="54">
        <v>868</v>
      </c>
    </row>
    <row r="863" spans="1:4" x14ac:dyDescent="0.3">
      <c r="A863" s="53" t="s">
        <v>782</v>
      </c>
      <c r="B863" s="54" t="s">
        <v>55</v>
      </c>
      <c r="C863" s="55">
        <v>128045.82</v>
      </c>
      <c r="D863" s="54">
        <v>869</v>
      </c>
    </row>
    <row r="864" spans="1:4" x14ac:dyDescent="0.3">
      <c r="A864" s="53" t="s">
        <v>809</v>
      </c>
      <c r="B864" s="54" t="s">
        <v>1270</v>
      </c>
      <c r="C864" s="55">
        <v>17831.8</v>
      </c>
      <c r="D864" s="54">
        <v>871</v>
      </c>
    </row>
    <row r="865" spans="1:4" x14ac:dyDescent="0.3">
      <c r="A865" s="53" t="s">
        <v>810</v>
      </c>
      <c r="B865" s="54" t="s">
        <v>1270</v>
      </c>
      <c r="C865" s="55">
        <v>7988.32</v>
      </c>
      <c r="D865" s="54">
        <v>872</v>
      </c>
    </row>
    <row r="866" spans="1:4" x14ac:dyDescent="0.3">
      <c r="A866" s="53" t="s">
        <v>811</v>
      </c>
      <c r="B866" s="54" t="s">
        <v>1270</v>
      </c>
      <c r="C866" s="55">
        <v>8661.39</v>
      </c>
      <c r="D866" s="54">
        <v>873</v>
      </c>
    </row>
    <row r="867" spans="1:4" x14ac:dyDescent="0.3">
      <c r="A867" s="53" t="s">
        <v>812</v>
      </c>
      <c r="B867" s="54" t="s">
        <v>1270</v>
      </c>
      <c r="C867" s="55">
        <v>5083.67</v>
      </c>
      <c r="D867" s="54">
        <v>874</v>
      </c>
    </row>
    <row r="868" spans="1:4" x14ac:dyDescent="0.3">
      <c r="A868" s="53" t="s">
        <v>813</v>
      </c>
      <c r="B868" s="54" t="s">
        <v>1270</v>
      </c>
      <c r="C868" s="55">
        <v>4684.8</v>
      </c>
      <c r="D868" s="54">
        <v>875</v>
      </c>
    </row>
    <row r="869" spans="1:4" x14ac:dyDescent="0.3">
      <c r="A869" s="53" t="s">
        <v>814</v>
      </c>
      <c r="B869" s="54" t="s">
        <v>1270</v>
      </c>
      <c r="C869" s="55">
        <v>10885.37</v>
      </c>
      <c r="D869" s="54">
        <v>876</v>
      </c>
    </row>
    <row r="870" spans="1:4" x14ac:dyDescent="0.3">
      <c r="A870" s="53" t="s">
        <v>815</v>
      </c>
      <c r="B870" s="54" t="s">
        <v>1270</v>
      </c>
      <c r="C870" s="55">
        <v>9524.9699999999993</v>
      </c>
      <c r="D870" s="54">
        <v>877</v>
      </c>
    </row>
    <row r="871" spans="1:4" x14ac:dyDescent="0.3">
      <c r="A871" s="53" t="s">
        <v>816</v>
      </c>
      <c r="B871" s="54" t="s">
        <v>1270</v>
      </c>
      <c r="C871" s="55">
        <v>7952.86</v>
      </c>
      <c r="D871" s="54">
        <v>878</v>
      </c>
    </row>
    <row r="872" spans="1:4" x14ac:dyDescent="0.3">
      <c r="A872" s="53" t="s">
        <v>817</v>
      </c>
      <c r="B872" s="54" t="s">
        <v>1270</v>
      </c>
      <c r="C872" s="55">
        <v>2832.09</v>
      </c>
      <c r="D872" s="54">
        <v>879</v>
      </c>
    </row>
    <row r="873" spans="1:4" x14ac:dyDescent="0.3">
      <c r="A873" s="53" t="s">
        <v>818</v>
      </c>
      <c r="B873" s="54" t="s">
        <v>1270</v>
      </c>
      <c r="C873" s="55">
        <v>16636.39</v>
      </c>
      <c r="D873" s="54">
        <v>880</v>
      </c>
    </row>
    <row r="874" spans="1:4" x14ac:dyDescent="0.3">
      <c r="A874" s="53" t="s">
        <v>819</v>
      </c>
      <c r="B874" s="54" t="s">
        <v>1270</v>
      </c>
      <c r="C874" s="55">
        <v>5307.75</v>
      </c>
      <c r="D874" s="54">
        <v>881</v>
      </c>
    </row>
    <row r="875" spans="1:4" x14ac:dyDescent="0.3">
      <c r="A875" s="53" t="s">
        <v>1107</v>
      </c>
      <c r="B875" s="54" t="s">
        <v>55</v>
      </c>
      <c r="C875" s="55">
        <v>46590.05</v>
      </c>
      <c r="D875" s="54">
        <v>882</v>
      </c>
    </row>
    <row r="876" spans="1:4" x14ac:dyDescent="0.3">
      <c r="A876" s="53" t="s">
        <v>1108</v>
      </c>
      <c r="B876" s="54" t="s">
        <v>55</v>
      </c>
      <c r="C876" s="55">
        <v>44127.28</v>
      </c>
      <c r="D876" s="54">
        <v>883</v>
      </c>
    </row>
    <row r="877" spans="1:4" x14ac:dyDescent="0.3">
      <c r="A877" s="53" t="s">
        <v>1109</v>
      </c>
      <c r="B877" s="54" t="s">
        <v>55</v>
      </c>
      <c r="C877" s="55">
        <v>31557.08</v>
      </c>
      <c r="D877" s="54">
        <v>884</v>
      </c>
    </row>
    <row r="878" spans="1:4" x14ac:dyDescent="0.3">
      <c r="A878" s="53" t="s">
        <v>1110</v>
      </c>
      <c r="B878" s="54" t="s">
        <v>55</v>
      </c>
      <c r="C878" s="55">
        <v>162315.28</v>
      </c>
      <c r="D878" s="54">
        <v>885</v>
      </c>
    </row>
    <row r="879" spans="1:4" x14ac:dyDescent="0.3">
      <c r="A879" s="53" t="s">
        <v>1125</v>
      </c>
      <c r="B879" s="54" t="s">
        <v>55</v>
      </c>
      <c r="C879" s="55">
        <v>31764.81</v>
      </c>
      <c r="D879" s="54">
        <v>886</v>
      </c>
    </row>
    <row r="880" spans="1:4" x14ac:dyDescent="0.3">
      <c r="A880" s="53" t="s">
        <v>1126</v>
      </c>
      <c r="B880" s="54" t="s">
        <v>55</v>
      </c>
      <c r="C880" s="55">
        <v>23826.54</v>
      </c>
      <c r="D880" s="54">
        <v>887</v>
      </c>
    </row>
    <row r="881" spans="1:4" x14ac:dyDescent="0.3">
      <c r="A881" s="53" t="s">
        <v>1127</v>
      </c>
      <c r="B881" s="54" t="s">
        <v>55</v>
      </c>
      <c r="C881" s="55">
        <v>20311.68</v>
      </c>
      <c r="D881" s="54">
        <v>888</v>
      </c>
    </row>
    <row r="882" spans="1:4" x14ac:dyDescent="0.3">
      <c r="A882" s="53" t="s">
        <v>1128</v>
      </c>
      <c r="B882" s="54" t="s">
        <v>55</v>
      </c>
      <c r="C882" s="55">
        <v>47488.55</v>
      </c>
      <c r="D882" s="54">
        <v>889</v>
      </c>
    </row>
    <row r="883" spans="1:4" x14ac:dyDescent="0.3">
      <c r="A883" s="53" t="s">
        <v>1129</v>
      </c>
      <c r="B883" s="54" t="s">
        <v>55</v>
      </c>
      <c r="C883" s="55">
        <v>55565.22</v>
      </c>
      <c r="D883" s="54">
        <v>890</v>
      </c>
    </row>
    <row r="884" spans="1:4" x14ac:dyDescent="0.3">
      <c r="A884" s="53" t="s">
        <v>1130</v>
      </c>
      <c r="B884" s="54" t="s">
        <v>55</v>
      </c>
      <c r="C884" s="55">
        <v>64989.53</v>
      </c>
      <c r="D884" s="54">
        <v>891</v>
      </c>
    </row>
    <row r="885" spans="1:4" x14ac:dyDescent="0.3">
      <c r="A885" s="53" t="s">
        <v>1131</v>
      </c>
      <c r="B885" s="54" t="s">
        <v>55</v>
      </c>
      <c r="C885" s="55">
        <v>135012.73000000001</v>
      </c>
      <c r="D885" s="54">
        <v>892</v>
      </c>
    </row>
    <row r="886" spans="1:4" x14ac:dyDescent="0.3">
      <c r="A886" s="53" t="s">
        <v>1132</v>
      </c>
      <c r="B886" s="54" t="s">
        <v>55</v>
      </c>
      <c r="C886" s="55">
        <v>299586.61</v>
      </c>
      <c r="D886" s="54">
        <v>893</v>
      </c>
    </row>
    <row r="887" spans="1:4" x14ac:dyDescent="0.3">
      <c r="A887" s="53" t="s">
        <v>1133</v>
      </c>
      <c r="B887" s="54" t="s">
        <v>55</v>
      </c>
      <c r="C887" s="55">
        <v>283256.61</v>
      </c>
      <c r="D887" s="54">
        <v>894</v>
      </c>
    </row>
    <row r="888" spans="1:4" x14ac:dyDescent="0.3">
      <c r="A888" s="53" t="s">
        <v>1134</v>
      </c>
      <c r="B888" s="54" t="s">
        <v>55</v>
      </c>
      <c r="C888" s="55">
        <v>224890.66</v>
      </c>
      <c r="D888" s="54">
        <v>895</v>
      </c>
    </row>
    <row r="889" spans="1:4" x14ac:dyDescent="0.3">
      <c r="A889" s="53" t="s">
        <v>1135</v>
      </c>
      <c r="B889" s="54" t="s">
        <v>55</v>
      </c>
      <c r="C889" s="55">
        <v>209276.99</v>
      </c>
      <c r="D889" s="54">
        <v>896</v>
      </c>
    </row>
    <row r="890" spans="1:4" x14ac:dyDescent="0.3">
      <c r="A890" s="53" t="s">
        <v>1136</v>
      </c>
      <c r="B890" s="54" t="s">
        <v>55</v>
      </c>
      <c r="C890" s="55">
        <v>252672.85</v>
      </c>
      <c r="D890" s="54">
        <v>897</v>
      </c>
    </row>
    <row r="891" spans="1:4" x14ac:dyDescent="0.3">
      <c r="A891" s="53" t="s">
        <v>1137</v>
      </c>
      <c r="B891" s="54" t="s">
        <v>55</v>
      </c>
      <c r="C891" s="55">
        <v>46951</v>
      </c>
      <c r="D891" s="54">
        <v>898</v>
      </c>
    </row>
    <row r="892" spans="1:4" x14ac:dyDescent="0.3">
      <c r="A892" s="53" t="s">
        <v>2343</v>
      </c>
      <c r="B892" s="54" t="s">
        <v>55</v>
      </c>
      <c r="C892" s="55">
        <v>43144.98</v>
      </c>
      <c r="D892" s="54">
        <v>899</v>
      </c>
    </row>
    <row r="893" spans="1:4" x14ac:dyDescent="0.3">
      <c r="A893" s="53" t="s">
        <v>1142</v>
      </c>
      <c r="B893" s="54" t="s">
        <v>55</v>
      </c>
      <c r="C893" s="55">
        <v>43274.17</v>
      </c>
      <c r="D893" s="54">
        <v>900</v>
      </c>
    </row>
    <row r="894" spans="1:4" x14ac:dyDescent="0.3">
      <c r="A894" s="53" t="s">
        <v>1139</v>
      </c>
      <c r="B894" s="54" t="s">
        <v>55</v>
      </c>
      <c r="C894" s="55">
        <v>73677.649999999994</v>
      </c>
      <c r="D894" s="54">
        <v>901</v>
      </c>
    </row>
    <row r="895" spans="1:4" x14ac:dyDescent="0.3">
      <c r="A895" s="53" t="s">
        <v>1138</v>
      </c>
      <c r="B895" s="54" t="s">
        <v>55</v>
      </c>
      <c r="C895" s="55">
        <v>93874.76</v>
      </c>
      <c r="D895" s="54">
        <v>902</v>
      </c>
    </row>
    <row r="896" spans="1:4" x14ac:dyDescent="0.3">
      <c r="A896" s="53" t="s">
        <v>1141</v>
      </c>
      <c r="B896" s="54" t="s">
        <v>55</v>
      </c>
      <c r="C896" s="55">
        <v>194222.17</v>
      </c>
      <c r="D896" s="54">
        <v>903</v>
      </c>
    </row>
    <row r="897" spans="1:4" x14ac:dyDescent="0.3">
      <c r="A897" s="53" t="s">
        <v>110</v>
      </c>
      <c r="B897" s="54" t="s">
        <v>55</v>
      </c>
      <c r="C897" s="55">
        <v>29747.61</v>
      </c>
      <c r="D897" s="54">
        <v>904</v>
      </c>
    </row>
    <row r="898" spans="1:4" x14ac:dyDescent="0.3">
      <c r="A898" s="53" t="s">
        <v>111</v>
      </c>
      <c r="B898" s="54" t="s">
        <v>55</v>
      </c>
      <c r="C898" s="55">
        <v>33030.800000000003</v>
      </c>
      <c r="D898" s="54">
        <v>905</v>
      </c>
    </row>
    <row r="899" spans="1:4" x14ac:dyDescent="0.3">
      <c r="A899" s="53" t="s">
        <v>112</v>
      </c>
      <c r="B899" s="54" t="s">
        <v>55</v>
      </c>
      <c r="C899" s="55">
        <v>36335.599999999999</v>
      </c>
      <c r="D899" s="54">
        <v>906</v>
      </c>
    </row>
    <row r="900" spans="1:4" x14ac:dyDescent="0.3">
      <c r="A900" s="53" t="s">
        <v>113</v>
      </c>
      <c r="B900" s="54" t="s">
        <v>55</v>
      </c>
      <c r="C900" s="55">
        <v>5541.99</v>
      </c>
      <c r="D900" s="54">
        <v>907</v>
      </c>
    </row>
    <row r="901" spans="1:4" x14ac:dyDescent="0.3">
      <c r="A901" s="53" t="s">
        <v>114</v>
      </c>
      <c r="B901" s="54" t="s">
        <v>55</v>
      </c>
      <c r="C901" s="55">
        <v>32407.89</v>
      </c>
      <c r="D901" s="54">
        <v>908</v>
      </c>
    </row>
    <row r="902" spans="1:4" x14ac:dyDescent="0.3">
      <c r="A902" s="53" t="s">
        <v>115</v>
      </c>
      <c r="B902" s="54" t="s">
        <v>55</v>
      </c>
      <c r="C902" s="55">
        <v>34426.660000000003</v>
      </c>
      <c r="D902" s="54">
        <v>909</v>
      </c>
    </row>
    <row r="903" spans="1:4" x14ac:dyDescent="0.3">
      <c r="A903" s="53" t="s">
        <v>2344</v>
      </c>
      <c r="B903" s="54" t="s">
        <v>55</v>
      </c>
      <c r="C903" s="55">
        <v>26432.74</v>
      </c>
      <c r="D903" s="54">
        <v>910</v>
      </c>
    </row>
    <row r="904" spans="1:4" x14ac:dyDescent="0.3">
      <c r="A904" s="53" t="s">
        <v>2223</v>
      </c>
      <c r="B904" s="54" t="s">
        <v>55</v>
      </c>
      <c r="C904" s="55">
        <v>6132.87</v>
      </c>
      <c r="D904" s="54">
        <v>911</v>
      </c>
    </row>
    <row r="905" spans="1:4" x14ac:dyDescent="0.3">
      <c r="A905" s="53" t="s">
        <v>117</v>
      </c>
      <c r="B905" s="54" t="s">
        <v>55</v>
      </c>
      <c r="C905" s="55">
        <v>6075</v>
      </c>
      <c r="D905" s="54">
        <v>912</v>
      </c>
    </row>
    <row r="906" spans="1:4" x14ac:dyDescent="0.3">
      <c r="A906" s="53" t="s">
        <v>118</v>
      </c>
      <c r="B906" s="54" t="s">
        <v>55</v>
      </c>
      <c r="C906" s="55">
        <v>34113.54</v>
      </c>
      <c r="D906" s="54">
        <v>913</v>
      </c>
    </row>
    <row r="907" spans="1:4" x14ac:dyDescent="0.3">
      <c r="A907" s="53" t="s">
        <v>119</v>
      </c>
      <c r="B907" s="54" t="s">
        <v>55</v>
      </c>
      <c r="C907" s="55">
        <v>35758.43</v>
      </c>
      <c r="D907" s="54">
        <v>914</v>
      </c>
    </row>
    <row r="908" spans="1:4" x14ac:dyDescent="0.3">
      <c r="A908" s="53" t="s">
        <v>120</v>
      </c>
      <c r="B908" s="54" t="s">
        <v>55</v>
      </c>
      <c r="C908" s="55">
        <v>43567.6</v>
      </c>
      <c r="D908" s="54">
        <v>915</v>
      </c>
    </row>
    <row r="909" spans="1:4" x14ac:dyDescent="0.3">
      <c r="A909" s="53" t="s">
        <v>121</v>
      </c>
      <c r="B909" s="54" t="s">
        <v>55</v>
      </c>
      <c r="C909" s="55">
        <v>92656.27</v>
      </c>
      <c r="D909" s="54">
        <v>916</v>
      </c>
    </row>
    <row r="910" spans="1:4" x14ac:dyDescent="0.3">
      <c r="A910" s="53" t="s">
        <v>124</v>
      </c>
      <c r="B910" s="54" t="s">
        <v>55</v>
      </c>
      <c r="C910" s="55">
        <v>5430.79</v>
      </c>
      <c r="D910" s="54">
        <v>917</v>
      </c>
    </row>
    <row r="911" spans="1:4" x14ac:dyDescent="0.3">
      <c r="A911" s="53" t="s">
        <v>126</v>
      </c>
      <c r="B911" s="54" t="s">
        <v>55</v>
      </c>
      <c r="C911" s="55">
        <v>8562.68</v>
      </c>
      <c r="D911" s="54">
        <v>918</v>
      </c>
    </row>
    <row r="912" spans="1:4" x14ac:dyDescent="0.3">
      <c r="A912" s="53" t="s">
        <v>127</v>
      </c>
      <c r="B912" s="54" t="s">
        <v>55</v>
      </c>
      <c r="C912" s="55">
        <v>18834.47</v>
      </c>
      <c r="D912" s="54">
        <v>919</v>
      </c>
    </row>
    <row r="913" spans="1:4" x14ac:dyDescent="0.3">
      <c r="A913" s="53" t="s">
        <v>128</v>
      </c>
      <c r="B913" s="54" t="s">
        <v>55</v>
      </c>
      <c r="C913" s="55">
        <v>28769.4</v>
      </c>
      <c r="D913" s="54">
        <v>920</v>
      </c>
    </row>
    <row r="914" spans="1:4" x14ac:dyDescent="0.3">
      <c r="A914" s="53" t="s">
        <v>129</v>
      </c>
      <c r="B914" s="54" t="s">
        <v>55</v>
      </c>
      <c r="C914" s="55">
        <v>80604</v>
      </c>
      <c r="D914" s="54">
        <v>921</v>
      </c>
    </row>
    <row r="915" spans="1:4" x14ac:dyDescent="0.3">
      <c r="A915" s="53" t="s">
        <v>130</v>
      </c>
      <c r="B915" s="54" t="s">
        <v>55</v>
      </c>
      <c r="C915" s="55">
        <v>8093.05</v>
      </c>
      <c r="D915" s="54">
        <v>922</v>
      </c>
    </row>
    <row r="916" spans="1:4" x14ac:dyDescent="0.3">
      <c r="A916" s="53" t="s">
        <v>131</v>
      </c>
      <c r="B916" s="54" t="s">
        <v>55</v>
      </c>
      <c r="C916" s="55">
        <v>5117.7</v>
      </c>
      <c r="D916" s="54">
        <v>923</v>
      </c>
    </row>
    <row r="917" spans="1:4" x14ac:dyDescent="0.3">
      <c r="A917" s="53" t="s">
        <v>132</v>
      </c>
      <c r="B917" s="54" t="s">
        <v>55</v>
      </c>
      <c r="C917" s="55">
        <v>3194.98</v>
      </c>
      <c r="D917" s="54">
        <v>924</v>
      </c>
    </row>
    <row r="918" spans="1:4" x14ac:dyDescent="0.3">
      <c r="A918" s="53" t="s">
        <v>133</v>
      </c>
      <c r="B918" s="54" t="s">
        <v>55</v>
      </c>
      <c r="C918" s="55">
        <v>880.47</v>
      </c>
      <c r="D918" s="54">
        <v>925</v>
      </c>
    </row>
    <row r="919" spans="1:4" x14ac:dyDescent="0.3">
      <c r="A919" s="53" t="s">
        <v>134</v>
      </c>
      <c r="B919" s="54" t="s">
        <v>55</v>
      </c>
      <c r="C919" s="55">
        <v>30351.89</v>
      </c>
      <c r="D919" s="54">
        <v>926</v>
      </c>
    </row>
    <row r="920" spans="1:4" x14ac:dyDescent="0.3">
      <c r="A920" s="53" t="s">
        <v>135</v>
      </c>
      <c r="B920" s="54" t="s">
        <v>55</v>
      </c>
      <c r="C920" s="55">
        <v>15169.4</v>
      </c>
      <c r="D920" s="54">
        <v>927</v>
      </c>
    </row>
    <row r="921" spans="1:4" x14ac:dyDescent="0.3">
      <c r="A921" s="53" t="s">
        <v>136</v>
      </c>
      <c r="B921" s="54" t="s">
        <v>55</v>
      </c>
      <c r="C921" s="55">
        <v>45395.11</v>
      </c>
      <c r="D921" s="54">
        <v>928</v>
      </c>
    </row>
    <row r="922" spans="1:4" x14ac:dyDescent="0.3">
      <c r="A922" s="53" t="s">
        <v>137</v>
      </c>
      <c r="B922" s="54" t="s">
        <v>55</v>
      </c>
      <c r="C922" s="55">
        <v>1608.1</v>
      </c>
      <c r="D922" s="54">
        <v>929</v>
      </c>
    </row>
    <row r="923" spans="1:4" x14ac:dyDescent="0.3">
      <c r="A923" s="53" t="s">
        <v>138</v>
      </c>
      <c r="B923" s="54" t="s">
        <v>55</v>
      </c>
      <c r="C923" s="55">
        <v>75637.91</v>
      </c>
      <c r="D923" s="54">
        <v>930</v>
      </c>
    </row>
    <row r="924" spans="1:4" x14ac:dyDescent="0.3">
      <c r="A924" s="53" t="s">
        <v>139</v>
      </c>
      <c r="B924" s="54" t="s">
        <v>55</v>
      </c>
      <c r="C924" s="55">
        <v>19360.12</v>
      </c>
      <c r="D924" s="54">
        <v>931</v>
      </c>
    </row>
    <row r="925" spans="1:4" x14ac:dyDescent="0.3">
      <c r="A925" s="53" t="s">
        <v>140</v>
      </c>
      <c r="B925" s="54" t="s">
        <v>55</v>
      </c>
      <c r="C925" s="55">
        <v>2645.36</v>
      </c>
      <c r="D925" s="54">
        <v>932</v>
      </c>
    </row>
    <row r="926" spans="1:4" x14ac:dyDescent="0.3">
      <c r="A926" s="53" t="s">
        <v>141</v>
      </c>
      <c r="B926" s="54" t="s">
        <v>55</v>
      </c>
      <c r="C926" s="55">
        <v>3263.61</v>
      </c>
      <c r="D926" s="54">
        <v>933</v>
      </c>
    </row>
    <row r="927" spans="1:4" x14ac:dyDescent="0.3">
      <c r="A927" s="53" t="s">
        <v>142</v>
      </c>
      <c r="B927" s="54" t="s">
        <v>55</v>
      </c>
      <c r="C927" s="55">
        <v>6624.74</v>
      </c>
      <c r="D927" s="54">
        <v>934</v>
      </c>
    </row>
    <row r="928" spans="1:4" x14ac:dyDescent="0.3">
      <c r="A928" s="53" t="s">
        <v>143</v>
      </c>
      <c r="B928" s="54" t="s">
        <v>55</v>
      </c>
      <c r="C928" s="55">
        <v>5229.3500000000004</v>
      </c>
      <c r="D928" s="54">
        <v>935</v>
      </c>
    </row>
    <row r="929" spans="1:4" x14ac:dyDescent="0.3">
      <c r="A929" s="53" t="s">
        <v>144</v>
      </c>
      <c r="B929" s="54" t="s">
        <v>55</v>
      </c>
      <c r="C929" s="55">
        <v>2660.41</v>
      </c>
      <c r="D929" s="54">
        <v>936</v>
      </c>
    </row>
    <row r="930" spans="1:4" x14ac:dyDescent="0.3">
      <c r="A930" s="53" t="s">
        <v>145</v>
      </c>
      <c r="B930" s="54" t="s">
        <v>55</v>
      </c>
      <c r="C930" s="55">
        <v>718.38</v>
      </c>
      <c r="D930" s="54">
        <v>937</v>
      </c>
    </row>
    <row r="931" spans="1:4" x14ac:dyDescent="0.3">
      <c r="A931" s="53" t="s">
        <v>146</v>
      </c>
      <c r="B931" s="54" t="s">
        <v>55</v>
      </c>
      <c r="C931" s="55">
        <v>26277</v>
      </c>
      <c r="D931" s="54">
        <v>938</v>
      </c>
    </row>
    <row r="932" spans="1:4" x14ac:dyDescent="0.3">
      <c r="A932" s="53" t="s">
        <v>147</v>
      </c>
      <c r="B932" s="54" t="s">
        <v>55</v>
      </c>
      <c r="C932" s="55">
        <v>9299.52</v>
      </c>
      <c r="D932" s="54">
        <v>939</v>
      </c>
    </row>
    <row r="933" spans="1:4" x14ac:dyDescent="0.3">
      <c r="A933" s="53" t="s">
        <v>148</v>
      </c>
      <c r="B933" s="54" t="s">
        <v>55</v>
      </c>
      <c r="C933" s="55">
        <v>36646.82</v>
      </c>
      <c r="D933" s="54">
        <v>940</v>
      </c>
    </row>
    <row r="934" spans="1:4" x14ac:dyDescent="0.3">
      <c r="A934" s="53" t="s">
        <v>149</v>
      </c>
      <c r="B934" s="54" t="s">
        <v>55</v>
      </c>
      <c r="C934" s="55">
        <v>1574.08</v>
      </c>
      <c r="D934" s="54">
        <v>941</v>
      </c>
    </row>
    <row r="935" spans="1:4" x14ac:dyDescent="0.3">
      <c r="A935" s="53" t="s">
        <v>150</v>
      </c>
      <c r="B935" s="54" t="s">
        <v>55</v>
      </c>
      <c r="C935" s="55">
        <v>67253.710000000006</v>
      </c>
      <c r="D935" s="54">
        <v>942</v>
      </c>
    </row>
    <row r="936" spans="1:4" x14ac:dyDescent="0.3">
      <c r="A936" s="53" t="s">
        <v>219</v>
      </c>
      <c r="B936" s="54" t="s">
        <v>55</v>
      </c>
      <c r="C936" s="55">
        <v>110713.63</v>
      </c>
      <c r="D936" s="54">
        <v>943</v>
      </c>
    </row>
    <row r="937" spans="1:4" x14ac:dyDescent="0.3">
      <c r="A937" s="53" t="s">
        <v>220</v>
      </c>
      <c r="B937" s="54" t="s">
        <v>55</v>
      </c>
      <c r="C937" s="55">
        <v>80605.649999999994</v>
      </c>
      <c r="D937" s="54">
        <v>944</v>
      </c>
    </row>
    <row r="938" spans="1:4" x14ac:dyDescent="0.3">
      <c r="A938" s="53" t="s">
        <v>221</v>
      </c>
      <c r="B938" s="54" t="s">
        <v>55</v>
      </c>
      <c r="C938" s="55">
        <v>125473.37</v>
      </c>
      <c r="D938" s="54">
        <v>945</v>
      </c>
    </row>
    <row r="939" spans="1:4" x14ac:dyDescent="0.3">
      <c r="A939" s="53" t="s">
        <v>311</v>
      </c>
      <c r="B939" s="54" t="s">
        <v>55</v>
      </c>
      <c r="C939" s="55">
        <v>7414.36</v>
      </c>
      <c r="D939" s="54">
        <v>946</v>
      </c>
    </row>
    <row r="940" spans="1:4" x14ac:dyDescent="0.3">
      <c r="A940" s="53" t="s">
        <v>312</v>
      </c>
      <c r="B940" s="54" t="s">
        <v>55</v>
      </c>
      <c r="C940" s="55">
        <v>7249.15</v>
      </c>
      <c r="D940" s="54">
        <v>947</v>
      </c>
    </row>
    <row r="941" spans="1:4" x14ac:dyDescent="0.3">
      <c r="A941" s="53" t="s">
        <v>313</v>
      </c>
      <c r="B941" s="54" t="s">
        <v>55</v>
      </c>
      <c r="C941" s="55">
        <v>7151.33</v>
      </c>
      <c r="D941" s="54">
        <v>948</v>
      </c>
    </row>
    <row r="942" spans="1:4" x14ac:dyDescent="0.3">
      <c r="A942" s="53" t="s">
        <v>314</v>
      </c>
      <c r="B942" s="54" t="s">
        <v>55</v>
      </c>
      <c r="C942" s="55">
        <v>7223.03</v>
      </c>
      <c r="D942" s="54">
        <v>949</v>
      </c>
    </row>
    <row r="943" spans="1:4" x14ac:dyDescent="0.3">
      <c r="A943" s="53" t="s">
        <v>315</v>
      </c>
      <c r="B943" s="54" t="s">
        <v>55</v>
      </c>
      <c r="C943" s="55">
        <v>5832.42</v>
      </c>
      <c r="D943" s="54">
        <v>950</v>
      </c>
    </row>
    <row r="944" spans="1:4" x14ac:dyDescent="0.3">
      <c r="A944" s="53" t="s">
        <v>316</v>
      </c>
      <c r="B944" s="54" t="s">
        <v>55</v>
      </c>
      <c r="C944" s="55">
        <v>7680.03</v>
      </c>
      <c r="D944" s="54">
        <v>951</v>
      </c>
    </row>
    <row r="945" spans="1:4" x14ac:dyDescent="0.3">
      <c r="A945" s="53" t="s">
        <v>317</v>
      </c>
      <c r="B945" s="54" t="s">
        <v>55</v>
      </c>
      <c r="C945" s="55">
        <v>7684.03</v>
      </c>
      <c r="D945" s="54">
        <v>952</v>
      </c>
    </row>
    <row r="946" spans="1:4" x14ac:dyDescent="0.3">
      <c r="A946" s="53" t="s">
        <v>318</v>
      </c>
      <c r="B946" s="54" t="s">
        <v>55</v>
      </c>
      <c r="C946" s="55">
        <v>3649.31</v>
      </c>
      <c r="D946" s="54">
        <v>953</v>
      </c>
    </row>
    <row r="947" spans="1:4" x14ac:dyDescent="0.3">
      <c r="A947" s="53" t="s">
        <v>319</v>
      </c>
      <c r="B947" s="54" t="s">
        <v>55</v>
      </c>
      <c r="C947" s="55">
        <v>3649.31</v>
      </c>
      <c r="D947" s="54">
        <v>954</v>
      </c>
    </row>
    <row r="948" spans="1:4" x14ac:dyDescent="0.3">
      <c r="A948" s="53" t="s">
        <v>320</v>
      </c>
      <c r="B948" s="54" t="s">
        <v>55</v>
      </c>
      <c r="C948" s="55">
        <v>2047.33</v>
      </c>
      <c r="D948" s="54">
        <v>955</v>
      </c>
    </row>
    <row r="949" spans="1:4" x14ac:dyDescent="0.3">
      <c r="A949" s="53" t="s">
        <v>321</v>
      </c>
      <c r="B949" s="54" t="s">
        <v>55</v>
      </c>
      <c r="C949" s="55">
        <v>10591.02</v>
      </c>
      <c r="D949" s="54">
        <v>956</v>
      </c>
    </row>
    <row r="950" spans="1:4" x14ac:dyDescent="0.3">
      <c r="A950" s="53" t="s">
        <v>322</v>
      </c>
      <c r="B950" s="54" t="s">
        <v>55</v>
      </c>
      <c r="C950" s="55">
        <v>10436.56</v>
      </c>
      <c r="D950" s="54">
        <v>957</v>
      </c>
    </row>
    <row r="951" spans="1:4" x14ac:dyDescent="0.3">
      <c r="A951" s="53" t="s">
        <v>323</v>
      </c>
      <c r="B951" s="54" t="s">
        <v>55</v>
      </c>
      <c r="C951" s="55">
        <v>10621.88</v>
      </c>
      <c r="D951" s="54">
        <v>958</v>
      </c>
    </row>
    <row r="952" spans="1:4" x14ac:dyDescent="0.3">
      <c r="A952" s="53" t="s">
        <v>324</v>
      </c>
      <c r="B952" s="54" t="s">
        <v>55</v>
      </c>
      <c r="C952" s="55">
        <v>10575.93</v>
      </c>
      <c r="D952" s="54">
        <v>959</v>
      </c>
    </row>
    <row r="953" spans="1:4" x14ac:dyDescent="0.3">
      <c r="A953" s="53" t="s">
        <v>325</v>
      </c>
      <c r="B953" s="54" t="s">
        <v>55</v>
      </c>
      <c r="C953" s="55">
        <v>11056.41</v>
      </c>
      <c r="D953" s="54">
        <v>960</v>
      </c>
    </row>
    <row r="954" spans="1:4" x14ac:dyDescent="0.3">
      <c r="A954" s="53" t="s">
        <v>326</v>
      </c>
      <c r="B954" s="54" t="s">
        <v>55</v>
      </c>
      <c r="C954" s="55">
        <v>42710.53</v>
      </c>
      <c r="D954" s="54">
        <v>961</v>
      </c>
    </row>
    <row r="955" spans="1:4" x14ac:dyDescent="0.3">
      <c r="A955" s="53" t="s">
        <v>327</v>
      </c>
      <c r="B955" s="54" t="s">
        <v>55</v>
      </c>
      <c r="C955" s="55">
        <v>2237.7800000000002</v>
      </c>
      <c r="D955" s="54">
        <v>962</v>
      </c>
    </row>
    <row r="956" spans="1:4" x14ac:dyDescent="0.3">
      <c r="A956" s="53" t="s">
        <v>328</v>
      </c>
      <c r="B956" s="54" t="s">
        <v>55</v>
      </c>
      <c r="C956" s="55">
        <v>6936</v>
      </c>
      <c r="D956" s="54">
        <v>963</v>
      </c>
    </row>
    <row r="957" spans="1:4" x14ac:dyDescent="0.3">
      <c r="A957" s="53" t="s">
        <v>329</v>
      </c>
      <c r="B957" s="54" t="s">
        <v>55</v>
      </c>
      <c r="C957" s="55">
        <v>6681.86</v>
      </c>
      <c r="D957" s="54">
        <v>964</v>
      </c>
    </row>
    <row r="958" spans="1:4" x14ac:dyDescent="0.3">
      <c r="A958" s="53" t="s">
        <v>330</v>
      </c>
      <c r="B958" s="54" t="s">
        <v>55</v>
      </c>
      <c r="C958" s="55">
        <v>2609.0500000000002</v>
      </c>
      <c r="D958" s="54">
        <v>965</v>
      </c>
    </row>
    <row r="959" spans="1:4" x14ac:dyDescent="0.3">
      <c r="A959" s="53" t="s">
        <v>331</v>
      </c>
      <c r="B959" s="54" t="s">
        <v>55</v>
      </c>
      <c r="C959" s="55">
        <v>5468.43</v>
      </c>
      <c r="D959" s="54">
        <v>966</v>
      </c>
    </row>
    <row r="960" spans="1:4" x14ac:dyDescent="0.3">
      <c r="A960" s="53" t="s">
        <v>332</v>
      </c>
      <c r="B960" s="54" t="s">
        <v>55</v>
      </c>
      <c r="C960" s="55">
        <v>5451.97</v>
      </c>
      <c r="D960" s="54">
        <v>967</v>
      </c>
    </row>
    <row r="961" spans="1:4" x14ac:dyDescent="0.3">
      <c r="A961" s="53" t="s">
        <v>333</v>
      </c>
      <c r="B961" s="54" t="s">
        <v>55</v>
      </c>
      <c r="C961" s="55">
        <v>5442.3</v>
      </c>
      <c r="D961" s="54">
        <v>968</v>
      </c>
    </row>
    <row r="962" spans="1:4" x14ac:dyDescent="0.3">
      <c r="A962" s="53" t="s">
        <v>334</v>
      </c>
      <c r="B962" s="54" t="s">
        <v>55</v>
      </c>
      <c r="C962" s="55">
        <v>5448.55</v>
      </c>
      <c r="D962" s="54">
        <v>969</v>
      </c>
    </row>
    <row r="963" spans="1:4" x14ac:dyDescent="0.3">
      <c r="A963" s="53" t="s">
        <v>335</v>
      </c>
      <c r="B963" s="54" t="s">
        <v>55</v>
      </c>
      <c r="C963" s="55">
        <v>3636.63</v>
      </c>
      <c r="D963" s="54">
        <v>970</v>
      </c>
    </row>
    <row r="964" spans="1:4" x14ac:dyDescent="0.3">
      <c r="A964" s="53" t="s">
        <v>336</v>
      </c>
      <c r="B964" s="54" t="s">
        <v>55</v>
      </c>
      <c r="C964" s="55">
        <v>3592.95</v>
      </c>
      <c r="D964" s="54">
        <v>971</v>
      </c>
    </row>
    <row r="965" spans="1:4" x14ac:dyDescent="0.3">
      <c r="A965" s="53" t="s">
        <v>337</v>
      </c>
      <c r="B965" s="54" t="s">
        <v>55</v>
      </c>
      <c r="C965" s="55">
        <v>3509.38</v>
      </c>
      <c r="D965" s="54">
        <v>972</v>
      </c>
    </row>
    <row r="966" spans="1:4" x14ac:dyDescent="0.3">
      <c r="A966" s="53" t="s">
        <v>338</v>
      </c>
      <c r="B966" s="54" t="s">
        <v>55</v>
      </c>
      <c r="C966" s="55">
        <v>1896.57</v>
      </c>
      <c r="D966" s="54">
        <v>973</v>
      </c>
    </row>
    <row r="967" spans="1:4" x14ac:dyDescent="0.3">
      <c r="A967" s="53" t="s">
        <v>339</v>
      </c>
      <c r="B967" s="54" t="s">
        <v>55</v>
      </c>
      <c r="C967" s="55">
        <v>1924.92</v>
      </c>
      <c r="D967" s="54">
        <v>974</v>
      </c>
    </row>
    <row r="968" spans="1:4" x14ac:dyDescent="0.3">
      <c r="A968" s="53" t="s">
        <v>340</v>
      </c>
      <c r="B968" s="54" t="s">
        <v>55</v>
      </c>
      <c r="C968" s="55">
        <v>17443.04</v>
      </c>
      <c r="D968" s="54">
        <v>975</v>
      </c>
    </row>
    <row r="969" spans="1:4" x14ac:dyDescent="0.3">
      <c r="A969" s="53" t="s">
        <v>341</v>
      </c>
      <c r="B969" s="54" t="s">
        <v>55</v>
      </c>
      <c r="C969" s="55">
        <v>20542.04</v>
      </c>
      <c r="D969" s="54">
        <v>976</v>
      </c>
    </row>
    <row r="970" spans="1:4" x14ac:dyDescent="0.3">
      <c r="A970" s="53" t="s">
        <v>342</v>
      </c>
      <c r="B970" s="54" t="s">
        <v>55</v>
      </c>
      <c r="C970" s="55">
        <v>8372.26</v>
      </c>
      <c r="D970" s="54">
        <v>977</v>
      </c>
    </row>
    <row r="971" spans="1:4" x14ac:dyDescent="0.3">
      <c r="A971" s="53" t="s">
        <v>343</v>
      </c>
      <c r="B971" s="54" t="s">
        <v>55</v>
      </c>
      <c r="C971" s="55">
        <v>8301.11</v>
      </c>
      <c r="D971" s="54">
        <v>978</v>
      </c>
    </row>
    <row r="972" spans="1:4" x14ac:dyDescent="0.3">
      <c r="A972" s="53" t="s">
        <v>344</v>
      </c>
      <c r="B972" s="54" t="s">
        <v>55</v>
      </c>
      <c r="C972" s="55">
        <v>8391.4699999999993</v>
      </c>
      <c r="D972" s="54">
        <v>979</v>
      </c>
    </row>
    <row r="973" spans="1:4" x14ac:dyDescent="0.3">
      <c r="A973" s="53" t="s">
        <v>345</v>
      </c>
      <c r="B973" s="54" t="s">
        <v>55</v>
      </c>
      <c r="C973" s="55">
        <v>8294.9500000000007</v>
      </c>
      <c r="D973" s="54">
        <v>980</v>
      </c>
    </row>
    <row r="974" spans="1:4" x14ac:dyDescent="0.3">
      <c r="A974" s="53" t="s">
        <v>346</v>
      </c>
      <c r="B974" s="54" t="s">
        <v>55</v>
      </c>
      <c r="C974" s="55">
        <v>8261.11</v>
      </c>
      <c r="D974" s="54">
        <v>981</v>
      </c>
    </row>
    <row r="975" spans="1:4" x14ac:dyDescent="0.3">
      <c r="A975" s="53" t="s">
        <v>347</v>
      </c>
      <c r="B975" s="54" t="s">
        <v>55</v>
      </c>
      <c r="C975" s="55">
        <v>29659.25</v>
      </c>
      <c r="D975" s="54">
        <v>982</v>
      </c>
    </row>
    <row r="976" spans="1:4" x14ac:dyDescent="0.3">
      <c r="A976" s="53" t="s">
        <v>348</v>
      </c>
      <c r="B976" s="54" t="s">
        <v>55</v>
      </c>
      <c r="C976" s="55">
        <v>30016.38</v>
      </c>
      <c r="D976" s="54">
        <v>983</v>
      </c>
    </row>
    <row r="977" spans="1:4" x14ac:dyDescent="0.3">
      <c r="A977" s="53" t="s">
        <v>349</v>
      </c>
      <c r="B977" s="54" t="s">
        <v>55</v>
      </c>
      <c r="C977" s="55">
        <v>961.94</v>
      </c>
      <c r="D977" s="54">
        <v>984</v>
      </c>
    </row>
    <row r="978" spans="1:4" x14ac:dyDescent="0.3">
      <c r="A978" s="53" t="s">
        <v>350</v>
      </c>
      <c r="B978" s="54" t="s">
        <v>55</v>
      </c>
      <c r="C978" s="55">
        <v>34859.449999999997</v>
      </c>
      <c r="D978" s="54">
        <v>985</v>
      </c>
    </row>
    <row r="979" spans="1:4" x14ac:dyDescent="0.3">
      <c r="A979" s="53" t="s">
        <v>351</v>
      </c>
      <c r="B979" s="54" t="s">
        <v>55</v>
      </c>
      <c r="C979" s="55">
        <v>44333.03</v>
      </c>
      <c r="D979" s="54">
        <v>986</v>
      </c>
    </row>
    <row r="980" spans="1:4" x14ac:dyDescent="0.3">
      <c r="A980" s="53" t="s">
        <v>352</v>
      </c>
      <c r="B980" s="54" t="s">
        <v>55</v>
      </c>
      <c r="C980" s="55">
        <v>43770.81</v>
      </c>
      <c r="D980" s="54">
        <v>987</v>
      </c>
    </row>
    <row r="981" spans="1:4" x14ac:dyDescent="0.3">
      <c r="A981" s="53" t="s">
        <v>353</v>
      </c>
      <c r="B981" s="54" t="s">
        <v>55</v>
      </c>
      <c r="C981" s="55">
        <v>3924.77</v>
      </c>
      <c r="D981" s="54">
        <v>988</v>
      </c>
    </row>
    <row r="982" spans="1:4" x14ac:dyDescent="0.3">
      <c r="A982" s="53" t="s">
        <v>354</v>
      </c>
      <c r="B982" s="54" t="s">
        <v>55</v>
      </c>
      <c r="C982" s="55">
        <v>8013.98</v>
      </c>
      <c r="D982" s="54">
        <v>989</v>
      </c>
    </row>
    <row r="983" spans="1:4" x14ac:dyDescent="0.3">
      <c r="A983" s="53" t="s">
        <v>355</v>
      </c>
      <c r="B983" s="54" t="s">
        <v>55</v>
      </c>
      <c r="C983" s="55">
        <v>7875.41</v>
      </c>
      <c r="D983" s="54">
        <v>990</v>
      </c>
    </row>
    <row r="984" spans="1:4" x14ac:dyDescent="0.3">
      <c r="A984" s="53" t="s">
        <v>356</v>
      </c>
      <c r="B984" s="54" t="s">
        <v>55</v>
      </c>
      <c r="C984" s="55">
        <v>12246.78</v>
      </c>
      <c r="D984" s="54">
        <v>991</v>
      </c>
    </row>
    <row r="985" spans="1:4" x14ac:dyDescent="0.3">
      <c r="A985" s="53" t="s">
        <v>357</v>
      </c>
      <c r="B985" s="54" t="s">
        <v>55</v>
      </c>
      <c r="C985" s="55">
        <v>13388.82</v>
      </c>
      <c r="D985" s="54">
        <v>992</v>
      </c>
    </row>
    <row r="986" spans="1:4" x14ac:dyDescent="0.3">
      <c r="A986" s="53" t="s">
        <v>358</v>
      </c>
      <c r="B986" s="54" t="s">
        <v>55</v>
      </c>
      <c r="C986" s="55">
        <v>59227.13</v>
      </c>
      <c r="D986" s="54">
        <v>993</v>
      </c>
    </row>
    <row r="987" spans="1:4" x14ac:dyDescent="0.3">
      <c r="A987" s="53" t="s">
        <v>487</v>
      </c>
      <c r="B987" s="54" t="s">
        <v>55</v>
      </c>
      <c r="C987" s="55">
        <v>14393.87</v>
      </c>
      <c r="D987" s="54">
        <v>994</v>
      </c>
    </row>
    <row r="988" spans="1:4" x14ac:dyDescent="0.3">
      <c r="A988" s="53" t="s">
        <v>488</v>
      </c>
      <c r="B988" s="54" t="s">
        <v>55</v>
      </c>
      <c r="C988" s="55">
        <v>3474.94</v>
      </c>
      <c r="D988" s="54">
        <v>995</v>
      </c>
    </row>
    <row r="989" spans="1:4" x14ac:dyDescent="0.3">
      <c r="A989" s="53" t="s">
        <v>489</v>
      </c>
      <c r="B989" s="54" t="s">
        <v>55</v>
      </c>
      <c r="C989" s="55">
        <v>5712.27</v>
      </c>
      <c r="D989" s="54">
        <v>996</v>
      </c>
    </row>
    <row r="990" spans="1:4" x14ac:dyDescent="0.3">
      <c r="A990" s="53" t="s">
        <v>490</v>
      </c>
      <c r="B990" s="54" t="s">
        <v>55</v>
      </c>
      <c r="C990" s="55">
        <v>12077.05</v>
      </c>
      <c r="D990" s="54">
        <v>997</v>
      </c>
    </row>
    <row r="991" spans="1:4" x14ac:dyDescent="0.3">
      <c r="A991" s="53" t="s">
        <v>491</v>
      </c>
      <c r="B991" s="54" t="s">
        <v>55</v>
      </c>
      <c r="C991" s="55">
        <v>8509.3700000000008</v>
      </c>
      <c r="D991" s="54">
        <v>998</v>
      </c>
    </row>
    <row r="992" spans="1:4" x14ac:dyDescent="0.3">
      <c r="A992" s="53" t="s">
        <v>492</v>
      </c>
      <c r="B992" s="54" t="s">
        <v>55</v>
      </c>
      <c r="C992" s="55">
        <v>5392.54</v>
      </c>
      <c r="D992" s="54">
        <v>999</v>
      </c>
    </row>
    <row r="993" spans="1:4" x14ac:dyDescent="0.3">
      <c r="A993" s="53" t="s">
        <v>493</v>
      </c>
      <c r="B993" s="54" t="s">
        <v>55</v>
      </c>
      <c r="C993" s="55">
        <v>1878.37</v>
      </c>
      <c r="D993" s="54">
        <v>1000</v>
      </c>
    </row>
    <row r="994" spans="1:4" x14ac:dyDescent="0.3">
      <c r="A994" s="53" t="s">
        <v>494</v>
      </c>
      <c r="B994" s="54" t="s">
        <v>55</v>
      </c>
      <c r="C994" s="55">
        <v>49744.17</v>
      </c>
      <c r="D994" s="54">
        <v>1001</v>
      </c>
    </row>
    <row r="995" spans="1:4" x14ac:dyDescent="0.3">
      <c r="A995" s="53" t="s">
        <v>495</v>
      </c>
      <c r="B995" s="54" t="s">
        <v>55</v>
      </c>
      <c r="C995" s="55">
        <v>19876.099999999999</v>
      </c>
      <c r="D995" s="54">
        <v>1002</v>
      </c>
    </row>
    <row r="996" spans="1:4" x14ac:dyDescent="0.3">
      <c r="A996" s="53" t="s">
        <v>496</v>
      </c>
      <c r="B996" s="54" t="s">
        <v>55</v>
      </c>
      <c r="C996" s="55">
        <v>62618.93</v>
      </c>
      <c r="D996" s="54">
        <v>1003</v>
      </c>
    </row>
    <row r="997" spans="1:4" x14ac:dyDescent="0.3">
      <c r="A997" s="53" t="s">
        <v>497</v>
      </c>
      <c r="B997" s="54" t="s">
        <v>55</v>
      </c>
      <c r="C997" s="55">
        <v>3001.23</v>
      </c>
      <c r="D997" s="54">
        <v>1004</v>
      </c>
    </row>
    <row r="998" spans="1:4" x14ac:dyDescent="0.3">
      <c r="A998" s="53" t="s">
        <v>498</v>
      </c>
      <c r="B998" s="54" t="s">
        <v>55</v>
      </c>
      <c r="C998" s="55">
        <v>144164.28</v>
      </c>
      <c r="D998" s="54">
        <v>1005</v>
      </c>
    </row>
    <row r="999" spans="1:4" x14ac:dyDescent="0.3">
      <c r="A999" s="53" t="s">
        <v>499</v>
      </c>
      <c r="B999" s="54" t="s">
        <v>55</v>
      </c>
      <c r="C999" s="55">
        <v>4450.88</v>
      </c>
      <c r="D999" s="54">
        <v>1006</v>
      </c>
    </row>
    <row r="1000" spans="1:4" x14ac:dyDescent="0.3">
      <c r="A1000" s="53" t="s">
        <v>500</v>
      </c>
      <c r="B1000" s="54" t="s">
        <v>55</v>
      </c>
      <c r="C1000" s="55">
        <v>4886.08</v>
      </c>
      <c r="D1000" s="54">
        <v>1007</v>
      </c>
    </row>
    <row r="1001" spans="1:4" x14ac:dyDescent="0.3">
      <c r="A1001" s="53" t="s">
        <v>501</v>
      </c>
      <c r="B1001" s="54" t="s">
        <v>55</v>
      </c>
      <c r="C1001" s="55">
        <v>11690.43</v>
      </c>
      <c r="D1001" s="54">
        <v>1008</v>
      </c>
    </row>
    <row r="1002" spans="1:4" x14ac:dyDescent="0.3">
      <c r="A1002" s="53" t="s">
        <v>502</v>
      </c>
      <c r="B1002" s="54" t="s">
        <v>55</v>
      </c>
      <c r="C1002" s="55">
        <v>19703.55</v>
      </c>
      <c r="D1002" s="54">
        <v>1009</v>
      </c>
    </row>
    <row r="1003" spans="1:4" x14ac:dyDescent="0.3">
      <c r="A1003" s="53" t="s">
        <v>503</v>
      </c>
      <c r="B1003" s="54" t="s">
        <v>55</v>
      </c>
      <c r="C1003" s="55">
        <v>62941.8</v>
      </c>
      <c r="D1003" s="54">
        <v>1010</v>
      </c>
    </row>
    <row r="1004" spans="1:4" x14ac:dyDescent="0.3">
      <c r="A1004" s="53" t="s">
        <v>504</v>
      </c>
      <c r="B1004" s="54" t="s">
        <v>55</v>
      </c>
      <c r="C1004" s="55">
        <v>4808.99</v>
      </c>
      <c r="D1004" s="54">
        <v>1011</v>
      </c>
    </row>
    <row r="1005" spans="1:4" x14ac:dyDescent="0.3">
      <c r="A1005" s="53" t="s">
        <v>505</v>
      </c>
      <c r="B1005" s="54" t="s">
        <v>55</v>
      </c>
      <c r="C1005" s="55">
        <v>5113.99</v>
      </c>
      <c r="D1005" s="54">
        <v>1012</v>
      </c>
    </row>
    <row r="1006" spans="1:4" x14ac:dyDescent="0.3">
      <c r="A1006" s="53" t="s">
        <v>506</v>
      </c>
      <c r="B1006" s="54" t="s">
        <v>55</v>
      </c>
      <c r="C1006" s="55">
        <v>11197.4</v>
      </c>
      <c r="D1006" s="54">
        <v>1013</v>
      </c>
    </row>
    <row r="1007" spans="1:4" x14ac:dyDescent="0.3">
      <c r="A1007" s="53" t="s">
        <v>507</v>
      </c>
      <c r="B1007" s="54" t="s">
        <v>55</v>
      </c>
      <c r="C1007" s="55">
        <v>17259.669999999998</v>
      </c>
      <c r="D1007" s="54">
        <v>1014</v>
      </c>
    </row>
    <row r="1008" spans="1:4" x14ac:dyDescent="0.3">
      <c r="A1008" s="53" t="s">
        <v>508</v>
      </c>
      <c r="B1008" s="54" t="s">
        <v>55</v>
      </c>
      <c r="C1008" s="55">
        <v>64843.8</v>
      </c>
      <c r="D1008" s="54">
        <v>1015</v>
      </c>
    </row>
    <row r="1009" spans="1:4" x14ac:dyDescent="0.3">
      <c r="A1009" s="53" t="s">
        <v>509</v>
      </c>
      <c r="B1009" s="54" t="s">
        <v>55</v>
      </c>
      <c r="C1009" s="55">
        <v>12846.19</v>
      </c>
      <c r="D1009" s="54">
        <v>1016</v>
      </c>
    </row>
    <row r="1010" spans="1:4" x14ac:dyDescent="0.3">
      <c r="A1010" s="53" t="s">
        <v>510</v>
      </c>
      <c r="B1010" s="54" t="s">
        <v>55</v>
      </c>
      <c r="C1010" s="55">
        <v>2516.61</v>
      </c>
      <c r="D1010" s="54">
        <v>1017</v>
      </c>
    </row>
    <row r="1011" spans="1:4" x14ac:dyDescent="0.3">
      <c r="A1011" s="53" t="s">
        <v>511</v>
      </c>
      <c r="B1011" s="54" t="s">
        <v>55</v>
      </c>
      <c r="C1011" s="55">
        <v>4529.03</v>
      </c>
      <c r="D1011" s="54">
        <v>1018</v>
      </c>
    </row>
    <row r="1012" spans="1:4" x14ac:dyDescent="0.3">
      <c r="A1012" s="53" t="s">
        <v>512</v>
      </c>
      <c r="B1012" s="54" t="s">
        <v>55</v>
      </c>
      <c r="C1012" s="55">
        <v>11489.35</v>
      </c>
      <c r="D1012" s="54">
        <v>1019</v>
      </c>
    </row>
    <row r="1013" spans="1:4" x14ac:dyDescent="0.3">
      <c r="A1013" s="53" t="s">
        <v>513</v>
      </c>
      <c r="B1013" s="54" t="s">
        <v>55</v>
      </c>
      <c r="C1013" s="55">
        <v>6168.55</v>
      </c>
      <c r="D1013" s="54">
        <v>1020</v>
      </c>
    </row>
    <row r="1014" spans="1:4" x14ac:dyDescent="0.3">
      <c r="A1014" s="53" t="s">
        <v>514</v>
      </c>
      <c r="B1014" s="54" t="s">
        <v>55</v>
      </c>
      <c r="C1014" s="55">
        <v>3216.78</v>
      </c>
      <c r="D1014" s="54">
        <v>1021</v>
      </c>
    </row>
    <row r="1015" spans="1:4" x14ac:dyDescent="0.3">
      <c r="A1015" s="53" t="s">
        <v>515</v>
      </c>
      <c r="B1015" s="54" t="s">
        <v>55</v>
      </c>
      <c r="C1015" s="55">
        <v>1042.74</v>
      </c>
      <c r="D1015" s="54">
        <v>1022</v>
      </c>
    </row>
    <row r="1016" spans="1:4" x14ac:dyDescent="0.3">
      <c r="A1016" s="53" t="s">
        <v>516</v>
      </c>
      <c r="B1016" s="54" t="s">
        <v>55</v>
      </c>
      <c r="C1016" s="55">
        <v>50093.4</v>
      </c>
      <c r="D1016" s="54">
        <v>1023</v>
      </c>
    </row>
    <row r="1017" spans="1:4" x14ac:dyDescent="0.3">
      <c r="A1017" s="53" t="s">
        <v>517</v>
      </c>
      <c r="B1017" s="54" t="s">
        <v>55</v>
      </c>
      <c r="C1017" s="55">
        <v>18866.650000000001</v>
      </c>
      <c r="D1017" s="54">
        <v>1024</v>
      </c>
    </row>
    <row r="1018" spans="1:4" x14ac:dyDescent="0.3">
      <c r="A1018" s="53" t="s">
        <v>518</v>
      </c>
      <c r="B1018" s="54" t="s">
        <v>55</v>
      </c>
      <c r="C1018" s="55">
        <v>70596.53</v>
      </c>
      <c r="D1018" s="54">
        <v>1025</v>
      </c>
    </row>
    <row r="1019" spans="1:4" x14ac:dyDescent="0.3">
      <c r="A1019" s="53" t="s">
        <v>519</v>
      </c>
      <c r="B1019" s="54" t="s">
        <v>55</v>
      </c>
      <c r="C1019" s="55">
        <v>1673.46</v>
      </c>
      <c r="D1019" s="54">
        <v>1026</v>
      </c>
    </row>
    <row r="1020" spans="1:4" x14ac:dyDescent="0.3">
      <c r="A1020" s="53" t="s">
        <v>520</v>
      </c>
      <c r="B1020" s="54" t="s">
        <v>55</v>
      </c>
      <c r="C1020" s="55">
        <v>149273.92000000001</v>
      </c>
      <c r="D1020" s="54">
        <v>1027</v>
      </c>
    </row>
    <row r="1021" spans="1:4" x14ac:dyDescent="0.3">
      <c r="A1021" s="53" t="s">
        <v>521</v>
      </c>
      <c r="B1021" s="54" t="s">
        <v>55</v>
      </c>
      <c r="C1021" s="55">
        <v>3691.92</v>
      </c>
      <c r="D1021" s="54">
        <v>1028</v>
      </c>
    </row>
    <row r="1022" spans="1:4" x14ac:dyDescent="0.3">
      <c r="A1022" s="53" t="s">
        <v>522</v>
      </c>
      <c r="B1022" s="54" t="s">
        <v>55</v>
      </c>
      <c r="C1022" s="55">
        <v>4034.05</v>
      </c>
      <c r="D1022" s="54">
        <v>1029</v>
      </c>
    </row>
    <row r="1023" spans="1:4" x14ac:dyDescent="0.3">
      <c r="A1023" s="53" t="s">
        <v>523</v>
      </c>
      <c r="B1023" s="54" t="s">
        <v>55</v>
      </c>
      <c r="C1023" s="55">
        <v>8689.5400000000009</v>
      </c>
      <c r="D1023" s="54">
        <v>1030</v>
      </c>
    </row>
    <row r="1024" spans="1:4" x14ac:dyDescent="0.3">
      <c r="A1024" s="53" t="s">
        <v>524</v>
      </c>
      <c r="B1024" s="54" t="s">
        <v>55</v>
      </c>
      <c r="C1024" s="55">
        <v>12676.05</v>
      </c>
      <c r="D1024" s="54">
        <v>1031</v>
      </c>
    </row>
    <row r="1025" spans="1:4" x14ac:dyDescent="0.3">
      <c r="A1025" s="53" t="s">
        <v>525</v>
      </c>
      <c r="B1025" s="54" t="s">
        <v>55</v>
      </c>
      <c r="C1025" s="55">
        <v>146232.95999999999</v>
      </c>
      <c r="D1025" s="54">
        <v>1032</v>
      </c>
    </row>
    <row r="1026" spans="1:4" x14ac:dyDescent="0.3">
      <c r="A1026" s="53" t="s">
        <v>526</v>
      </c>
      <c r="B1026" s="54" t="s">
        <v>55</v>
      </c>
      <c r="C1026" s="55">
        <v>4364.68</v>
      </c>
      <c r="D1026" s="54">
        <v>1033</v>
      </c>
    </row>
    <row r="1027" spans="1:4" x14ac:dyDescent="0.3">
      <c r="A1027" s="53" t="s">
        <v>527</v>
      </c>
      <c r="B1027" s="54" t="s">
        <v>55</v>
      </c>
      <c r="C1027" s="55">
        <v>4794.82</v>
      </c>
      <c r="D1027" s="54">
        <v>1034</v>
      </c>
    </row>
    <row r="1028" spans="1:4" x14ac:dyDescent="0.3">
      <c r="A1028" s="53" t="s">
        <v>528</v>
      </c>
      <c r="B1028" s="54" t="s">
        <v>55</v>
      </c>
      <c r="C1028" s="55">
        <v>10322.459999999999</v>
      </c>
      <c r="D1028" s="54">
        <v>1035</v>
      </c>
    </row>
    <row r="1029" spans="1:4" x14ac:dyDescent="0.3">
      <c r="A1029" s="53" t="s">
        <v>529</v>
      </c>
      <c r="B1029" s="54" t="s">
        <v>55</v>
      </c>
      <c r="C1029" s="55">
        <v>18693.41</v>
      </c>
      <c r="D1029" s="54">
        <v>1036</v>
      </c>
    </row>
    <row r="1030" spans="1:4" x14ac:dyDescent="0.3">
      <c r="A1030" s="53" t="s">
        <v>530</v>
      </c>
      <c r="B1030" s="54" t="s">
        <v>55</v>
      </c>
      <c r="C1030" s="55">
        <v>143725.53</v>
      </c>
      <c r="D1030" s="54">
        <v>1037</v>
      </c>
    </row>
    <row r="1031" spans="1:4" x14ac:dyDescent="0.3">
      <c r="A1031" s="53" t="s">
        <v>533</v>
      </c>
      <c r="B1031" s="54" t="s">
        <v>55</v>
      </c>
      <c r="C1031" s="55">
        <v>30606.17</v>
      </c>
      <c r="D1031" s="54">
        <v>1038</v>
      </c>
    </row>
    <row r="1032" spans="1:4" x14ac:dyDescent="0.3">
      <c r="A1032" s="53" t="s">
        <v>534</v>
      </c>
      <c r="B1032" s="54" t="s">
        <v>55</v>
      </c>
      <c r="C1032" s="55">
        <v>43934.6</v>
      </c>
      <c r="D1032" s="54">
        <v>1039</v>
      </c>
    </row>
    <row r="1033" spans="1:4" x14ac:dyDescent="0.3">
      <c r="A1033" s="53" t="s">
        <v>760</v>
      </c>
      <c r="B1033" s="54" t="s">
        <v>55</v>
      </c>
      <c r="C1033" s="55">
        <v>1441.55</v>
      </c>
      <c r="D1033" s="54">
        <v>1040</v>
      </c>
    </row>
    <row r="1034" spans="1:4" x14ac:dyDescent="0.3">
      <c r="A1034" s="53" t="s">
        <v>874</v>
      </c>
      <c r="B1034" s="54" t="s">
        <v>55</v>
      </c>
      <c r="C1034" s="55">
        <v>14814.97</v>
      </c>
      <c r="D1034" s="54">
        <v>1041</v>
      </c>
    </row>
    <row r="1035" spans="1:4" x14ac:dyDescent="0.3">
      <c r="A1035" s="53" t="s">
        <v>875</v>
      </c>
      <c r="B1035" s="54" t="s">
        <v>55</v>
      </c>
      <c r="C1035" s="55">
        <v>33112.71</v>
      </c>
      <c r="D1035" s="54">
        <v>1042</v>
      </c>
    </row>
    <row r="1036" spans="1:4" x14ac:dyDescent="0.3">
      <c r="A1036" s="53" t="s">
        <v>876</v>
      </c>
      <c r="B1036" s="54" t="s">
        <v>55</v>
      </c>
      <c r="C1036" s="55">
        <v>7582.54</v>
      </c>
      <c r="D1036" s="54">
        <v>1043</v>
      </c>
    </row>
    <row r="1037" spans="1:4" x14ac:dyDescent="0.3">
      <c r="A1037" s="53" t="s">
        <v>877</v>
      </c>
      <c r="B1037" s="54" t="s">
        <v>55</v>
      </c>
      <c r="C1037" s="55">
        <v>20154.59</v>
      </c>
      <c r="D1037" s="54">
        <v>1044</v>
      </c>
    </row>
    <row r="1038" spans="1:4" x14ac:dyDescent="0.3">
      <c r="A1038" s="53" t="s">
        <v>878</v>
      </c>
      <c r="B1038" s="54" t="s">
        <v>55</v>
      </c>
      <c r="C1038" s="55">
        <v>42134.14</v>
      </c>
      <c r="D1038" s="54">
        <v>1045</v>
      </c>
    </row>
    <row r="1039" spans="1:4" x14ac:dyDescent="0.3">
      <c r="A1039" s="53" t="s">
        <v>879</v>
      </c>
      <c r="B1039" s="54" t="s">
        <v>55</v>
      </c>
      <c r="C1039" s="55">
        <v>6930.61</v>
      </c>
      <c r="D1039" s="54">
        <v>1046</v>
      </c>
    </row>
    <row r="1040" spans="1:4" x14ac:dyDescent="0.3">
      <c r="A1040" s="53" t="s">
        <v>880</v>
      </c>
      <c r="B1040" s="54" t="s">
        <v>55</v>
      </c>
      <c r="C1040" s="55">
        <v>6603.89</v>
      </c>
      <c r="D1040" s="54">
        <v>1047</v>
      </c>
    </row>
    <row r="1041" spans="1:4" x14ac:dyDescent="0.3">
      <c r="A1041" s="53" t="s">
        <v>881</v>
      </c>
      <c r="B1041" s="54" t="s">
        <v>55</v>
      </c>
      <c r="C1041" s="55">
        <v>15540.47</v>
      </c>
      <c r="D1041" s="54">
        <v>1048</v>
      </c>
    </row>
    <row r="1042" spans="1:4" x14ac:dyDescent="0.3">
      <c r="A1042" s="53" t="s">
        <v>882</v>
      </c>
      <c r="B1042" s="54" t="s">
        <v>55</v>
      </c>
      <c r="C1042" s="55">
        <v>32815.949999999997</v>
      </c>
      <c r="D1042" s="54">
        <v>1049</v>
      </c>
    </row>
    <row r="1043" spans="1:4" x14ac:dyDescent="0.3">
      <c r="A1043" s="53" t="s">
        <v>894</v>
      </c>
      <c r="B1043" s="54" t="s">
        <v>55</v>
      </c>
      <c r="C1043" s="55">
        <v>5208.87</v>
      </c>
      <c r="D1043" s="54">
        <v>1050</v>
      </c>
    </row>
    <row r="1044" spans="1:4" x14ac:dyDescent="0.3">
      <c r="A1044" s="53" t="s">
        <v>895</v>
      </c>
      <c r="B1044" s="54" t="s">
        <v>55</v>
      </c>
      <c r="C1044" s="55">
        <v>5782.32</v>
      </c>
      <c r="D1044" s="54">
        <v>1051</v>
      </c>
    </row>
    <row r="1045" spans="1:4" x14ac:dyDescent="0.3">
      <c r="A1045" s="53" t="s">
        <v>968</v>
      </c>
      <c r="B1045" s="54" t="s">
        <v>55</v>
      </c>
      <c r="C1045" s="55">
        <v>1198.9000000000001</v>
      </c>
      <c r="D1045" s="54">
        <v>1052</v>
      </c>
    </row>
    <row r="1046" spans="1:4" x14ac:dyDescent="0.3">
      <c r="A1046" s="53" t="s">
        <v>969</v>
      </c>
      <c r="B1046" s="54" t="s">
        <v>55</v>
      </c>
      <c r="C1046" s="55">
        <v>1647.16</v>
      </c>
      <c r="D1046" s="54">
        <v>1053</v>
      </c>
    </row>
    <row r="1047" spans="1:4" x14ac:dyDescent="0.3">
      <c r="A1047" s="53" t="s">
        <v>970</v>
      </c>
      <c r="B1047" s="54" t="s">
        <v>55</v>
      </c>
      <c r="C1047" s="55">
        <v>2260.9299999999998</v>
      </c>
      <c r="D1047" s="54">
        <v>1054</v>
      </c>
    </row>
    <row r="1048" spans="1:4" x14ac:dyDescent="0.3">
      <c r="A1048" s="53" t="s">
        <v>971</v>
      </c>
      <c r="B1048" s="54" t="s">
        <v>55</v>
      </c>
      <c r="C1048" s="55">
        <v>3929.57</v>
      </c>
      <c r="D1048" s="54">
        <v>1055</v>
      </c>
    </row>
    <row r="1049" spans="1:4" x14ac:dyDescent="0.3">
      <c r="A1049" s="53" t="s">
        <v>972</v>
      </c>
      <c r="B1049" s="54" t="s">
        <v>55</v>
      </c>
      <c r="C1049" s="55">
        <v>7507.02</v>
      </c>
      <c r="D1049" s="54">
        <v>1056</v>
      </c>
    </row>
    <row r="1050" spans="1:4" x14ac:dyDescent="0.3">
      <c r="A1050" s="53" t="s">
        <v>973</v>
      </c>
      <c r="B1050" s="54" t="s">
        <v>55</v>
      </c>
      <c r="C1050" s="55">
        <v>6214.62</v>
      </c>
      <c r="D1050" s="54">
        <v>1057</v>
      </c>
    </row>
    <row r="1051" spans="1:4" x14ac:dyDescent="0.3">
      <c r="A1051" s="53" t="s">
        <v>974</v>
      </c>
      <c r="B1051" s="54" t="s">
        <v>55</v>
      </c>
      <c r="C1051" s="55">
        <v>3001.29</v>
      </c>
      <c r="D1051" s="54">
        <v>1058</v>
      </c>
    </row>
    <row r="1052" spans="1:4" x14ac:dyDescent="0.3">
      <c r="A1052" s="53" t="s">
        <v>975</v>
      </c>
      <c r="B1052" s="54" t="s">
        <v>55</v>
      </c>
      <c r="C1052" s="55">
        <v>667.22</v>
      </c>
      <c r="D1052" s="54">
        <v>1059</v>
      </c>
    </row>
    <row r="1053" spans="1:4" x14ac:dyDescent="0.3">
      <c r="A1053" s="53" t="s">
        <v>976</v>
      </c>
      <c r="B1053" s="54" t="s">
        <v>55</v>
      </c>
      <c r="C1053" s="55">
        <v>27579.71</v>
      </c>
      <c r="D1053" s="54">
        <v>1060</v>
      </c>
    </row>
    <row r="1054" spans="1:4" x14ac:dyDescent="0.3">
      <c r="A1054" s="53" t="s">
        <v>977</v>
      </c>
      <c r="B1054" s="54" t="s">
        <v>55</v>
      </c>
      <c r="C1054" s="55">
        <v>11129.52</v>
      </c>
      <c r="D1054" s="54">
        <v>1061</v>
      </c>
    </row>
    <row r="1055" spans="1:4" x14ac:dyDescent="0.3">
      <c r="A1055" s="53" t="s">
        <v>978</v>
      </c>
      <c r="B1055" s="54" t="s">
        <v>55</v>
      </c>
      <c r="C1055" s="55">
        <v>43433.98</v>
      </c>
      <c r="D1055" s="54">
        <v>1062</v>
      </c>
    </row>
    <row r="1056" spans="1:4" x14ac:dyDescent="0.3">
      <c r="A1056" s="53" t="s">
        <v>979</v>
      </c>
      <c r="B1056" s="54" t="s">
        <v>55</v>
      </c>
      <c r="C1056" s="55">
        <v>1986.94</v>
      </c>
      <c r="D1056" s="54">
        <v>1063</v>
      </c>
    </row>
    <row r="1057" spans="1:4" x14ac:dyDescent="0.3">
      <c r="A1057" s="53" t="s">
        <v>980</v>
      </c>
      <c r="B1057" s="54" t="s">
        <v>55</v>
      </c>
      <c r="C1057" s="55">
        <v>77459.61</v>
      </c>
      <c r="D1057" s="54">
        <v>1064</v>
      </c>
    </row>
    <row r="1058" spans="1:4" x14ac:dyDescent="0.3">
      <c r="A1058" s="53" t="s">
        <v>981</v>
      </c>
      <c r="B1058" s="54" t="s">
        <v>55</v>
      </c>
      <c r="C1058" s="55">
        <v>9195.93</v>
      </c>
      <c r="D1058" s="54">
        <v>1065</v>
      </c>
    </row>
    <row r="1059" spans="1:4" x14ac:dyDescent="0.3">
      <c r="A1059" s="53" t="s">
        <v>982</v>
      </c>
      <c r="B1059" s="54" t="s">
        <v>55</v>
      </c>
      <c r="C1059" s="55">
        <v>2208.38</v>
      </c>
      <c r="D1059" s="54">
        <v>1066</v>
      </c>
    </row>
    <row r="1060" spans="1:4" x14ac:dyDescent="0.3">
      <c r="A1060" s="53" t="s">
        <v>983</v>
      </c>
      <c r="B1060" s="54" t="s">
        <v>55</v>
      </c>
      <c r="C1060" s="55">
        <v>2272.4499999999998</v>
      </c>
      <c r="D1060" s="54">
        <v>1067</v>
      </c>
    </row>
    <row r="1061" spans="1:4" x14ac:dyDescent="0.3">
      <c r="A1061" s="53" t="s">
        <v>984</v>
      </c>
      <c r="B1061" s="54" t="s">
        <v>55</v>
      </c>
      <c r="C1061" s="55">
        <v>6088.81</v>
      </c>
      <c r="D1061" s="54">
        <v>1068</v>
      </c>
    </row>
    <row r="1062" spans="1:4" x14ac:dyDescent="0.3">
      <c r="A1062" s="53" t="s">
        <v>985</v>
      </c>
      <c r="B1062" s="54" t="s">
        <v>55</v>
      </c>
      <c r="C1062" s="55">
        <v>4767.28</v>
      </c>
      <c r="D1062" s="54">
        <v>1069</v>
      </c>
    </row>
    <row r="1063" spans="1:4" x14ac:dyDescent="0.3">
      <c r="A1063" s="53" t="s">
        <v>986</v>
      </c>
      <c r="B1063" s="54" t="s">
        <v>55</v>
      </c>
      <c r="C1063" s="55">
        <v>2035.48</v>
      </c>
      <c r="D1063" s="54">
        <v>1070</v>
      </c>
    </row>
    <row r="1064" spans="1:4" x14ac:dyDescent="0.3">
      <c r="A1064" s="53" t="s">
        <v>987</v>
      </c>
      <c r="B1064" s="54" t="s">
        <v>55</v>
      </c>
      <c r="C1064" s="55">
        <v>499.07</v>
      </c>
      <c r="D1064" s="54">
        <v>1071</v>
      </c>
    </row>
    <row r="1065" spans="1:4" x14ac:dyDescent="0.3">
      <c r="A1065" s="53" t="s">
        <v>988</v>
      </c>
      <c r="B1065" s="54" t="s">
        <v>55</v>
      </c>
      <c r="C1065" s="55">
        <v>19729.349999999999</v>
      </c>
      <c r="D1065" s="54">
        <v>1072</v>
      </c>
    </row>
    <row r="1066" spans="1:4" x14ac:dyDescent="0.3">
      <c r="A1066" s="53" t="s">
        <v>989</v>
      </c>
      <c r="B1066" s="54" t="s">
        <v>55</v>
      </c>
      <c r="C1066" s="55">
        <v>9636.1299999999992</v>
      </c>
      <c r="D1066" s="54">
        <v>1073</v>
      </c>
    </row>
    <row r="1067" spans="1:4" x14ac:dyDescent="0.3">
      <c r="A1067" s="53" t="s">
        <v>990</v>
      </c>
      <c r="B1067" s="54" t="s">
        <v>55</v>
      </c>
      <c r="C1067" s="55">
        <v>34870.01</v>
      </c>
      <c r="D1067" s="54">
        <v>1074</v>
      </c>
    </row>
    <row r="1068" spans="1:4" x14ac:dyDescent="0.3">
      <c r="A1068" s="53" t="s">
        <v>991</v>
      </c>
      <c r="B1068" s="54" t="s">
        <v>55</v>
      </c>
      <c r="C1068" s="55">
        <v>1093.6099999999999</v>
      </c>
      <c r="D1068" s="54">
        <v>1075</v>
      </c>
    </row>
    <row r="1069" spans="1:4" x14ac:dyDescent="0.3">
      <c r="A1069" s="53" t="s">
        <v>992</v>
      </c>
      <c r="B1069" s="54" t="s">
        <v>55</v>
      </c>
      <c r="C1069" s="55">
        <v>62431.43</v>
      </c>
      <c r="D1069" s="54">
        <v>1076</v>
      </c>
    </row>
    <row r="1070" spans="1:4" x14ac:dyDescent="0.3">
      <c r="A1070" s="53" t="s">
        <v>993</v>
      </c>
      <c r="B1070" s="54" t="s">
        <v>55</v>
      </c>
      <c r="C1070" s="55">
        <v>26049.81</v>
      </c>
      <c r="D1070" s="54">
        <v>1077</v>
      </c>
    </row>
    <row r="1071" spans="1:4" x14ac:dyDescent="0.3">
      <c r="A1071" s="53" t="s">
        <v>994</v>
      </c>
      <c r="B1071" s="54" t="s">
        <v>55</v>
      </c>
      <c r="C1071" s="55">
        <v>3192.02</v>
      </c>
      <c r="D1071" s="54">
        <v>1078</v>
      </c>
    </row>
    <row r="1072" spans="1:4" x14ac:dyDescent="0.3">
      <c r="A1072" s="53" t="s">
        <v>995</v>
      </c>
      <c r="B1072" s="54" t="s">
        <v>55</v>
      </c>
      <c r="C1072" s="55">
        <v>4837.04</v>
      </c>
      <c r="D1072" s="54">
        <v>1079</v>
      </c>
    </row>
    <row r="1073" spans="1:4" x14ac:dyDescent="0.3">
      <c r="A1073" s="53" t="s">
        <v>996</v>
      </c>
      <c r="B1073" s="54" t="s">
        <v>55</v>
      </c>
      <c r="C1073" s="55">
        <v>39601.760000000002</v>
      </c>
      <c r="D1073" s="54">
        <v>1080</v>
      </c>
    </row>
    <row r="1074" spans="1:4" x14ac:dyDescent="0.3">
      <c r="A1074" s="53" t="s">
        <v>997</v>
      </c>
      <c r="B1074" s="54" t="s">
        <v>55</v>
      </c>
      <c r="C1074" s="55">
        <v>60648.15</v>
      </c>
      <c r="D1074" s="54">
        <v>1081</v>
      </c>
    </row>
    <row r="1075" spans="1:4" x14ac:dyDescent="0.3">
      <c r="A1075" s="53" t="s">
        <v>998</v>
      </c>
      <c r="B1075" s="54" t="s">
        <v>55</v>
      </c>
      <c r="C1075" s="55">
        <v>13857.96</v>
      </c>
      <c r="D1075" s="54">
        <v>1082</v>
      </c>
    </row>
    <row r="1076" spans="1:4" x14ac:dyDescent="0.3">
      <c r="A1076" s="53" t="s">
        <v>999</v>
      </c>
      <c r="B1076" s="54" t="s">
        <v>55</v>
      </c>
      <c r="C1076" s="55">
        <v>4084.14</v>
      </c>
      <c r="D1076" s="54">
        <v>1083</v>
      </c>
    </row>
    <row r="1077" spans="1:4" x14ac:dyDescent="0.3">
      <c r="A1077" s="53" t="s">
        <v>1000</v>
      </c>
      <c r="B1077" s="54" t="s">
        <v>55</v>
      </c>
      <c r="C1077" s="55">
        <v>6568.54</v>
      </c>
      <c r="D1077" s="54">
        <v>1084</v>
      </c>
    </row>
    <row r="1078" spans="1:4" x14ac:dyDescent="0.3">
      <c r="A1078" s="53" t="s">
        <v>1001</v>
      </c>
      <c r="B1078" s="54" t="s">
        <v>55</v>
      </c>
      <c r="C1078" s="55">
        <v>6102.23</v>
      </c>
      <c r="D1078" s="54">
        <v>1085</v>
      </c>
    </row>
    <row r="1079" spans="1:4" x14ac:dyDescent="0.3">
      <c r="A1079" s="53" t="s">
        <v>1002</v>
      </c>
      <c r="B1079" s="54" t="s">
        <v>55</v>
      </c>
      <c r="C1079" s="55">
        <v>14441.25</v>
      </c>
      <c r="D1079" s="54">
        <v>1086</v>
      </c>
    </row>
    <row r="1080" spans="1:4" x14ac:dyDescent="0.3">
      <c r="A1080" s="53" t="s">
        <v>1003</v>
      </c>
      <c r="B1080" s="54" t="s">
        <v>55</v>
      </c>
      <c r="C1080" s="55">
        <v>10520.94</v>
      </c>
      <c r="D1080" s="54">
        <v>1087</v>
      </c>
    </row>
    <row r="1081" spans="1:4" x14ac:dyDescent="0.3">
      <c r="A1081" s="53" t="s">
        <v>1004</v>
      </c>
      <c r="B1081" s="54" t="s">
        <v>55</v>
      </c>
      <c r="C1081" s="55">
        <v>3875.43</v>
      </c>
      <c r="D1081" s="54">
        <v>1088</v>
      </c>
    </row>
    <row r="1082" spans="1:4" x14ac:dyDescent="0.3">
      <c r="A1082" s="53" t="s">
        <v>1005</v>
      </c>
      <c r="B1082" s="54" t="s">
        <v>55</v>
      </c>
      <c r="C1082" s="55">
        <v>1136.6300000000001</v>
      </c>
      <c r="D1082" s="54">
        <v>1089</v>
      </c>
    </row>
    <row r="1083" spans="1:4" x14ac:dyDescent="0.3">
      <c r="A1083" s="53" t="s">
        <v>1006</v>
      </c>
      <c r="B1083" s="54" t="s">
        <v>55</v>
      </c>
      <c r="C1083" s="55">
        <v>54275.34</v>
      </c>
      <c r="D1083" s="54">
        <v>1090</v>
      </c>
    </row>
    <row r="1084" spans="1:4" x14ac:dyDescent="0.3">
      <c r="A1084" s="53" t="s">
        <v>1007</v>
      </c>
      <c r="B1084" s="54" t="s">
        <v>55</v>
      </c>
      <c r="C1084" s="55">
        <v>22929.08</v>
      </c>
      <c r="D1084" s="54">
        <v>1091</v>
      </c>
    </row>
    <row r="1085" spans="1:4" x14ac:dyDescent="0.3">
      <c r="A1085" s="53" t="s">
        <v>1008</v>
      </c>
      <c r="B1085" s="54" t="s">
        <v>55</v>
      </c>
      <c r="C1085" s="55">
        <v>81500.5</v>
      </c>
      <c r="D1085" s="54">
        <v>1092</v>
      </c>
    </row>
    <row r="1086" spans="1:4" x14ac:dyDescent="0.3">
      <c r="A1086" s="53" t="s">
        <v>1009</v>
      </c>
      <c r="B1086" s="54" t="s">
        <v>55</v>
      </c>
      <c r="C1086" s="55">
        <v>2139.4299999999998</v>
      </c>
      <c r="D1086" s="54">
        <v>1093</v>
      </c>
    </row>
    <row r="1087" spans="1:4" x14ac:dyDescent="0.3">
      <c r="A1087" s="53" t="s">
        <v>1010</v>
      </c>
      <c r="B1087" s="54" t="s">
        <v>55</v>
      </c>
      <c r="C1087" s="55">
        <v>177745.63</v>
      </c>
      <c r="D1087" s="54">
        <v>1094</v>
      </c>
    </row>
    <row r="1088" spans="1:4" x14ac:dyDescent="0.3">
      <c r="A1088" s="53" t="s">
        <v>1011</v>
      </c>
      <c r="B1088" s="54" t="s">
        <v>55</v>
      </c>
      <c r="C1088" s="55">
        <v>6204.53</v>
      </c>
      <c r="D1088" s="54">
        <v>1095</v>
      </c>
    </row>
    <row r="1089" spans="1:4" x14ac:dyDescent="0.3">
      <c r="A1089" s="53" t="s">
        <v>1012</v>
      </c>
      <c r="B1089" s="54" t="s">
        <v>55</v>
      </c>
      <c r="C1089" s="55">
        <v>5519.95</v>
      </c>
      <c r="D1089" s="54">
        <v>1096</v>
      </c>
    </row>
    <row r="1090" spans="1:4" x14ac:dyDescent="0.3">
      <c r="A1090" s="53" t="s">
        <v>1013</v>
      </c>
      <c r="B1090" s="54" t="s">
        <v>55</v>
      </c>
      <c r="C1090" s="55">
        <v>3120.1</v>
      </c>
      <c r="D1090" s="54">
        <v>1097</v>
      </c>
    </row>
    <row r="1091" spans="1:4" x14ac:dyDescent="0.3">
      <c r="A1091" s="53" t="s">
        <v>1014</v>
      </c>
      <c r="B1091" s="54" t="s">
        <v>55</v>
      </c>
      <c r="C1091" s="55">
        <v>10043.459999999999</v>
      </c>
      <c r="D1091" s="54">
        <v>1098</v>
      </c>
    </row>
    <row r="1092" spans="1:4" x14ac:dyDescent="0.3">
      <c r="A1092" s="53" t="s">
        <v>1015</v>
      </c>
      <c r="B1092" s="54" t="s">
        <v>55</v>
      </c>
      <c r="C1092" s="55">
        <v>22994.57</v>
      </c>
      <c r="D1092" s="54">
        <v>1099</v>
      </c>
    </row>
    <row r="1093" spans="1:4" x14ac:dyDescent="0.3">
      <c r="A1093" s="53" t="s">
        <v>1016</v>
      </c>
      <c r="B1093" s="54" t="s">
        <v>55</v>
      </c>
      <c r="C1093" s="55">
        <v>39214.730000000003</v>
      </c>
      <c r="D1093" s="54">
        <v>1100</v>
      </c>
    </row>
    <row r="1094" spans="1:4" x14ac:dyDescent="0.3">
      <c r="A1094" s="53" t="s">
        <v>1017</v>
      </c>
      <c r="B1094" s="54" t="s">
        <v>55</v>
      </c>
      <c r="C1094" s="55">
        <v>40705.11</v>
      </c>
      <c r="D1094" s="54">
        <v>1101</v>
      </c>
    </row>
    <row r="1095" spans="1:4" x14ac:dyDescent="0.3">
      <c r="A1095" s="53" t="s">
        <v>1018</v>
      </c>
      <c r="B1095" s="54" t="s">
        <v>55</v>
      </c>
      <c r="C1095" s="55">
        <v>256585.23</v>
      </c>
      <c r="D1095" s="54">
        <v>1102</v>
      </c>
    </row>
    <row r="1096" spans="1:4" x14ac:dyDescent="0.3">
      <c r="A1096" s="53" t="s">
        <v>1019</v>
      </c>
      <c r="B1096" s="54" t="s">
        <v>55</v>
      </c>
      <c r="C1096" s="55">
        <v>7686.71</v>
      </c>
      <c r="D1096" s="54">
        <v>1103</v>
      </c>
    </row>
    <row r="1097" spans="1:4" x14ac:dyDescent="0.3">
      <c r="A1097" s="53" t="s">
        <v>1020</v>
      </c>
      <c r="B1097" s="54" t="s">
        <v>55</v>
      </c>
      <c r="C1097" s="55">
        <v>9210.36</v>
      </c>
      <c r="D1097" s="54">
        <v>1104</v>
      </c>
    </row>
    <row r="1098" spans="1:4" x14ac:dyDescent="0.3">
      <c r="A1098" s="53" t="s">
        <v>1021</v>
      </c>
      <c r="B1098" s="54" t="s">
        <v>55</v>
      </c>
      <c r="C1098" s="55">
        <v>10754.2</v>
      </c>
      <c r="D1098" s="54">
        <v>1105</v>
      </c>
    </row>
    <row r="1099" spans="1:4" x14ac:dyDescent="0.3">
      <c r="A1099" s="53" t="s">
        <v>1022</v>
      </c>
      <c r="B1099" s="54" t="s">
        <v>55</v>
      </c>
      <c r="C1099" s="55">
        <v>23265.35</v>
      </c>
      <c r="D1099" s="54">
        <v>1106</v>
      </c>
    </row>
    <row r="1100" spans="1:4" x14ac:dyDescent="0.3">
      <c r="A1100" s="53" t="s">
        <v>1023</v>
      </c>
      <c r="B1100" s="54" t="s">
        <v>55</v>
      </c>
      <c r="C1100" s="55">
        <v>207704.06</v>
      </c>
      <c r="D1100" s="54">
        <v>1107</v>
      </c>
    </row>
    <row r="1101" spans="1:4" x14ac:dyDescent="0.3">
      <c r="A1101" s="53" t="s">
        <v>1099</v>
      </c>
      <c r="B1101" s="54" t="s">
        <v>55</v>
      </c>
      <c r="C1101" s="55">
        <v>142781.29999999999</v>
      </c>
      <c r="D1101" s="54">
        <v>1108</v>
      </c>
    </row>
    <row r="1102" spans="1:4" x14ac:dyDescent="0.3">
      <c r="A1102" s="53" t="s">
        <v>1100</v>
      </c>
      <c r="B1102" s="54" t="s">
        <v>55</v>
      </c>
      <c r="C1102" s="55">
        <v>56546.69</v>
      </c>
      <c r="D1102" s="54">
        <v>1109</v>
      </c>
    </row>
    <row r="1103" spans="1:4" x14ac:dyDescent="0.3">
      <c r="A1103" s="53" t="s">
        <v>1101</v>
      </c>
      <c r="B1103" s="54" t="s">
        <v>55</v>
      </c>
      <c r="C1103" s="55">
        <v>92828.7</v>
      </c>
      <c r="D1103" s="54">
        <v>1110</v>
      </c>
    </row>
    <row r="1104" spans="1:4" x14ac:dyDescent="0.3">
      <c r="A1104" s="53" t="s">
        <v>2224</v>
      </c>
      <c r="B1104" s="54" t="s">
        <v>55</v>
      </c>
      <c r="C1104" s="55">
        <v>40530.050000000003</v>
      </c>
      <c r="D1104" s="54">
        <v>1111</v>
      </c>
    </row>
    <row r="1105" spans="1:4" x14ac:dyDescent="0.3">
      <c r="A1105" s="53" t="s">
        <v>1116</v>
      </c>
      <c r="B1105" s="54" t="s">
        <v>55</v>
      </c>
      <c r="C1105" s="55">
        <v>55779.07</v>
      </c>
      <c r="D1105" s="54">
        <v>1112</v>
      </c>
    </row>
    <row r="1106" spans="1:4" x14ac:dyDescent="0.3">
      <c r="A1106" s="53" t="s">
        <v>1117</v>
      </c>
      <c r="B1106" s="54" t="s">
        <v>55</v>
      </c>
      <c r="C1106" s="55">
        <v>25420.25</v>
      </c>
      <c r="D1106" s="54">
        <v>1113</v>
      </c>
    </row>
    <row r="1107" spans="1:4" x14ac:dyDescent="0.3">
      <c r="A1107" s="53" t="s">
        <v>1118</v>
      </c>
      <c r="B1107" s="54" t="s">
        <v>55</v>
      </c>
      <c r="C1107" s="55">
        <v>84149.88</v>
      </c>
      <c r="D1107" s="54">
        <v>1114</v>
      </c>
    </row>
    <row r="1108" spans="1:4" x14ac:dyDescent="0.3">
      <c r="A1108" s="53" t="s">
        <v>1119</v>
      </c>
      <c r="B1108" s="54" t="s">
        <v>55</v>
      </c>
      <c r="C1108" s="55">
        <v>82704.740000000005</v>
      </c>
      <c r="D1108" s="54">
        <v>1115</v>
      </c>
    </row>
    <row r="1109" spans="1:4" x14ac:dyDescent="0.3">
      <c r="A1109" s="53" t="s">
        <v>2225</v>
      </c>
      <c r="B1109" s="54" t="s">
        <v>55</v>
      </c>
      <c r="C1109" s="55">
        <v>38684.51</v>
      </c>
      <c r="D1109" s="54">
        <v>1116</v>
      </c>
    </row>
    <row r="1110" spans="1:4" x14ac:dyDescent="0.3">
      <c r="A1110" s="53" t="s">
        <v>2226</v>
      </c>
      <c r="B1110" s="54" t="s">
        <v>55</v>
      </c>
      <c r="C1110" s="55">
        <v>259728.77</v>
      </c>
      <c r="D1110" s="54">
        <v>1117</v>
      </c>
    </row>
    <row r="1111" spans="1:4" x14ac:dyDescent="0.3">
      <c r="A1111" s="53" t="s">
        <v>1120</v>
      </c>
      <c r="B1111" s="54" t="s">
        <v>55</v>
      </c>
      <c r="C1111" s="55">
        <v>134461.64000000001</v>
      </c>
      <c r="D1111" s="54">
        <v>1118</v>
      </c>
    </row>
    <row r="1112" spans="1:4" x14ac:dyDescent="0.3">
      <c r="A1112" s="53" t="s">
        <v>1121</v>
      </c>
      <c r="B1112" s="54" t="s">
        <v>55</v>
      </c>
      <c r="C1112" s="55">
        <v>296447.75</v>
      </c>
      <c r="D1112" s="54">
        <v>1119</v>
      </c>
    </row>
    <row r="1113" spans="1:4" x14ac:dyDescent="0.3">
      <c r="A1113" s="53" t="s">
        <v>1122</v>
      </c>
      <c r="B1113" s="54" t="s">
        <v>55</v>
      </c>
      <c r="C1113" s="55">
        <v>30686.28</v>
      </c>
      <c r="D1113" s="54">
        <v>1120</v>
      </c>
    </row>
    <row r="1114" spans="1:4" x14ac:dyDescent="0.3">
      <c r="A1114" s="53" t="s">
        <v>1123</v>
      </c>
      <c r="B1114" s="54" t="s">
        <v>55</v>
      </c>
      <c r="C1114" s="55">
        <v>594743.62</v>
      </c>
      <c r="D1114" s="54">
        <v>1121</v>
      </c>
    </row>
    <row r="1115" spans="1:4" x14ac:dyDescent="0.3">
      <c r="A1115" s="53" t="s">
        <v>1124</v>
      </c>
      <c r="B1115" s="54" t="s">
        <v>55</v>
      </c>
      <c r="C1115" s="55">
        <v>21447.17</v>
      </c>
      <c r="D1115" s="54">
        <v>1122</v>
      </c>
    </row>
    <row r="1116" spans="1:4" x14ac:dyDescent="0.3">
      <c r="A1116" s="53" t="s">
        <v>1143</v>
      </c>
      <c r="B1116" s="54" t="s">
        <v>55</v>
      </c>
      <c r="C1116" s="55">
        <v>72120.69</v>
      </c>
      <c r="D1116" s="54">
        <v>1123</v>
      </c>
    </row>
    <row r="1117" spans="1:4" x14ac:dyDescent="0.3">
      <c r="A1117" s="53" t="s">
        <v>1144</v>
      </c>
      <c r="B1117" s="54" t="s">
        <v>55</v>
      </c>
      <c r="C1117" s="55">
        <v>81474.100000000006</v>
      </c>
      <c r="D1117" s="54">
        <v>1124</v>
      </c>
    </row>
    <row r="1118" spans="1:4" x14ac:dyDescent="0.3">
      <c r="A1118" s="53" t="s">
        <v>1145</v>
      </c>
      <c r="B1118" s="54" t="s">
        <v>55</v>
      </c>
      <c r="C1118" s="55">
        <v>118052.08</v>
      </c>
      <c r="D1118" s="54">
        <v>1125</v>
      </c>
    </row>
    <row r="1119" spans="1:4" x14ac:dyDescent="0.3">
      <c r="A1119" s="53" t="s">
        <v>1146</v>
      </c>
      <c r="B1119" s="54" t="s">
        <v>55</v>
      </c>
      <c r="C1119" s="55">
        <v>143722.01999999999</v>
      </c>
      <c r="D1119" s="54">
        <v>1126</v>
      </c>
    </row>
    <row r="1120" spans="1:4" x14ac:dyDescent="0.3">
      <c r="A1120" s="53" t="s">
        <v>1147</v>
      </c>
      <c r="B1120" s="54" t="s">
        <v>55</v>
      </c>
      <c r="C1120" s="55">
        <v>415842.21</v>
      </c>
      <c r="D1120" s="54">
        <v>1127</v>
      </c>
    </row>
    <row r="1121" spans="1:4" x14ac:dyDescent="0.3">
      <c r="A1121" s="53" t="s">
        <v>1148</v>
      </c>
      <c r="B1121" s="54" t="s">
        <v>55</v>
      </c>
      <c r="C1121" s="55">
        <v>774299.54</v>
      </c>
      <c r="D1121" s="54">
        <v>1128</v>
      </c>
    </row>
    <row r="1122" spans="1:4" x14ac:dyDescent="0.3">
      <c r="A1122" s="53" t="s">
        <v>1149</v>
      </c>
      <c r="B1122" s="54" t="s">
        <v>55</v>
      </c>
      <c r="C1122" s="55">
        <v>66435.97</v>
      </c>
      <c r="D1122" s="54">
        <v>1129</v>
      </c>
    </row>
    <row r="1123" spans="1:4" x14ac:dyDescent="0.3">
      <c r="A1123" s="53" t="s">
        <v>1150</v>
      </c>
      <c r="B1123" s="54" t="s">
        <v>55</v>
      </c>
      <c r="C1123" s="55">
        <v>65398.6</v>
      </c>
      <c r="D1123" s="54">
        <v>1130</v>
      </c>
    </row>
    <row r="1124" spans="1:4" x14ac:dyDescent="0.3">
      <c r="A1124" s="53" t="s">
        <v>1151</v>
      </c>
      <c r="B1124" s="54" t="s">
        <v>55</v>
      </c>
      <c r="C1124" s="55">
        <v>93397.97</v>
      </c>
      <c r="D1124" s="54">
        <v>1131</v>
      </c>
    </row>
    <row r="1125" spans="1:4" x14ac:dyDescent="0.3">
      <c r="A1125" s="53" t="s">
        <v>1152</v>
      </c>
      <c r="B1125" s="54" t="s">
        <v>55</v>
      </c>
      <c r="C1125" s="55">
        <v>144619.18</v>
      </c>
      <c r="D1125" s="54">
        <v>1132</v>
      </c>
    </row>
    <row r="1126" spans="1:4" x14ac:dyDescent="0.3">
      <c r="A1126" s="53" t="s">
        <v>1166</v>
      </c>
      <c r="B1126" s="54" t="s">
        <v>55</v>
      </c>
      <c r="C1126" s="55">
        <v>17698.34</v>
      </c>
      <c r="D1126" s="54">
        <v>1133</v>
      </c>
    </row>
    <row r="1127" spans="1:4" x14ac:dyDescent="0.3">
      <c r="A1127" s="53" t="s">
        <v>1167</v>
      </c>
      <c r="B1127" s="54" t="s">
        <v>55</v>
      </c>
      <c r="C1127" s="55">
        <v>1927.03</v>
      </c>
      <c r="D1127" s="54">
        <v>1134</v>
      </c>
    </row>
    <row r="1128" spans="1:4" x14ac:dyDescent="0.3">
      <c r="A1128" s="53" t="s">
        <v>1168</v>
      </c>
      <c r="B1128" s="54" t="s">
        <v>55</v>
      </c>
      <c r="C1128" s="55">
        <v>2649.6</v>
      </c>
      <c r="D1128" s="54">
        <v>1135</v>
      </c>
    </row>
    <row r="1129" spans="1:4" x14ac:dyDescent="0.3">
      <c r="A1129" s="53" t="s">
        <v>1177</v>
      </c>
      <c r="B1129" s="54" t="s">
        <v>55</v>
      </c>
      <c r="C1129" s="55">
        <v>12565.85</v>
      </c>
      <c r="D1129" s="54">
        <v>1136</v>
      </c>
    </row>
    <row r="1130" spans="1:4" x14ac:dyDescent="0.3">
      <c r="A1130" s="53" t="s">
        <v>1178</v>
      </c>
      <c r="B1130" s="54" t="s">
        <v>55</v>
      </c>
      <c r="C1130" s="55">
        <v>12275.57</v>
      </c>
      <c r="D1130" s="54">
        <v>1137</v>
      </c>
    </row>
    <row r="1131" spans="1:4" x14ac:dyDescent="0.3">
      <c r="A1131" s="53" t="s">
        <v>1179</v>
      </c>
      <c r="B1131" s="54" t="s">
        <v>55</v>
      </c>
      <c r="C1131" s="55">
        <v>4223.43</v>
      </c>
      <c r="D1131" s="54">
        <v>1138</v>
      </c>
    </row>
    <row r="1132" spans="1:4" x14ac:dyDescent="0.3">
      <c r="A1132" s="53" t="s">
        <v>1180</v>
      </c>
      <c r="B1132" s="54" t="s">
        <v>55</v>
      </c>
      <c r="C1132" s="55">
        <v>4096.45</v>
      </c>
      <c r="D1132" s="54">
        <v>1139</v>
      </c>
    </row>
    <row r="1133" spans="1:4" x14ac:dyDescent="0.3">
      <c r="A1133" s="53" t="s">
        <v>1181</v>
      </c>
      <c r="B1133" s="54" t="s">
        <v>55</v>
      </c>
      <c r="C1133" s="55">
        <v>3094.47</v>
      </c>
      <c r="D1133" s="54">
        <v>1140</v>
      </c>
    </row>
    <row r="1134" spans="1:4" x14ac:dyDescent="0.3">
      <c r="A1134" s="53" t="s">
        <v>1182</v>
      </c>
      <c r="B1134" s="54" t="s">
        <v>55</v>
      </c>
      <c r="C1134" s="55">
        <v>1700.04</v>
      </c>
      <c r="D1134" s="54">
        <v>1141</v>
      </c>
    </row>
    <row r="1135" spans="1:4" x14ac:dyDescent="0.3">
      <c r="A1135" s="53" t="s">
        <v>1183</v>
      </c>
      <c r="B1135" s="54" t="s">
        <v>55</v>
      </c>
      <c r="C1135" s="55">
        <v>566.12</v>
      </c>
      <c r="D1135" s="54">
        <v>1142</v>
      </c>
    </row>
    <row r="1136" spans="1:4" x14ac:dyDescent="0.3">
      <c r="A1136" s="53" t="s">
        <v>1184</v>
      </c>
      <c r="B1136" s="54" t="s">
        <v>55</v>
      </c>
      <c r="C1136" s="55">
        <v>27504.97</v>
      </c>
      <c r="D1136" s="54">
        <v>1143</v>
      </c>
    </row>
    <row r="1137" spans="1:4" x14ac:dyDescent="0.3">
      <c r="A1137" s="53" t="s">
        <v>1185</v>
      </c>
      <c r="B1137" s="54" t="s">
        <v>55</v>
      </c>
      <c r="C1137" s="55">
        <v>6962.05</v>
      </c>
      <c r="D1137" s="54">
        <v>1144</v>
      </c>
    </row>
    <row r="1138" spans="1:4" x14ac:dyDescent="0.3">
      <c r="A1138" s="53" t="s">
        <v>1186</v>
      </c>
      <c r="B1138" s="54" t="s">
        <v>55</v>
      </c>
      <c r="C1138" s="55">
        <v>37256.75</v>
      </c>
      <c r="D1138" s="54">
        <v>1145</v>
      </c>
    </row>
    <row r="1139" spans="1:4" x14ac:dyDescent="0.3">
      <c r="A1139" s="53" t="s">
        <v>1187</v>
      </c>
      <c r="B1139" s="54" t="s">
        <v>55</v>
      </c>
      <c r="C1139" s="55">
        <v>1071.05</v>
      </c>
      <c r="D1139" s="54">
        <v>1146</v>
      </c>
    </row>
    <row r="1140" spans="1:4" x14ac:dyDescent="0.3">
      <c r="A1140" s="53" t="s">
        <v>1188</v>
      </c>
      <c r="B1140" s="54" t="s">
        <v>55</v>
      </c>
      <c r="C1140" s="55">
        <v>56437.25</v>
      </c>
      <c r="D1140" s="54">
        <v>1147</v>
      </c>
    </row>
    <row r="1141" spans="1:4" x14ac:dyDescent="0.3">
      <c r="A1141" s="53" t="s">
        <v>1189</v>
      </c>
      <c r="B1141" s="54" t="s">
        <v>55</v>
      </c>
      <c r="C1141" s="55">
        <v>1598.19</v>
      </c>
      <c r="D1141" s="54">
        <v>1148</v>
      </c>
    </row>
    <row r="1142" spans="1:4" x14ac:dyDescent="0.3">
      <c r="A1142" s="53" t="s">
        <v>1190</v>
      </c>
      <c r="B1142" s="54" t="s">
        <v>55</v>
      </c>
      <c r="C1142" s="55">
        <v>2403.9499999999998</v>
      </c>
      <c r="D1142" s="54">
        <v>1149</v>
      </c>
    </row>
    <row r="1143" spans="1:4" x14ac:dyDescent="0.3">
      <c r="A1143" s="53" t="s">
        <v>1191</v>
      </c>
      <c r="B1143" s="54" t="s">
        <v>55</v>
      </c>
      <c r="C1143" s="55">
        <v>1326.05</v>
      </c>
      <c r="D1143" s="54">
        <v>1150</v>
      </c>
    </row>
    <row r="1144" spans="1:4" x14ac:dyDescent="0.3">
      <c r="A1144" s="53" t="s">
        <v>1193</v>
      </c>
      <c r="B1144" s="54" t="s">
        <v>55</v>
      </c>
      <c r="C1144" s="55">
        <v>3668.49</v>
      </c>
      <c r="D1144" s="54">
        <v>1151</v>
      </c>
    </row>
    <row r="1145" spans="1:4" x14ac:dyDescent="0.3">
      <c r="A1145" s="53" t="s">
        <v>1194</v>
      </c>
      <c r="B1145" s="54" t="s">
        <v>55</v>
      </c>
      <c r="C1145" s="55">
        <v>5725.53</v>
      </c>
      <c r="D1145" s="54">
        <v>1152</v>
      </c>
    </row>
    <row r="1146" spans="1:4" x14ac:dyDescent="0.3">
      <c r="A1146" s="53" t="s">
        <v>1195</v>
      </c>
      <c r="B1146" s="54" t="s">
        <v>55</v>
      </c>
      <c r="C1146" s="55">
        <v>4905.1400000000003</v>
      </c>
      <c r="D1146" s="54">
        <v>1153</v>
      </c>
    </row>
    <row r="1147" spans="1:4" x14ac:dyDescent="0.3">
      <c r="A1147" s="53" t="s">
        <v>1196</v>
      </c>
      <c r="B1147" s="54" t="s">
        <v>55</v>
      </c>
      <c r="C1147" s="55">
        <v>8754.35</v>
      </c>
      <c r="D1147" s="54">
        <v>1154</v>
      </c>
    </row>
    <row r="1148" spans="1:4" x14ac:dyDescent="0.3">
      <c r="A1148" s="53" t="s">
        <v>1197</v>
      </c>
      <c r="B1148" s="54" t="s">
        <v>55</v>
      </c>
      <c r="C1148" s="55">
        <v>39863.46</v>
      </c>
      <c r="D1148" s="54">
        <v>1155</v>
      </c>
    </row>
    <row r="1149" spans="1:4" x14ac:dyDescent="0.3">
      <c r="A1149" s="53" t="s">
        <v>1198</v>
      </c>
      <c r="B1149" s="54" t="s">
        <v>55</v>
      </c>
      <c r="C1149" s="55">
        <v>16317.47</v>
      </c>
      <c r="D1149" s="54">
        <v>1156</v>
      </c>
    </row>
    <row r="1150" spans="1:4" x14ac:dyDescent="0.3">
      <c r="A1150" s="53" t="s">
        <v>1199</v>
      </c>
      <c r="B1150" s="54" t="s">
        <v>55</v>
      </c>
      <c r="C1150" s="55">
        <v>8660.3700000000008</v>
      </c>
      <c r="D1150" s="54">
        <v>1157</v>
      </c>
    </row>
    <row r="1151" spans="1:4" x14ac:dyDescent="0.3">
      <c r="A1151" s="53" t="s">
        <v>1200</v>
      </c>
      <c r="B1151" s="54" t="s">
        <v>55</v>
      </c>
      <c r="C1151" s="55">
        <v>12965.18</v>
      </c>
      <c r="D1151" s="54">
        <v>1158</v>
      </c>
    </row>
    <row r="1152" spans="1:4" x14ac:dyDescent="0.3">
      <c r="A1152" s="53" t="s">
        <v>1201</v>
      </c>
      <c r="B1152" s="54" t="s">
        <v>55</v>
      </c>
      <c r="C1152" s="55">
        <v>232176.08</v>
      </c>
      <c r="D1152" s="54">
        <v>1159</v>
      </c>
    </row>
    <row r="1153" spans="1:4" x14ac:dyDescent="0.3">
      <c r="A1153" s="53" t="s">
        <v>1202</v>
      </c>
      <c r="B1153" s="54" t="s">
        <v>55</v>
      </c>
      <c r="C1153" s="55">
        <v>175984.39</v>
      </c>
      <c r="D1153" s="54">
        <v>1160</v>
      </c>
    </row>
    <row r="1154" spans="1:4" x14ac:dyDescent="0.3">
      <c r="A1154" s="53" t="s">
        <v>1203</v>
      </c>
      <c r="B1154" s="54" t="s">
        <v>55</v>
      </c>
      <c r="C1154" s="55">
        <v>168797.28</v>
      </c>
      <c r="D1154" s="54">
        <v>1161</v>
      </c>
    </row>
    <row r="1155" spans="1:4" x14ac:dyDescent="0.3">
      <c r="A1155" s="53" t="s">
        <v>1204</v>
      </c>
      <c r="B1155" s="54" t="s">
        <v>55</v>
      </c>
      <c r="C1155" s="55">
        <v>63847.08</v>
      </c>
      <c r="D1155" s="54">
        <v>1162</v>
      </c>
    </row>
    <row r="1156" spans="1:4" x14ac:dyDescent="0.3">
      <c r="A1156" s="53" t="s">
        <v>1205</v>
      </c>
      <c r="B1156" s="54" t="s">
        <v>55</v>
      </c>
      <c r="C1156" s="55">
        <v>27107.94</v>
      </c>
      <c r="D1156" s="54">
        <v>1163</v>
      </c>
    </row>
    <row r="1157" spans="1:4" x14ac:dyDescent="0.3">
      <c r="A1157" s="53" t="s">
        <v>1206</v>
      </c>
      <c r="B1157" s="54" t="s">
        <v>55</v>
      </c>
      <c r="C1157" s="55">
        <v>56594.49</v>
      </c>
      <c r="D1157" s="54">
        <v>1164</v>
      </c>
    </row>
    <row r="1158" spans="1:4" x14ac:dyDescent="0.3">
      <c r="A1158" s="53" t="s">
        <v>1207</v>
      </c>
      <c r="B1158" s="54" t="s">
        <v>55</v>
      </c>
      <c r="C1158" s="55">
        <v>33957.949999999997</v>
      </c>
      <c r="D1158" s="54">
        <v>1165</v>
      </c>
    </row>
    <row r="1159" spans="1:4" x14ac:dyDescent="0.3">
      <c r="A1159" s="53" t="s">
        <v>1208</v>
      </c>
      <c r="B1159" s="54" t="s">
        <v>55</v>
      </c>
      <c r="C1159" s="55">
        <v>101105.66</v>
      </c>
      <c r="D1159" s="54">
        <v>1166</v>
      </c>
    </row>
    <row r="1160" spans="1:4" x14ac:dyDescent="0.3">
      <c r="A1160" s="53" t="s">
        <v>1209</v>
      </c>
      <c r="B1160" s="54" t="s">
        <v>55</v>
      </c>
      <c r="C1160" s="55">
        <v>39874.080000000002</v>
      </c>
      <c r="D1160" s="54">
        <v>1167</v>
      </c>
    </row>
    <row r="1161" spans="1:4" x14ac:dyDescent="0.3">
      <c r="A1161" s="53" t="s">
        <v>1210</v>
      </c>
      <c r="B1161" s="54" t="s">
        <v>55</v>
      </c>
      <c r="C1161" s="55">
        <v>82479.53</v>
      </c>
      <c r="D1161" s="54">
        <v>1168</v>
      </c>
    </row>
    <row r="1162" spans="1:4" x14ac:dyDescent="0.3">
      <c r="A1162" s="53" t="s">
        <v>1211</v>
      </c>
      <c r="B1162" s="54" t="s">
        <v>55</v>
      </c>
      <c r="C1162" s="55">
        <v>81203.490000000005</v>
      </c>
      <c r="D1162" s="54">
        <v>1169</v>
      </c>
    </row>
    <row r="1163" spans="1:4" x14ac:dyDescent="0.3">
      <c r="A1163" s="53" t="s">
        <v>1212</v>
      </c>
      <c r="B1163" s="54" t="s">
        <v>55</v>
      </c>
      <c r="C1163" s="55">
        <v>35581.61</v>
      </c>
      <c r="D1163" s="54">
        <v>1170</v>
      </c>
    </row>
    <row r="1164" spans="1:4" x14ac:dyDescent="0.3">
      <c r="A1164" s="53" t="s">
        <v>1213</v>
      </c>
      <c r="B1164" s="54" t="s">
        <v>55</v>
      </c>
      <c r="C1164" s="55">
        <v>36996</v>
      </c>
      <c r="D1164" s="54">
        <v>1171</v>
      </c>
    </row>
    <row r="1165" spans="1:4" x14ac:dyDescent="0.3">
      <c r="A1165" s="53" t="s">
        <v>1214</v>
      </c>
      <c r="B1165" s="54" t="s">
        <v>55</v>
      </c>
      <c r="C1165" s="55">
        <v>26626.34</v>
      </c>
      <c r="D1165" s="54">
        <v>1172</v>
      </c>
    </row>
    <row r="1166" spans="1:4" x14ac:dyDescent="0.3">
      <c r="A1166" s="53" t="s">
        <v>1250</v>
      </c>
      <c r="B1166" s="54" t="s">
        <v>55</v>
      </c>
      <c r="C1166" s="55">
        <v>37200.559999999998</v>
      </c>
      <c r="D1166" s="54">
        <v>1173</v>
      </c>
    </row>
    <row r="1167" spans="1:4" x14ac:dyDescent="0.3">
      <c r="A1167" s="53" t="s">
        <v>1251</v>
      </c>
      <c r="B1167" s="54" t="s">
        <v>55</v>
      </c>
      <c r="C1167" s="55">
        <v>44781.41</v>
      </c>
      <c r="D1167" s="54">
        <v>1174</v>
      </c>
    </row>
    <row r="1168" spans="1:4" x14ac:dyDescent="0.3">
      <c r="A1168" s="53" t="s">
        <v>1252</v>
      </c>
      <c r="B1168" s="54" t="s">
        <v>55</v>
      </c>
      <c r="C1168" s="55">
        <v>47725.2</v>
      </c>
      <c r="D1168" s="54">
        <v>1175</v>
      </c>
    </row>
    <row r="1169" spans="1:4" x14ac:dyDescent="0.3">
      <c r="A1169" s="53" t="s">
        <v>1253</v>
      </c>
      <c r="B1169" s="54" t="s">
        <v>55</v>
      </c>
      <c r="C1169" s="55">
        <v>16402.5</v>
      </c>
      <c r="D1169" s="54">
        <v>1176</v>
      </c>
    </row>
    <row r="1170" spans="1:4" x14ac:dyDescent="0.3">
      <c r="A1170" s="53" t="s">
        <v>1254</v>
      </c>
      <c r="B1170" s="54" t="s">
        <v>55</v>
      </c>
      <c r="C1170" s="55">
        <v>40164.639999999999</v>
      </c>
      <c r="D1170" s="54">
        <v>1177</v>
      </c>
    </row>
    <row r="1171" spans="1:4" x14ac:dyDescent="0.3">
      <c r="A1171" s="53" t="s">
        <v>1255</v>
      </c>
      <c r="B1171" s="54" t="s">
        <v>55</v>
      </c>
      <c r="C1171" s="55">
        <v>65797.47</v>
      </c>
      <c r="D1171" s="54">
        <v>1178</v>
      </c>
    </row>
    <row r="1172" spans="1:4" x14ac:dyDescent="0.3">
      <c r="A1172" s="53" t="s">
        <v>1256</v>
      </c>
      <c r="B1172" s="54" t="s">
        <v>55</v>
      </c>
      <c r="C1172" s="55">
        <v>21203.45</v>
      </c>
      <c r="D1172" s="54">
        <v>1179</v>
      </c>
    </row>
    <row r="1173" spans="1:4" x14ac:dyDescent="0.3">
      <c r="A1173" s="53" t="s">
        <v>1257</v>
      </c>
      <c r="B1173" s="54" t="s">
        <v>55</v>
      </c>
      <c r="C1173" s="55">
        <v>32334.63</v>
      </c>
      <c r="D1173" s="54">
        <v>1180</v>
      </c>
    </row>
    <row r="1174" spans="1:4" x14ac:dyDescent="0.3">
      <c r="A1174" s="53" t="s">
        <v>1258</v>
      </c>
      <c r="B1174" s="54" t="s">
        <v>55</v>
      </c>
      <c r="C1174" s="55">
        <v>32377.82</v>
      </c>
      <c r="D1174" s="54">
        <v>1181</v>
      </c>
    </row>
    <row r="1175" spans="1:4" x14ac:dyDescent="0.3">
      <c r="A1175" s="53" t="s">
        <v>1259</v>
      </c>
      <c r="B1175" s="54" t="s">
        <v>55</v>
      </c>
      <c r="C1175" s="55">
        <v>171882.52</v>
      </c>
      <c r="D1175" s="54">
        <v>1182</v>
      </c>
    </row>
    <row r="1176" spans="1:4" x14ac:dyDescent="0.3">
      <c r="A1176" s="53" t="s">
        <v>1260</v>
      </c>
      <c r="B1176" s="54" t="s">
        <v>55</v>
      </c>
      <c r="C1176" s="55">
        <v>19512.36</v>
      </c>
      <c r="D1176" s="54">
        <v>1183</v>
      </c>
    </row>
    <row r="1177" spans="1:4" x14ac:dyDescent="0.3">
      <c r="A1177" s="53" t="s">
        <v>1261</v>
      </c>
      <c r="B1177" s="54" t="s">
        <v>55</v>
      </c>
      <c r="C1177" s="55">
        <v>36129.72</v>
      </c>
      <c r="D1177" s="54">
        <v>1184</v>
      </c>
    </row>
    <row r="1178" spans="1:4" x14ac:dyDescent="0.3">
      <c r="A1178" s="53" t="s">
        <v>1262</v>
      </c>
      <c r="B1178" s="54" t="s">
        <v>55</v>
      </c>
      <c r="C1178" s="55">
        <v>190433.98</v>
      </c>
      <c r="D1178" s="54">
        <v>1185</v>
      </c>
    </row>
    <row r="1179" spans="1:4" x14ac:dyDescent="0.3">
      <c r="A1179" s="53" t="s">
        <v>748</v>
      </c>
      <c r="B1179" s="54" t="s">
        <v>55</v>
      </c>
      <c r="C1179" s="55">
        <v>12103.74</v>
      </c>
      <c r="D1179" s="54">
        <v>1186</v>
      </c>
    </row>
    <row r="1180" spans="1:4" x14ac:dyDescent="0.3">
      <c r="A1180" s="53" t="s">
        <v>749</v>
      </c>
      <c r="B1180" s="54" t="s">
        <v>55</v>
      </c>
      <c r="C1180" s="55">
        <v>8479.93</v>
      </c>
      <c r="D1180" s="54">
        <v>1187</v>
      </c>
    </row>
    <row r="1181" spans="1:4" x14ac:dyDescent="0.3">
      <c r="A1181" s="53" t="s">
        <v>750</v>
      </c>
      <c r="B1181" s="54" t="s">
        <v>55</v>
      </c>
      <c r="C1181" s="55">
        <v>9463.76</v>
      </c>
      <c r="D1181" s="54">
        <v>1188</v>
      </c>
    </row>
    <row r="1182" spans="1:4" x14ac:dyDescent="0.3">
      <c r="A1182" s="53" t="s">
        <v>751</v>
      </c>
      <c r="B1182" s="54" t="s">
        <v>55</v>
      </c>
      <c r="C1182" s="55">
        <v>8001.21</v>
      </c>
      <c r="D1182" s="54">
        <v>1189</v>
      </c>
    </row>
    <row r="1183" spans="1:4" x14ac:dyDescent="0.3">
      <c r="A1183" s="53" t="s">
        <v>752</v>
      </c>
      <c r="B1183" s="54" t="s">
        <v>55</v>
      </c>
      <c r="C1183" s="55">
        <v>11802.1</v>
      </c>
      <c r="D1183" s="54">
        <v>1190</v>
      </c>
    </row>
    <row r="1184" spans="1:4" x14ac:dyDescent="0.3">
      <c r="A1184" s="53" t="s">
        <v>753</v>
      </c>
      <c r="B1184" s="54" t="s">
        <v>55</v>
      </c>
      <c r="C1184" s="55">
        <v>3155.34</v>
      </c>
      <c r="D1184" s="54">
        <v>1191</v>
      </c>
    </row>
    <row r="1185" spans="1:4" x14ac:dyDescent="0.3">
      <c r="A1185" s="53" t="s">
        <v>754</v>
      </c>
      <c r="B1185" s="54" t="s">
        <v>55</v>
      </c>
      <c r="C1185" s="55">
        <v>3423.98</v>
      </c>
      <c r="D1185" s="54">
        <v>1192</v>
      </c>
    </row>
    <row r="1186" spans="1:4" x14ac:dyDescent="0.3">
      <c r="A1186" s="53" t="s">
        <v>755</v>
      </c>
      <c r="B1186" s="54" t="s">
        <v>55</v>
      </c>
      <c r="C1186" s="55">
        <v>3739.97</v>
      </c>
      <c r="D1186" s="54">
        <v>1193</v>
      </c>
    </row>
    <row r="1187" spans="1:4" x14ac:dyDescent="0.3">
      <c r="A1187" s="53" t="s">
        <v>756</v>
      </c>
      <c r="B1187" s="54" t="s">
        <v>55</v>
      </c>
      <c r="C1187" s="55">
        <v>4392.67</v>
      </c>
      <c r="D1187" s="54">
        <v>1194</v>
      </c>
    </row>
    <row r="1188" spans="1:4" x14ac:dyDescent="0.3">
      <c r="A1188" s="53" t="s">
        <v>757</v>
      </c>
      <c r="B1188" s="54" t="s">
        <v>55</v>
      </c>
      <c r="C1188" s="55">
        <v>4779.29</v>
      </c>
      <c r="D1188" s="54">
        <v>1195</v>
      </c>
    </row>
    <row r="1189" spans="1:4" x14ac:dyDescent="0.3">
      <c r="A1189" s="53" t="s">
        <v>758</v>
      </c>
      <c r="B1189" s="54" t="s">
        <v>55</v>
      </c>
      <c r="C1189" s="55">
        <v>8637.25</v>
      </c>
      <c r="D1189" s="54">
        <v>1196</v>
      </c>
    </row>
    <row r="1190" spans="1:4" x14ac:dyDescent="0.3">
      <c r="A1190" s="53" t="s">
        <v>759</v>
      </c>
      <c r="B1190" s="54" t="s">
        <v>55</v>
      </c>
      <c r="C1190" s="55">
        <v>6291.33</v>
      </c>
      <c r="D1190" s="54">
        <v>1197</v>
      </c>
    </row>
    <row r="1191" spans="1:4" x14ac:dyDescent="0.3">
      <c r="A1191" s="53" t="s">
        <v>847</v>
      </c>
      <c r="B1191" s="54" t="s">
        <v>55</v>
      </c>
      <c r="C1191" s="55">
        <v>31781.35</v>
      </c>
      <c r="D1191" s="54">
        <v>1198</v>
      </c>
    </row>
    <row r="1192" spans="1:4" x14ac:dyDescent="0.3">
      <c r="A1192" s="53" t="s">
        <v>848</v>
      </c>
      <c r="B1192" s="54" t="s">
        <v>55</v>
      </c>
      <c r="C1192" s="55">
        <v>16938.55</v>
      </c>
      <c r="D1192" s="54">
        <v>1199</v>
      </c>
    </row>
    <row r="1193" spans="1:4" x14ac:dyDescent="0.3">
      <c r="A1193" s="53" t="s">
        <v>443</v>
      </c>
      <c r="B1193" s="54" t="s">
        <v>55</v>
      </c>
      <c r="C1193" s="55">
        <v>83189.81</v>
      </c>
      <c r="D1193" s="54">
        <v>1200</v>
      </c>
    </row>
    <row r="1194" spans="1:4" x14ac:dyDescent="0.3">
      <c r="A1194" s="53" t="s">
        <v>444</v>
      </c>
      <c r="B1194" s="54" t="s">
        <v>55</v>
      </c>
      <c r="C1194" s="55">
        <v>193187.98</v>
      </c>
      <c r="D1194" s="54">
        <v>1201</v>
      </c>
    </row>
    <row r="1195" spans="1:4" x14ac:dyDescent="0.3">
      <c r="A1195" s="53" t="s">
        <v>445</v>
      </c>
      <c r="B1195" s="54" t="s">
        <v>55</v>
      </c>
      <c r="C1195" s="55">
        <v>138026.68</v>
      </c>
      <c r="D1195" s="54">
        <v>1202</v>
      </c>
    </row>
    <row r="1196" spans="1:4" x14ac:dyDescent="0.3">
      <c r="A1196" s="53" t="s">
        <v>446</v>
      </c>
      <c r="B1196" s="54" t="s">
        <v>55</v>
      </c>
      <c r="C1196" s="55">
        <v>130485.13</v>
      </c>
      <c r="D1196" s="54">
        <v>1203</v>
      </c>
    </row>
    <row r="1197" spans="1:4" x14ac:dyDescent="0.3">
      <c r="A1197" s="53" t="s">
        <v>447</v>
      </c>
      <c r="B1197" s="54" t="s">
        <v>55</v>
      </c>
      <c r="C1197" s="55">
        <v>68151.929999999993</v>
      </c>
      <c r="D1197" s="54">
        <v>1204</v>
      </c>
    </row>
    <row r="1198" spans="1:4" x14ac:dyDescent="0.3">
      <c r="A1198" s="53" t="s">
        <v>448</v>
      </c>
      <c r="B1198" s="54" t="s">
        <v>55</v>
      </c>
      <c r="C1198" s="55">
        <v>347212.79</v>
      </c>
      <c r="D1198" s="54">
        <v>1205</v>
      </c>
    </row>
    <row r="1199" spans="1:4" x14ac:dyDescent="0.3">
      <c r="A1199" s="53" t="s">
        <v>449</v>
      </c>
      <c r="B1199" s="54" t="s">
        <v>55</v>
      </c>
      <c r="C1199" s="55">
        <v>82650.259999999995</v>
      </c>
      <c r="D1199" s="54">
        <v>1206</v>
      </c>
    </row>
    <row r="1200" spans="1:4" x14ac:dyDescent="0.3">
      <c r="A1200" s="53" t="s">
        <v>805</v>
      </c>
      <c r="B1200" s="54" t="s">
        <v>55</v>
      </c>
      <c r="C1200" s="55">
        <v>5097.24</v>
      </c>
      <c r="D1200" s="54">
        <v>1208</v>
      </c>
    </row>
    <row r="1201" spans="1:4" x14ac:dyDescent="0.3">
      <c r="A1201" s="53" t="s">
        <v>583</v>
      </c>
      <c r="B1201" s="54" t="s">
        <v>1272</v>
      </c>
      <c r="C1201" s="55">
        <v>71686.179999999993</v>
      </c>
      <c r="D1201" s="54">
        <v>1209</v>
      </c>
    </row>
    <row r="1202" spans="1:4" x14ac:dyDescent="0.3">
      <c r="A1202" s="53" t="s">
        <v>582</v>
      </c>
      <c r="B1202" s="54" t="s">
        <v>1272</v>
      </c>
      <c r="C1202" s="55">
        <v>122922.89</v>
      </c>
      <c r="D1202" s="54">
        <v>1210</v>
      </c>
    </row>
    <row r="1203" spans="1:4" x14ac:dyDescent="0.3">
      <c r="A1203" s="53" t="s">
        <v>218</v>
      </c>
      <c r="B1203" s="54" t="s">
        <v>2145</v>
      </c>
      <c r="C1203" s="55">
        <v>19362.41</v>
      </c>
      <c r="D1203" s="54">
        <v>1211</v>
      </c>
    </row>
    <row r="1204" spans="1:4" x14ac:dyDescent="0.3">
      <c r="A1204" s="53" t="s">
        <v>417</v>
      </c>
      <c r="B1204" s="54" t="s">
        <v>2145</v>
      </c>
      <c r="C1204" s="55">
        <v>10475.4</v>
      </c>
      <c r="D1204" s="54">
        <v>1212</v>
      </c>
    </row>
    <row r="1205" spans="1:4" x14ac:dyDescent="0.3">
      <c r="A1205" s="53" t="s">
        <v>712</v>
      </c>
      <c r="B1205" s="54" t="s">
        <v>1272</v>
      </c>
      <c r="C1205" s="55">
        <v>11751.28</v>
      </c>
      <c r="D1205" s="54">
        <v>1213</v>
      </c>
    </row>
    <row r="1206" spans="1:4" x14ac:dyDescent="0.3">
      <c r="A1206" s="53" t="s">
        <v>766</v>
      </c>
      <c r="B1206" s="54" t="s">
        <v>1271</v>
      </c>
      <c r="C1206" s="55">
        <v>909939.8</v>
      </c>
      <c r="D1206" s="54">
        <v>1214</v>
      </c>
    </row>
    <row r="1207" spans="1:4" x14ac:dyDescent="0.3">
      <c r="A1207" s="53" t="s">
        <v>723</v>
      </c>
      <c r="B1207" s="54" t="s">
        <v>1272</v>
      </c>
      <c r="C1207" s="55">
        <v>19065.919999999998</v>
      </c>
      <c r="D1207" s="54">
        <v>1215</v>
      </c>
    </row>
    <row r="1208" spans="1:4" x14ac:dyDescent="0.3">
      <c r="A1208" s="53" t="s">
        <v>2345</v>
      </c>
      <c r="B1208" s="54" t="s">
        <v>55</v>
      </c>
      <c r="C1208" s="55">
        <v>72079.31</v>
      </c>
      <c r="D1208" s="54">
        <v>1216</v>
      </c>
    </row>
    <row r="1209" spans="1:4" x14ac:dyDescent="0.3">
      <c r="A1209" s="53" t="s">
        <v>538</v>
      </c>
      <c r="B1209" s="54" t="s">
        <v>55</v>
      </c>
      <c r="C1209" s="55">
        <v>14941.97</v>
      </c>
      <c r="D1209" s="54">
        <v>1217</v>
      </c>
    </row>
    <row r="1210" spans="1:4" x14ac:dyDescent="0.3">
      <c r="A1210" s="53" t="s">
        <v>653</v>
      </c>
      <c r="B1210" s="54" t="s">
        <v>55</v>
      </c>
      <c r="C1210" s="55">
        <v>359417.39</v>
      </c>
      <c r="D1210" s="54">
        <v>1218</v>
      </c>
    </row>
    <row r="1211" spans="1:4" x14ac:dyDescent="0.3">
      <c r="A1211" s="53" t="s">
        <v>2346</v>
      </c>
      <c r="B1211" s="54" t="s">
        <v>55</v>
      </c>
      <c r="C1211" s="55">
        <v>39968.1</v>
      </c>
      <c r="D1211" s="54">
        <v>1219</v>
      </c>
    </row>
    <row r="1212" spans="1:4" ht="26.4" x14ac:dyDescent="0.3">
      <c r="A1212" s="53" t="s">
        <v>615</v>
      </c>
      <c r="B1212" s="54" t="s">
        <v>55</v>
      </c>
      <c r="C1212" s="55">
        <v>196805.89</v>
      </c>
      <c r="D1212" s="54">
        <v>1220</v>
      </c>
    </row>
    <row r="1213" spans="1:4" x14ac:dyDescent="0.3">
      <c r="A1213" s="53" t="s">
        <v>620</v>
      </c>
      <c r="B1213" s="54" t="s">
        <v>55</v>
      </c>
      <c r="C1213" s="55">
        <v>89103.03</v>
      </c>
      <c r="D1213" s="54">
        <v>1221</v>
      </c>
    </row>
    <row r="1214" spans="1:4" x14ac:dyDescent="0.3">
      <c r="A1214" s="53" t="s">
        <v>2347</v>
      </c>
      <c r="B1214" s="54" t="s">
        <v>55</v>
      </c>
      <c r="C1214" s="55">
        <v>17019.599999999999</v>
      </c>
      <c r="D1214" s="54">
        <v>1222</v>
      </c>
    </row>
    <row r="1215" spans="1:4" x14ac:dyDescent="0.3">
      <c r="A1215" s="53" t="s">
        <v>2348</v>
      </c>
      <c r="B1215" s="54" t="s">
        <v>55</v>
      </c>
      <c r="C1215" s="55">
        <v>13957.95</v>
      </c>
      <c r="D1215" s="54">
        <v>1223</v>
      </c>
    </row>
    <row r="1216" spans="1:4" x14ac:dyDescent="0.3">
      <c r="A1216" s="53" t="s">
        <v>2349</v>
      </c>
      <c r="B1216" s="54" t="s">
        <v>55</v>
      </c>
      <c r="C1216" s="55">
        <v>13957.95</v>
      </c>
      <c r="D1216" s="54">
        <v>1224</v>
      </c>
    </row>
    <row r="1217" spans="1:4" x14ac:dyDescent="0.3">
      <c r="A1217" s="53" t="s">
        <v>2350</v>
      </c>
      <c r="B1217" s="54" t="s">
        <v>55</v>
      </c>
      <c r="C1217" s="55">
        <v>13957.95</v>
      </c>
      <c r="D1217" s="54">
        <v>1225</v>
      </c>
    </row>
    <row r="1218" spans="1:4" x14ac:dyDescent="0.3">
      <c r="A1218" s="53" t="s">
        <v>298</v>
      </c>
      <c r="B1218" s="54" t="s">
        <v>55</v>
      </c>
      <c r="C1218" s="55">
        <v>44329.599999999999</v>
      </c>
      <c r="D1218" s="54">
        <v>1226</v>
      </c>
    </row>
    <row r="1219" spans="1:4" x14ac:dyDescent="0.3">
      <c r="A1219" s="53" t="s">
        <v>296</v>
      </c>
      <c r="B1219" s="54" t="s">
        <v>55</v>
      </c>
      <c r="C1219" s="55">
        <v>56856.41</v>
      </c>
      <c r="D1219" s="54">
        <v>1227</v>
      </c>
    </row>
    <row r="1220" spans="1:4" x14ac:dyDescent="0.3">
      <c r="A1220" s="53" t="s">
        <v>297</v>
      </c>
      <c r="B1220" s="54" t="s">
        <v>55</v>
      </c>
      <c r="C1220" s="55">
        <v>55141.86</v>
      </c>
      <c r="D1220" s="54">
        <v>1228</v>
      </c>
    </row>
    <row r="1221" spans="1:4" x14ac:dyDescent="0.3">
      <c r="A1221" s="53" t="s">
        <v>295</v>
      </c>
      <c r="B1221" s="54" t="s">
        <v>55</v>
      </c>
      <c r="C1221" s="55">
        <v>52089.49</v>
      </c>
      <c r="D1221" s="54">
        <v>1229</v>
      </c>
    </row>
    <row r="1222" spans="1:4" x14ac:dyDescent="0.3">
      <c r="A1222" s="53" t="s">
        <v>294</v>
      </c>
      <c r="B1222" s="54" t="s">
        <v>55</v>
      </c>
      <c r="C1222" s="55">
        <v>54505.95</v>
      </c>
      <c r="D1222" s="54">
        <v>1230</v>
      </c>
    </row>
    <row r="1223" spans="1:4" x14ac:dyDescent="0.3">
      <c r="A1223" s="53" t="s">
        <v>869</v>
      </c>
      <c r="B1223" s="54" t="s">
        <v>55</v>
      </c>
      <c r="C1223" s="55">
        <v>62021.67</v>
      </c>
      <c r="D1223" s="54">
        <v>1231</v>
      </c>
    </row>
    <row r="1224" spans="1:4" x14ac:dyDescent="0.3">
      <c r="A1224" s="53" t="s">
        <v>868</v>
      </c>
      <c r="B1224" s="54" t="s">
        <v>55</v>
      </c>
      <c r="C1224" s="55">
        <v>54421.81</v>
      </c>
      <c r="D1224" s="54">
        <v>1232</v>
      </c>
    </row>
    <row r="1225" spans="1:4" x14ac:dyDescent="0.3">
      <c r="A1225" s="53" t="s">
        <v>2233</v>
      </c>
      <c r="B1225" s="54" t="s">
        <v>55</v>
      </c>
      <c r="C1225" s="55">
        <v>69779.78</v>
      </c>
      <c r="D1225" s="54">
        <v>1233</v>
      </c>
    </row>
    <row r="1226" spans="1:4" x14ac:dyDescent="0.3">
      <c r="A1226" s="53" t="s">
        <v>2234</v>
      </c>
      <c r="B1226" s="54" t="s">
        <v>55</v>
      </c>
      <c r="C1226" s="55">
        <v>69656.77</v>
      </c>
      <c r="D1226" s="54">
        <v>1234</v>
      </c>
    </row>
    <row r="1227" spans="1:4" x14ac:dyDescent="0.3">
      <c r="A1227" s="53" t="s">
        <v>708</v>
      </c>
      <c r="B1227" s="54" t="s">
        <v>55</v>
      </c>
      <c r="C1227" s="55">
        <v>140097.19</v>
      </c>
      <c r="D1227" s="54">
        <v>1235</v>
      </c>
    </row>
    <row r="1228" spans="1:4" x14ac:dyDescent="0.3">
      <c r="A1228" s="53" t="s">
        <v>2351</v>
      </c>
      <c r="B1228" s="54" t="s">
        <v>2236</v>
      </c>
      <c r="C1228" s="55">
        <v>15715.23</v>
      </c>
      <c r="D1228" s="54">
        <v>1236</v>
      </c>
    </row>
    <row r="1229" spans="1:4" x14ac:dyDescent="0.3">
      <c r="A1229" s="53" t="s">
        <v>541</v>
      </c>
      <c r="B1229" s="54" t="s">
        <v>2236</v>
      </c>
      <c r="C1229" s="55">
        <v>15438.98</v>
      </c>
      <c r="D1229" s="54">
        <v>1237</v>
      </c>
    </row>
    <row r="1230" spans="1:4" x14ac:dyDescent="0.3">
      <c r="A1230" s="53" t="s">
        <v>540</v>
      </c>
      <c r="B1230" s="54" t="s">
        <v>2236</v>
      </c>
      <c r="C1230" s="55">
        <v>15715.23</v>
      </c>
      <c r="D1230" s="54">
        <v>1238</v>
      </c>
    </row>
    <row r="1231" spans="1:4" x14ac:dyDescent="0.3">
      <c r="A1231" s="53" t="s">
        <v>2352</v>
      </c>
      <c r="B1231" s="54" t="s">
        <v>55</v>
      </c>
      <c r="C1231" s="55">
        <v>45935.46</v>
      </c>
      <c r="D1231" s="54">
        <v>1239</v>
      </c>
    </row>
    <row r="1232" spans="1:4" x14ac:dyDescent="0.3">
      <c r="A1232" s="53" t="s">
        <v>2353</v>
      </c>
      <c r="B1232" s="54" t="s">
        <v>55</v>
      </c>
      <c r="C1232" s="55">
        <v>47083.43</v>
      </c>
      <c r="D1232" s="54">
        <v>1240</v>
      </c>
    </row>
    <row r="1233" spans="1:4" x14ac:dyDescent="0.3">
      <c r="A1233" s="53" t="s">
        <v>2354</v>
      </c>
      <c r="B1233" s="54" t="s">
        <v>55</v>
      </c>
      <c r="C1233" s="55">
        <v>62897.1</v>
      </c>
      <c r="D1233" s="54">
        <v>1241</v>
      </c>
    </row>
    <row r="1234" spans="1:4" x14ac:dyDescent="0.3">
      <c r="A1234" s="53" t="s">
        <v>2355</v>
      </c>
      <c r="B1234" s="54" t="s">
        <v>55</v>
      </c>
      <c r="C1234" s="55">
        <v>63430.2</v>
      </c>
      <c r="D1234" s="54">
        <v>1242</v>
      </c>
    </row>
    <row r="1235" spans="1:4" x14ac:dyDescent="0.3">
      <c r="A1235" s="53" t="s">
        <v>361</v>
      </c>
      <c r="B1235" s="54" t="s">
        <v>55</v>
      </c>
      <c r="C1235" s="55">
        <v>96183.06</v>
      </c>
      <c r="D1235" s="54">
        <v>1243</v>
      </c>
    </row>
    <row r="1236" spans="1:4" x14ac:dyDescent="0.3">
      <c r="A1236" s="53" t="s">
        <v>2356</v>
      </c>
      <c r="B1236" s="54" t="s">
        <v>55</v>
      </c>
      <c r="C1236" s="55">
        <v>61419.07</v>
      </c>
      <c r="D1236" s="54">
        <v>1244</v>
      </c>
    </row>
    <row r="1237" spans="1:4" x14ac:dyDescent="0.3">
      <c r="A1237" s="53" t="s">
        <v>687</v>
      </c>
      <c r="B1237" s="54" t="s">
        <v>55</v>
      </c>
      <c r="C1237" s="55">
        <v>60792.59</v>
      </c>
      <c r="D1237" s="54">
        <v>1245</v>
      </c>
    </row>
    <row r="1238" spans="1:4" x14ac:dyDescent="0.3">
      <c r="A1238" s="53" t="s">
        <v>1192</v>
      </c>
      <c r="B1238" s="54" t="s">
        <v>55</v>
      </c>
      <c r="C1238" s="55">
        <v>66858.11</v>
      </c>
      <c r="D1238" s="54">
        <v>1246</v>
      </c>
    </row>
    <row r="1239" spans="1:4" x14ac:dyDescent="0.3">
      <c r="A1239" s="53" t="s">
        <v>80</v>
      </c>
      <c r="B1239" s="54" t="s">
        <v>55</v>
      </c>
      <c r="C1239" s="55">
        <v>58943.66</v>
      </c>
      <c r="D1239" s="54">
        <v>1247</v>
      </c>
    </row>
    <row r="1240" spans="1:4" x14ac:dyDescent="0.3">
      <c r="A1240" s="53" t="s">
        <v>1025</v>
      </c>
      <c r="B1240" s="54" t="s">
        <v>55</v>
      </c>
      <c r="C1240" s="55">
        <v>93474.85</v>
      </c>
      <c r="D1240" s="54">
        <v>1248</v>
      </c>
    </row>
    <row r="1241" spans="1:4" x14ac:dyDescent="0.3">
      <c r="A1241" s="53" t="s">
        <v>1024</v>
      </c>
      <c r="B1241" s="54" t="s">
        <v>55</v>
      </c>
      <c r="C1241" s="55">
        <v>62840.7</v>
      </c>
      <c r="D1241" s="54">
        <v>1250</v>
      </c>
    </row>
    <row r="1242" spans="1:4" x14ac:dyDescent="0.3">
      <c r="A1242" s="53" t="s">
        <v>1096</v>
      </c>
      <c r="B1242" s="54" t="s">
        <v>55</v>
      </c>
      <c r="C1242" s="55">
        <v>139820.54999999999</v>
      </c>
      <c r="D1242" s="54">
        <v>1251</v>
      </c>
    </row>
    <row r="1243" spans="1:4" x14ac:dyDescent="0.3">
      <c r="A1243" s="53" t="s">
        <v>1097</v>
      </c>
      <c r="B1243" s="54" t="s">
        <v>55</v>
      </c>
      <c r="C1243" s="55">
        <v>266150.03000000003</v>
      </c>
      <c r="D1243" s="54">
        <v>1252</v>
      </c>
    </row>
    <row r="1244" spans="1:4" x14ac:dyDescent="0.3">
      <c r="A1244" s="53" t="s">
        <v>1098</v>
      </c>
      <c r="B1244" s="54" t="s">
        <v>55</v>
      </c>
      <c r="C1244" s="55">
        <v>380642.01</v>
      </c>
      <c r="D1244" s="54">
        <v>1253</v>
      </c>
    </row>
    <row r="1245" spans="1:4" x14ac:dyDescent="0.3">
      <c r="A1245" s="53" t="s">
        <v>242</v>
      </c>
      <c r="B1245" s="54" t="s">
        <v>55</v>
      </c>
      <c r="C1245" s="55">
        <v>1046919.88</v>
      </c>
      <c r="D1245" s="54">
        <v>1259</v>
      </c>
    </row>
    <row r="1246" spans="1:4" ht="26.4" x14ac:dyDescent="0.3">
      <c r="A1246" s="53" t="s">
        <v>825</v>
      </c>
      <c r="B1246" s="54" t="s">
        <v>55</v>
      </c>
      <c r="C1246" s="55">
        <v>11629605.859999999</v>
      </c>
      <c r="D1246" s="54">
        <v>1260</v>
      </c>
    </row>
    <row r="1247" spans="1:4" x14ac:dyDescent="0.3">
      <c r="A1247" s="53" t="s">
        <v>826</v>
      </c>
      <c r="B1247" s="54" t="s">
        <v>55</v>
      </c>
      <c r="C1247" s="55">
        <v>11423270.59</v>
      </c>
      <c r="D1247" s="54">
        <v>1261</v>
      </c>
    </row>
    <row r="1248" spans="1:4" x14ac:dyDescent="0.3">
      <c r="A1248" s="53" t="s">
        <v>2309</v>
      </c>
      <c r="B1248" s="54" t="s">
        <v>2238</v>
      </c>
      <c r="C1248" s="55">
        <v>25184.61</v>
      </c>
      <c r="D1248" s="54">
        <v>1262</v>
      </c>
    </row>
    <row r="1249" spans="1:4" x14ac:dyDescent="0.3">
      <c r="A1249" s="53" t="s">
        <v>2310</v>
      </c>
      <c r="B1249" s="54" t="s">
        <v>2238</v>
      </c>
      <c r="C1249" s="55">
        <v>150592.98000000001</v>
      </c>
      <c r="D1249" s="54">
        <v>1263</v>
      </c>
    </row>
    <row r="1250" spans="1:4" x14ac:dyDescent="0.3">
      <c r="A1250" s="53" t="s">
        <v>2311</v>
      </c>
      <c r="B1250" s="54" t="s">
        <v>2238</v>
      </c>
      <c r="C1250" s="55">
        <v>137552.82999999999</v>
      </c>
      <c r="D1250" s="54">
        <v>1264</v>
      </c>
    </row>
    <row r="1251" spans="1:4" x14ac:dyDescent="0.3">
      <c r="A1251" s="53" t="s">
        <v>2312</v>
      </c>
      <c r="B1251" s="54" t="s">
        <v>2238</v>
      </c>
      <c r="C1251" s="55">
        <v>16383.27</v>
      </c>
      <c r="D1251" s="54">
        <v>1265</v>
      </c>
    </row>
    <row r="1252" spans="1:4" x14ac:dyDescent="0.3">
      <c r="A1252" s="53" t="s">
        <v>2313</v>
      </c>
      <c r="B1252" s="54" t="s">
        <v>2238</v>
      </c>
      <c r="C1252" s="55">
        <v>60884.06</v>
      </c>
      <c r="D1252" s="54">
        <v>1266</v>
      </c>
    </row>
    <row r="1253" spans="1:4" x14ac:dyDescent="0.3">
      <c r="A1253" s="53" t="s">
        <v>2357</v>
      </c>
      <c r="B1253" s="54" t="s">
        <v>55</v>
      </c>
      <c r="C1253" s="55">
        <v>58984.83</v>
      </c>
      <c r="D1253" s="54">
        <v>1267</v>
      </c>
    </row>
    <row r="1254" spans="1:4" x14ac:dyDescent="0.3">
      <c r="A1254" s="53" t="s">
        <v>2358</v>
      </c>
      <c r="B1254" s="54" t="s">
        <v>55</v>
      </c>
      <c r="C1254" s="55">
        <v>96483.25</v>
      </c>
      <c r="D1254" s="54">
        <v>1268</v>
      </c>
    </row>
    <row r="1255" spans="1:4" x14ac:dyDescent="0.3">
      <c r="A1255" s="53" t="s">
        <v>2359</v>
      </c>
      <c r="B1255" s="54" t="s">
        <v>55</v>
      </c>
      <c r="C1255" s="55">
        <v>36611.29</v>
      </c>
      <c r="D1255" s="54">
        <v>1269</v>
      </c>
    </row>
    <row r="1256" spans="1:4" x14ac:dyDescent="0.3">
      <c r="A1256" s="53" t="s">
        <v>2360</v>
      </c>
      <c r="B1256" s="54" t="s">
        <v>55</v>
      </c>
      <c r="C1256" s="55">
        <v>34827.29</v>
      </c>
      <c r="D1256" s="54">
        <v>1270</v>
      </c>
    </row>
    <row r="1257" spans="1:4" x14ac:dyDescent="0.3">
      <c r="A1257" s="53" t="s">
        <v>2361</v>
      </c>
      <c r="B1257" s="54" t="s">
        <v>55</v>
      </c>
      <c r="C1257" s="55">
        <v>176439.97</v>
      </c>
      <c r="D1257" s="54">
        <v>1271</v>
      </c>
    </row>
    <row r="1258" spans="1:4" x14ac:dyDescent="0.3">
      <c r="A1258" s="53" t="s">
        <v>2362</v>
      </c>
      <c r="B1258" s="54" t="s">
        <v>55</v>
      </c>
      <c r="C1258" s="55">
        <v>145415.94</v>
      </c>
      <c r="D1258" s="54">
        <v>1272</v>
      </c>
    </row>
    <row r="1259" spans="1:4" x14ac:dyDescent="0.3">
      <c r="A1259" s="53" t="s">
        <v>2363</v>
      </c>
      <c r="B1259" s="54" t="s">
        <v>55</v>
      </c>
      <c r="C1259" s="55">
        <v>672383.7</v>
      </c>
      <c r="D1259" s="54">
        <v>1273</v>
      </c>
    </row>
    <row r="1260" spans="1:4" x14ac:dyDescent="0.3">
      <c r="A1260" s="53" t="s">
        <v>2364</v>
      </c>
      <c r="B1260" s="54" t="s">
        <v>55</v>
      </c>
      <c r="C1260" s="55">
        <v>319080.49</v>
      </c>
      <c r="D1260" s="54">
        <v>1274</v>
      </c>
    </row>
    <row r="1261" spans="1:4" ht="26.4" x14ac:dyDescent="0.3">
      <c r="A1261" s="53" t="s">
        <v>825</v>
      </c>
      <c r="B1261" s="54" t="s">
        <v>55</v>
      </c>
      <c r="C1261" s="55">
        <v>11054758.42</v>
      </c>
      <c r="D1261" s="54">
        <v>1260</v>
      </c>
    </row>
    <row r="1262" spans="1:4" x14ac:dyDescent="0.3">
      <c r="A1262" s="53" t="s">
        <v>826</v>
      </c>
      <c r="B1262" s="54" t="s">
        <v>55</v>
      </c>
      <c r="C1262" s="55">
        <v>10858622.23</v>
      </c>
      <c r="D1262" s="54">
        <v>1261</v>
      </c>
    </row>
    <row r="1263" spans="1:4" x14ac:dyDescent="0.3">
      <c r="A1263" s="53" t="s">
        <v>79</v>
      </c>
      <c r="B1263" s="54" t="s">
        <v>2238</v>
      </c>
      <c r="C1263" s="55">
        <v>23939.74</v>
      </c>
      <c r="D1263" s="54">
        <v>1262</v>
      </c>
    </row>
    <row r="1264" spans="1:4" x14ac:dyDescent="0.3">
      <c r="A1264" s="53" t="s">
        <v>104</v>
      </c>
      <c r="B1264" s="54" t="s">
        <v>2238</v>
      </c>
      <c r="C1264" s="55">
        <v>137101.26999999999</v>
      </c>
      <c r="D1264" s="54">
        <v>1263</v>
      </c>
    </row>
    <row r="1265" spans="1:4" x14ac:dyDescent="0.3">
      <c r="A1265" s="53" t="s">
        <v>78</v>
      </c>
      <c r="B1265" s="54" t="s">
        <v>2238</v>
      </c>
      <c r="C1265" s="55">
        <v>177995.36</v>
      </c>
      <c r="D1265" s="54">
        <v>1264</v>
      </c>
    </row>
    <row r="1266" spans="1:4" x14ac:dyDescent="0.3">
      <c r="A1266" s="53" t="s">
        <v>77</v>
      </c>
      <c r="B1266" s="54" t="s">
        <v>2238</v>
      </c>
      <c r="C1266" s="55">
        <v>13317.36</v>
      </c>
      <c r="D1266" s="54">
        <v>1265</v>
      </c>
    </row>
    <row r="1267" spans="1:4" x14ac:dyDescent="0.3">
      <c r="A1267" s="53" t="s">
        <v>105</v>
      </c>
      <c r="B1267" s="54" t="s">
        <v>2238</v>
      </c>
      <c r="C1267" s="55">
        <v>66414.84</v>
      </c>
      <c r="D1267" s="54">
        <v>1266</v>
      </c>
    </row>
  </sheetData>
  <pageMargins left="0.7" right="0.7" top="0.75" bottom="0.75" header="0.3" footer="0.3"/>
  <pageSetup paperSize="9" orientation="portrait" r:id="rId1"/>
  <tableParts count="1">
    <tablePart r:id="rId2"/>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F1CB3D-DEE1-48AE-9581-E281B380D009}">
  <sheetPr codeName="Sheet6"/>
  <dimension ref="A1:K875"/>
  <sheetViews>
    <sheetView workbookViewId="0"/>
  </sheetViews>
  <sheetFormatPr baseColWidth="10" defaultColWidth="9.109375" defaultRowHeight="14.4" x14ac:dyDescent="0.3"/>
  <cols>
    <col min="1" max="1" width="11.5546875" customWidth="1"/>
    <col min="2" max="2" width="42.109375" customWidth="1"/>
    <col min="3" max="3" width="12.44140625" style="13" customWidth="1"/>
    <col min="4" max="4" width="12.6640625" style="13" customWidth="1"/>
  </cols>
  <sheetData>
    <row r="1" spans="1:11" ht="14.4" customHeight="1" x14ac:dyDescent="0.3">
      <c r="A1" s="14" t="s">
        <v>1281</v>
      </c>
      <c r="B1" s="15"/>
      <c r="C1" s="15"/>
      <c r="D1" s="16"/>
      <c r="K1" t="s">
        <v>1282</v>
      </c>
    </row>
    <row r="2" spans="1:11" ht="14.4" customHeight="1" x14ac:dyDescent="0.3">
      <c r="A2" s="14" t="s">
        <v>1283</v>
      </c>
      <c r="B2" s="15"/>
      <c r="C2" s="15"/>
      <c r="D2" s="16"/>
      <c r="K2" t="s">
        <v>1284</v>
      </c>
    </row>
    <row r="3" spans="1:11" x14ac:dyDescent="0.3">
      <c r="A3" s="17" t="s">
        <v>1285</v>
      </c>
      <c r="B3" s="18" t="s">
        <v>20</v>
      </c>
      <c r="C3" s="19" t="s">
        <v>1282</v>
      </c>
      <c r="D3" s="19" t="s">
        <v>1286</v>
      </c>
      <c r="K3" t="s">
        <v>1287</v>
      </c>
    </row>
    <row r="4" spans="1:11" x14ac:dyDescent="0.3">
      <c r="A4" s="20" t="s">
        <v>1288</v>
      </c>
      <c r="B4" s="21" t="s">
        <v>1289</v>
      </c>
      <c r="C4" s="22" t="s">
        <v>1284</v>
      </c>
      <c r="D4" s="23">
        <v>324461</v>
      </c>
      <c r="K4" t="s">
        <v>1290</v>
      </c>
    </row>
    <row r="5" spans="1:11" x14ac:dyDescent="0.3">
      <c r="A5" s="20" t="s">
        <v>1291</v>
      </c>
      <c r="B5" s="21" t="s">
        <v>1292</v>
      </c>
      <c r="C5" s="22" t="s">
        <v>1284</v>
      </c>
      <c r="D5" s="23">
        <v>368435</v>
      </c>
      <c r="K5" t="s">
        <v>1293</v>
      </c>
    </row>
    <row r="6" spans="1:11" x14ac:dyDescent="0.3">
      <c r="A6" s="20" t="s">
        <v>1294</v>
      </c>
      <c r="B6" s="21" t="s">
        <v>1295</v>
      </c>
      <c r="C6" s="22" t="s">
        <v>1284</v>
      </c>
      <c r="D6" s="23">
        <v>401794</v>
      </c>
      <c r="K6" t="s">
        <v>35</v>
      </c>
    </row>
    <row r="7" spans="1:11" x14ac:dyDescent="0.3">
      <c r="A7" s="20" t="s">
        <v>1296</v>
      </c>
      <c r="B7" s="21" t="s">
        <v>1297</v>
      </c>
      <c r="C7" s="22" t="s">
        <v>1284</v>
      </c>
      <c r="D7" s="23">
        <v>425554</v>
      </c>
      <c r="K7" t="s">
        <v>1298</v>
      </c>
    </row>
    <row r="8" spans="1:11" x14ac:dyDescent="0.3">
      <c r="A8" s="20" t="s">
        <v>1299</v>
      </c>
      <c r="B8" s="21" t="s">
        <v>1300</v>
      </c>
      <c r="C8" s="22" t="s">
        <v>1284</v>
      </c>
      <c r="D8" s="23">
        <v>473232</v>
      </c>
      <c r="K8" t="s">
        <v>1301</v>
      </c>
    </row>
    <row r="9" spans="1:11" x14ac:dyDescent="0.3">
      <c r="A9" s="20" t="s">
        <v>1302</v>
      </c>
      <c r="B9" s="21" t="s">
        <v>1303</v>
      </c>
      <c r="C9" s="22" t="s">
        <v>1284</v>
      </c>
      <c r="D9" s="23">
        <v>499650</v>
      </c>
      <c r="K9" t="s">
        <v>1304</v>
      </c>
    </row>
    <row r="10" spans="1:11" x14ac:dyDescent="0.3">
      <c r="A10" s="20" t="s">
        <v>1305</v>
      </c>
      <c r="B10" s="21" t="s">
        <v>1306</v>
      </c>
      <c r="C10" s="22" t="s">
        <v>1284</v>
      </c>
      <c r="D10" s="23">
        <v>469216</v>
      </c>
      <c r="K10" t="s">
        <v>1307</v>
      </c>
    </row>
    <row r="11" spans="1:11" x14ac:dyDescent="0.3">
      <c r="A11" s="20" t="s">
        <v>1308</v>
      </c>
      <c r="B11" s="21" t="s">
        <v>1309</v>
      </c>
      <c r="C11" s="22" t="s">
        <v>1284</v>
      </c>
      <c r="D11" s="23">
        <v>578673</v>
      </c>
      <c r="K11" t="s">
        <v>1277</v>
      </c>
    </row>
    <row r="12" spans="1:11" x14ac:dyDescent="0.3">
      <c r="A12" s="20" t="s">
        <v>1310</v>
      </c>
      <c r="B12" s="21" t="s">
        <v>1311</v>
      </c>
      <c r="C12" s="22" t="s">
        <v>1284</v>
      </c>
      <c r="D12" s="23">
        <v>543312</v>
      </c>
      <c r="K12" t="s">
        <v>1312</v>
      </c>
    </row>
    <row r="13" spans="1:11" x14ac:dyDescent="0.3">
      <c r="A13" s="20" t="s">
        <v>1313</v>
      </c>
      <c r="B13" s="21" t="s">
        <v>1314</v>
      </c>
      <c r="C13" s="22" t="s">
        <v>1284</v>
      </c>
      <c r="D13" s="23">
        <v>674643</v>
      </c>
      <c r="K13" t="s">
        <v>1315</v>
      </c>
    </row>
    <row r="14" spans="1:11" x14ac:dyDescent="0.3">
      <c r="A14" s="20" t="s">
        <v>1316</v>
      </c>
      <c r="B14" s="21" t="s">
        <v>1317</v>
      </c>
      <c r="C14" s="22" t="s">
        <v>1284</v>
      </c>
      <c r="D14" s="23">
        <v>415803</v>
      </c>
      <c r="K14" t="s">
        <v>1318</v>
      </c>
    </row>
    <row r="15" spans="1:11" x14ac:dyDescent="0.3">
      <c r="A15" s="20" t="s">
        <v>1319</v>
      </c>
      <c r="B15" s="21" t="s">
        <v>1320</v>
      </c>
      <c r="C15" s="22" t="s">
        <v>1284</v>
      </c>
      <c r="D15" s="23">
        <v>477717</v>
      </c>
      <c r="K15" t="s">
        <v>1321</v>
      </c>
    </row>
    <row r="16" spans="1:11" x14ac:dyDescent="0.3">
      <c r="A16" s="20" t="s">
        <v>1322</v>
      </c>
      <c r="B16" s="21" t="s">
        <v>1323</v>
      </c>
      <c r="C16" s="22" t="s">
        <v>1284</v>
      </c>
      <c r="D16" s="23">
        <v>485079</v>
      </c>
      <c r="K16" t="s">
        <v>1324</v>
      </c>
    </row>
    <row r="17" spans="1:11" x14ac:dyDescent="0.3">
      <c r="A17" s="20" t="s">
        <v>1325</v>
      </c>
      <c r="B17" s="21" t="s">
        <v>1326</v>
      </c>
      <c r="C17" s="22" t="s">
        <v>1284</v>
      </c>
      <c r="D17" s="23">
        <v>565818</v>
      </c>
      <c r="K17" t="s">
        <v>1327</v>
      </c>
    </row>
    <row r="18" spans="1:11" x14ac:dyDescent="0.3">
      <c r="A18" s="20" t="s">
        <v>1328</v>
      </c>
      <c r="B18" s="21" t="s">
        <v>1329</v>
      </c>
      <c r="C18" s="22" t="s">
        <v>1284</v>
      </c>
      <c r="D18" s="23">
        <v>461627</v>
      </c>
      <c r="K18" t="s">
        <v>1330</v>
      </c>
    </row>
    <row r="19" spans="1:11" x14ac:dyDescent="0.3">
      <c r="A19" s="20" t="s">
        <v>1331</v>
      </c>
      <c r="B19" s="21" t="s">
        <v>1332</v>
      </c>
      <c r="C19" s="22" t="s">
        <v>1284</v>
      </c>
      <c r="D19" s="23">
        <v>410085</v>
      </c>
    </row>
    <row r="20" spans="1:11" x14ac:dyDescent="0.3">
      <c r="A20" s="20" t="s">
        <v>1333</v>
      </c>
      <c r="B20" s="21" t="s">
        <v>1334</v>
      </c>
      <c r="C20" s="22" t="s">
        <v>1284</v>
      </c>
      <c r="D20" s="23">
        <v>372639</v>
      </c>
    </row>
    <row r="21" spans="1:11" x14ac:dyDescent="0.3">
      <c r="A21" s="20" t="s">
        <v>1335</v>
      </c>
      <c r="B21" s="21" t="s">
        <v>1336</v>
      </c>
      <c r="C21" s="22" t="s">
        <v>1284</v>
      </c>
      <c r="D21" s="23">
        <v>724362</v>
      </c>
    </row>
    <row r="22" spans="1:11" ht="14.4" customHeight="1" x14ac:dyDescent="0.3">
      <c r="A22" s="14" t="s">
        <v>1337</v>
      </c>
      <c r="B22" s="15"/>
      <c r="C22" s="15"/>
      <c r="D22" s="16"/>
    </row>
    <row r="23" spans="1:11" x14ac:dyDescent="0.3">
      <c r="A23" s="20" t="s">
        <v>1338</v>
      </c>
      <c r="B23" s="21" t="s">
        <v>1339</v>
      </c>
      <c r="C23" s="24" t="s">
        <v>1287</v>
      </c>
      <c r="D23" s="23">
        <v>6589</v>
      </c>
    </row>
    <row r="24" spans="1:11" x14ac:dyDescent="0.3">
      <c r="A24" s="20" t="s">
        <v>1340</v>
      </c>
      <c r="B24" s="21" t="s">
        <v>1341</v>
      </c>
      <c r="C24" s="24" t="s">
        <v>1290</v>
      </c>
      <c r="D24" s="23">
        <v>4385</v>
      </c>
    </row>
    <row r="25" spans="1:11" x14ac:dyDescent="0.3">
      <c r="A25" s="20" t="s">
        <v>1342</v>
      </c>
      <c r="B25" s="20" t="s">
        <v>1343</v>
      </c>
      <c r="C25" s="24" t="s">
        <v>1290</v>
      </c>
      <c r="D25" s="23">
        <v>17448</v>
      </c>
    </row>
    <row r="26" spans="1:11" x14ac:dyDescent="0.3">
      <c r="A26" s="20" t="s">
        <v>1344</v>
      </c>
      <c r="B26" s="20" t="s">
        <v>1345</v>
      </c>
      <c r="C26" s="22" t="s">
        <v>1284</v>
      </c>
      <c r="D26" s="23">
        <v>6000</v>
      </c>
    </row>
    <row r="27" spans="1:11" x14ac:dyDescent="0.3">
      <c r="A27" s="20" t="s">
        <v>1346</v>
      </c>
      <c r="B27" s="20" t="s">
        <v>1347</v>
      </c>
      <c r="C27" s="24" t="s">
        <v>1293</v>
      </c>
      <c r="D27" s="23">
        <v>7500</v>
      </c>
    </row>
    <row r="28" spans="1:11" x14ac:dyDescent="0.3">
      <c r="A28" s="25" t="s">
        <v>1348</v>
      </c>
      <c r="B28" s="25"/>
      <c r="C28" s="25"/>
      <c r="D28" s="25"/>
    </row>
    <row r="29" spans="1:11" ht="14.4" customHeight="1" x14ac:dyDescent="0.3">
      <c r="A29" s="14" t="s">
        <v>1349</v>
      </c>
      <c r="B29" s="15"/>
      <c r="C29" s="15"/>
      <c r="D29" s="16"/>
    </row>
    <row r="30" spans="1:11" ht="14.4" customHeight="1" x14ac:dyDescent="0.3">
      <c r="A30" s="26">
        <v>36892</v>
      </c>
      <c r="B30" s="27" t="s">
        <v>1350</v>
      </c>
      <c r="C30" s="28" t="s">
        <v>35</v>
      </c>
      <c r="D30" s="29">
        <v>105892</v>
      </c>
    </row>
    <row r="31" spans="1:11" x14ac:dyDescent="0.3">
      <c r="A31" s="30">
        <v>37257</v>
      </c>
      <c r="B31" s="20" t="s">
        <v>1351</v>
      </c>
      <c r="C31" s="24" t="s">
        <v>35</v>
      </c>
      <c r="D31" s="23">
        <v>221483</v>
      </c>
    </row>
    <row r="32" spans="1:11" x14ac:dyDescent="0.3">
      <c r="A32" s="30">
        <v>37622</v>
      </c>
      <c r="B32" s="31" t="s">
        <v>1352</v>
      </c>
      <c r="C32" s="22" t="s">
        <v>35</v>
      </c>
      <c r="D32" s="23">
        <v>183243</v>
      </c>
    </row>
    <row r="33" spans="1:4" x14ac:dyDescent="0.3">
      <c r="A33" s="30">
        <v>37987</v>
      </c>
      <c r="B33" s="20" t="s">
        <v>1353</v>
      </c>
      <c r="C33" s="24" t="s">
        <v>1298</v>
      </c>
      <c r="D33" s="23">
        <v>1073461</v>
      </c>
    </row>
    <row r="34" spans="1:4" x14ac:dyDescent="0.3">
      <c r="A34" s="30">
        <v>38353</v>
      </c>
      <c r="B34" s="20" t="s">
        <v>34</v>
      </c>
      <c r="C34" s="22" t="s">
        <v>35</v>
      </c>
      <c r="D34" s="23">
        <v>1296</v>
      </c>
    </row>
    <row r="35" spans="1:4" x14ac:dyDescent="0.3">
      <c r="A35" s="30">
        <v>38718</v>
      </c>
      <c r="B35" s="20" t="s">
        <v>1354</v>
      </c>
      <c r="C35" s="22" t="s">
        <v>35</v>
      </c>
      <c r="D35" s="23">
        <v>6273</v>
      </c>
    </row>
    <row r="36" spans="1:4" x14ac:dyDescent="0.3">
      <c r="A36" s="30">
        <v>39083</v>
      </c>
      <c r="B36" s="20" t="s">
        <v>1355</v>
      </c>
      <c r="C36" s="22" t="s">
        <v>35</v>
      </c>
      <c r="D36" s="23">
        <v>9200</v>
      </c>
    </row>
    <row r="37" spans="1:4" x14ac:dyDescent="0.3">
      <c r="A37" s="30">
        <v>39448</v>
      </c>
      <c r="B37" s="20" t="s">
        <v>1356</v>
      </c>
      <c r="C37" s="22" t="s">
        <v>35</v>
      </c>
      <c r="D37" s="23">
        <v>19570</v>
      </c>
    </row>
    <row r="38" spans="1:4" x14ac:dyDescent="0.3">
      <c r="A38" s="30">
        <v>39814</v>
      </c>
      <c r="B38" s="20" t="s">
        <v>1357</v>
      </c>
      <c r="C38" s="22" t="s">
        <v>35</v>
      </c>
      <c r="D38" s="23">
        <v>5768</v>
      </c>
    </row>
    <row r="39" spans="1:4" x14ac:dyDescent="0.3">
      <c r="A39" s="30">
        <v>40179</v>
      </c>
      <c r="B39" s="20" t="s">
        <v>1358</v>
      </c>
      <c r="C39" s="22" t="s">
        <v>35</v>
      </c>
      <c r="D39" s="23">
        <v>5018</v>
      </c>
    </row>
    <row r="40" spans="1:4" x14ac:dyDescent="0.3">
      <c r="A40" s="30">
        <v>40544</v>
      </c>
      <c r="B40" s="20" t="s">
        <v>1359</v>
      </c>
      <c r="C40" s="22" t="s">
        <v>1284</v>
      </c>
      <c r="D40" s="23">
        <v>3065</v>
      </c>
    </row>
    <row r="41" spans="1:4" x14ac:dyDescent="0.3">
      <c r="A41" s="30">
        <v>40909</v>
      </c>
      <c r="B41" s="20" t="s">
        <v>1360</v>
      </c>
      <c r="C41" s="22" t="s">
        <v>1284</v>
      </c>
      <c r="D41" s="23">
        <v>28839</v>
      </c>
    </row>
    <row r="42" spans="1:4" x14ac:dyDescent="0.3">
      <c r="A42" s="30">
        <v>41275</v>
      </c>
      <c r="B42" s="20" t="s">
        <v>1361</v>
      </c>
      <c r="C42" s="22" t="s">
        <v>1284</v>
      </c>
      <c r="D42" s="23">
        <v>27011</v>
      </c>
    </row>
    <row r="43" spans="1:4" x14ac:dyDescent="0.3">
      <c r="A43" s="30">
        <v>41640</v>
      </c>
      <c r="B43" s="20" t="s">
        <v>1362</v>
      </c>
      <c r="C43" s="22" t="s">
        <v>1284</v>
      </c>
      <c r="D43" s="23">
        <v>9065</v>
      </c>
    </row>
    <row r="44" spans="1:4" x14ac:dyDescent="0.3">
      <c r="A44" s="30">
        <v>42005</v>
      </c>
      <c r="B44" s="20" t="s">
        <v>1363</v>
      </c>
      <c r="C44" s="22" t="s">
        <v>1284</v>
      </c>
      <c r="D44" s="23">
        <v>9065</v>
      </c>
    </row>
    <row r="45" spans="1:4" x14ac:dyDescent="0.3">
      <c r="A45" s="30">
        <v>42370</v>
      </c>
      <c r="B45" s="31" t="s">
        <v>1364</v>
      </c>
      <c r="C45" s="24" t="s">
        <v>1301</v>
      </c>
      <c r="D45" s="23">
        <v>3816</v>
      </c>
    </row>
    <row r="46" spans="1:4" x14ac:dyDescent="0.3">
      <c r="A46" s="30">
        <v>42736</v>
      </c>
      <c r="B46" s="20" t="s">
        <v>1365</v>
      </c>
      <c r="C46" s="22" t="s">
        <v>35</v>
      </c>
      <c r="D46" s="23">
        <v>2705</v>
      </c>
    </row>
    <row r="47" spans="1:4" x14ac:dyDescent="0.3">
      <c r="A47" s="30">
        <v>43101</v>
      </c>
      <c r="B47" s="20" t="s">
        <v>1366</v>
      </c>
      <c r="C47" s="22" t="s">
        <v>35</v>
      </c>
      <c r="D47" s="23">
        <v>2301</v>
      </c>
    </row>
    <row r="48" spans="1:4" x14ac:dyDescent="0.3">
      <c r="A48" s="30">
        <v>43466</v>
      </c>
      <c r="B48" s="20" t="s">
        <v>1367</v>
      </c>
      <c r="C48" s="22" t="s">
        <v>35</v>
      </c>
      <c r="D48" s="23">
        <v>1797</v>
      </c>
    </row>
    <row r="49" spans="1:4" x14ac:dyDescent="0.3">
      <c r="A49" s="30">
        <v>43831</v>
      </c>
      <c r="B49" s="31" t="s">
        <v>1368</v>
      </c>
      <c r="C49" s="24" t="s">
        <v>1304</v>
      </c>
      <c r="D49" s="23">
        <v>1922</v>
      </c>
    </row>
    <row r="50" spans="1:4" x14ac:dyDescent="0.3">
      <c r="A50" s="30">
        <v>44197</v>
      </c>
      <c r="B50" s="20" t="s">
        <v>1369</v>
      </c>
      <c r="C50" s="24" t="s">
        <v>1304</v>
      </c>
      <c r="D50" s="23">
        <v>9000</v>
      </c>
    </row>
    <row r="51" spans="1:4" x14ac:dyDescent="0.3">
      <c r="A51" s="30">
        <v>44562</v>
      </c>
      <c r="B51" s="31" t="s">
        <v>1370</v>
      </c>
      <c r="C51" s="24" t="s">
        <v>1304</v>
      </c>
      <c r="D51" s="23">
        <v>7186</v>
      </c>
    </row>
    <row r="52" spans="1:4" x14ac:dyDescent="0.3">
      <c r="A52" s="30">
        <v>44927</v>
      </c>
      <c r="B52" s="20" t="s">
        <v>1371</v>
      </c>
      <c r="C52" s="24" t="s">
        <v>1304</v>
      </c>
      <c r="D52" s="23">
        <v>67575</v>
      </c>
    </row>
    <row r="53" spans="1:4" x14ac:dyDescent="0.3">
      <c r="A53" s="30">
        <v>45292</v>
      </c>
      <c r="B53" s="20" t="s">
        <v>1372</v>
      </c>
      <c r="C53" s="22" t="s">
        <v>35</v>
      </c>
      <c r="D53" s="23">
        <v>50110</v>
      </c>
    </row>
    <row r="54" spans="1:4" x14ac:dyDescent="0.3">
      <c r="A54" s="30">
        <v>45658</v>
      </c>
      <c r="B54" s="20" t="s">
        <v>1373</v>
      </c>
      <c r="C54" s="22" t="s">
        <v>35</v>
      </c>
      <c r="D54" s="23">
        <v>49188</v>
      </c>
    </row>
    <row r="55" spans="1:4" x14ac:dyDescent="0.3">
      <c r="A55" s="30">
        <v>46023</v>
      </c>
      <c r="B55" s="20" t="s">
        <v>1374</v>
      </c>
      <c r="C55" s="24" t="s">
        <v>1304</v>
      </c>
      <c r="D55" s="23">
        <v>10621</v>
      </c>
    </row>
    <row r="56" spans="1:4" x14ac:dyDescent="0.3">
      <c r="A56" s="30">
        <v>46388</v>
      </c>
      <c r="B56" s="20" t="s">
        <v>1375</v>
      </c>
      <c r="C56" s="24" t="s">
        <v>1307</v>
      </c>
      <c r="D56" s="23">
        <v>3785</v>
      </c>
    </row>
    <row r="57" spans="1:4" x14ac:dyDescent="0.3">
      <c r="A57" s="30">
        <v>46753</v>
      </c>
      <c r="B57" s="31" t="s">
        <v>1376</v>
      </c>
      <c r="C57" s="24" t="s">
        <v>1304</v>
      </c>
      <c r="D57" s="23">
        <v>1260</v>
      </c>
    </row>
    <row r="58" spans="1:4" x14ac:dyDescent="0.3">
      <c r="A58" s="30">
        <v>47119</v>
      </c>
      <c r="B58" s="20" t="s">
        <v>1377</v>
      </c>
      <c r="C58" s="22" t="s">
        <v>35</v>
      </c>
      <c r="D58" s="23">
        <v>4437</v>
      </c>
    </row>
    <row r="59" spans="1:4" x14ac:dyDescent="0.3">
      <c r="A59" s="30">
        <v>10959</v>
      </c>
      <c r="B59" s="31" t="s">
        <v>1378</v>
      </c>
      <c r="C59" s="22" t="s">
        <v>35</v>
      </c>
      <c r="D59" s="23">
        <v>2001</v>
      </c>
    </row>
    <row r="60" spans="1:4" x14ac:dyDescent="0.3">
      <c r="A60" s="25" t="s">
        <v>1379</v>
      </c>
      <c r="B60" s="25"/>
      <c r="C60" s="25"/>
      <c r="D60" s="25"/>
    </row>
    <row r="61" spans="1:4" x14ac:dyDescent="0.3">
      <c r="A61" s="30">
        <v>36893</v>
      </c>
      <c r="B61" s="20" t="s">
        <v>1380</v>
      </c>
      <c r="C61" s="24" t="s">
        <v>1304</v>
      </c>
      <c r="D61" s="23">
        <v>3488</v>
      </c>
    </row>
    <row r="62" spans="1:4" ht="14.4" customHeight="1" x14ac:dyDescent="0.3">
      <c r="A62" s="26">
        <v>37258</v>
      </c>
      <c r="B62" s="27" t="s">
        <v>1381</v>
      </c>
      <c r="C62" s="32" t="s">
        <v>1304</v>
      </c>
      <c r="D62" s="29">
        <v>9572</v>
      </c>
    </row>
    <row r="63" spans="1:4" x14ac:dyDescent="0.3">
      <c r="A63" s="30">
        <v>37623</v>
      </c>
      <c r="B63" s="20" t="s">
        <v>1382</v>
      </c>
      <c r="C63" s="24" t="s">
        <v>1304</v>
      </c>
      <c r="D63" s="23">
        <v>5752</v>
      </c>
    </row>
    <row r="64" spans="1:4" x14ac:dyDescent="0.3">
      <c r="A64" s="30">
        <v>37988</v>
      </c>
      <c r="B64" s="20" t="s">
        <v>1383</v>
      </c>
      <c r="C64" s="22" t="s">
        <v>1284</v>
      </c>
      <c r="D64" s="23">
        <v>212053</v>
      </c>
    </row>
    <row r="65" spans="1:4" x14ac:dyDescent="0.3">
      <c r="A65" s="30">
        <v>38354</v>
      </c>
      <c r="B65" s="20" t="s">
        <v>1384</v>
      </c>
      <c r="C65" s="22" t="s">
        <v>1284</v>
      </c>
      <c r="D65" s="23">
        <v>200272</v>
      </c>
    </row>
    <row r="66" spans="1:4" x14ac:dyDescent="0.3">
      <c r="A66" s="30">
        <v>38719</v>
      </c>
      <c r="B66" s="20" t="s">
        <v>1385</v>
      </c>
      <c r="C66" s="24" t="s">
        <v>1304</v>
      </c>
      <c r="D66" s="23">
        <v>5768</v>
      </c>
    </row>
    <row r="67" spans="1:4" x14ac:dyDescent="0.3">
      <c r="A67" s="30">
        <v>39084</v>
      </c>
      <c r="B67" s="20" t="s">
        <v>1386</v>
      </c>
      <c r="C67" s="22" t="s">
        <v>35</v>
      </c>
      <c r="D67" s="23">
        <v>13843</v>
      </c>
    </row>
    <row r="68" spans="1:4" x14ac:dyDescent="0.3">
      <c r="A68" s="30">
        <v>39449</v>
      </c>
      <c r="B68" s="20" t="s">
        <v>1387</v>
      </c>
      <c r="C68" s="22" t="s">
        <v>35</v>
      </c>
      <c r="D68" s="23">
        <v>12016</v>
      </c>
    </row>
    <row r="69" spans="1:4" x14ac:dyDescent="0.3">
      <c r="A69" s="30">
        <v>39815</v>
      </c>
      <c r="B69" s="20" t="s">
        <v>1388</v>
      </c>
      <c r="C69" s="22" t="s">
        <v>35</v>
      </c>
      <c r="D69" s="23">
        <v>14420</v>
      </c>
    </row>
    <row r="70" spans="1:4" x14ac:dyDescent="0.3">
      <c r="A70" s="30">
        <v>40180</v>
      </c>
      <c r="B70" s="20" t="s">
        <v>1389</v>
      </c>
      <c r="C70" s="22" t="s">
        <v>1284</v>
      </c>
      <c r="D70" s="23">
        <v>249940</v>
      </c>
    </row>
    <row r="71" spans="1:4" x14ac:dyDescent="0.3">
      <c r="A71" s="30">
        <v>40545</v>
      </c>
      <c r="B71" s="20" t="s">
        <v>1390</v>
      </c>
      <c r="C71" s="22" t="s">
        <v>35</v>
      </c>
      <c r="D71" s="23">
        <v>28839</v>
      </c>
    </row>
    <row r="72" spans="1:4" x14ac:dyDescent="0.3">
      <c r="A72" s="30">
        <v>40910</v>
      </c>
      <c r="B72" s="20" t="s">
        <v>1391</v>
      </c>
      <c r="C72" s="22" t="s">
        <v>35</v>
      </c>
      <c r="D72" s="23">
        <v>12497</v>
      </c>
    </row>
    <row r="73" spans="1:4" x14ac:dyDescent="0.3">
      <c r="A73" s="30">
        <v>41276</v>
      </c>
      <c r="B73" s="20" t="s">
        <v>1392</v>
      </c>
      <c r="C73" s="22" t="s">
        <v>35</v>
      </c>
      <c r="D73" s="23">
        <v>9373</v>
      </c>
    </row>
    <row r="74" spans="1:4" x14ac:dyDescent="0.3">
      <c r="A74" s="30">
        <v>41641</v>
      </c>
      <c r="B74" s="20" t="s">
        <v>1393</v>
      </c>
      <c r="C74" s="22" t="s">
        <v>35</v>
      </c>
      <c r="D74" s="23">
        <v>4326</v>
      </c>
    </row>
    <row r="75" spans="1:4" x14ac:dyDescent="0.3">
      <c r="A75" s="30">
        <v>42006</v>
      </c>
      <c r="B75" s="20" t="s">
        <v>1394</v>
      </c>
      <c r="C75" s="22" t="s">
        <v>35</v>
      </c>
      <c r="D75" s="23">
        <v>6248</v>
      </c>
    </row>
    <row r="76" spans="1:4" x14ac:dyDescent="0.3">
      <c r="A76" s="30">
        <v>42371</v>
      </c>
      <c r="B76" s="20" t="s">
        <v>1395</v>
      </c>
      <c r="C76" s="22" t="s">
        <v>35</v>
      </c>
      <c r="D76" s="23">
        <v>9913</v>
      </c>
    </row>
    <row r="77" spans="1:4" x14ac:dyDescent="0.3">
      <c r="A77" s="30">
        <v>42737</v>
      </c>
      <c r="B77" s="20" t="s">
        <v>1396</v>
      </c>
      <c r="C77" s="22" t="s">
        <v>35</v>
      </c>
      <c r="D77" s="23">
        <v>14420</v>
      </c>
    </row>
    <row r="78" spans="1:4" x14ac:dyDescent="0.3">
      <c r="A78" s="30">
        <v>43102</v>
      </c>
      <c r="B78" s="20" t="s">
        <v>1397</v>
      </c>
      <c r="C78" s="24" t="s">
        <v>1304</v>
      </c>
      <c r="D78" s="23">
        <v>8201</v>
      </c>
    </row>
    <row r="79" spans="1:4" x14ac:dyDescent="0.3">
      <c r="A79" s="30">
        <v>43467</v>
      </c>
      <c r="B79" s="20" t="s">
        <v>1398</v>
      </c>
      <c r="C79" s="24" t="s">
        <v>1304</v>
      </c>
      <c r="D79" s="23">
        <v>47104</v>
      </c>
    </row>
    <row r="80" spans="1:4" x14ac:dyDescent="0.3">
      <c r="A80" s="30">
        <v>43832</v>
      </c>
      <c r="B80" s="20" t="s">
        <v>1399</v>
      </c>
      <c r="C80" s="22" t="s">
        <v>35</v>
      </c>
      <c r="D80" s="23">
        <v>3317</v>
      </c>
    </row>
    <row r="81" spans="1:4" x14ac:dyDescent="0.3">
      <c r="A81" s="30">
        <v>44198</v>
      </c>
      <c r="B81" s="31" t="s">
        <v>1400</v>
      </c>
      <c r="C81" s="24" t="s">
        <v>1304</v>
      </c>
      <c r="D81" s="23">
        <v>8363</v>
      </c>
    </row>
    <row r="82" spans="1:4" x14ac:dyDescent="0.3">
      <c r="A82" s="30">
        <v>44563</v>
      </c>
      <c r="B82" s="31" t="s">
        <v>1401</v>
      </c>
      <c r="C82" s="24" t="s">
        <v>1304</v>
      </c>
      <c r="D82" s="23">
        <v>36241</v>
      </c>
    </row>
    <row r="83" spans="1:4" x14ac:dyDescent="0.3">
      <c r="A83" s="30">
        <v>44928</v>
      </c>
      <c r="B83" s="20" t="s">
        <v>1402</v>
      </c>
      <c r="C83" s="22" t="s">
        <v>35</v>
      </c>
      <c r="D83" s="23">
        <v>6697</v>
      </c>
    </row>
    <row r="84" spans="1:4" x14ac:dyDescent="0.3">
      <c r="A84" s="30">
        <v>45293</v>
      </c>
      <c r="B84" s="31" t="s">
        <v>1403</v>
      </c>
      <c r="C84" s="22" t="s">
        <v>35</v>
      </c>
      <c r="D84" s="23">
        <v>21745</v>
      </c>
    </row>
    <row r="85" spans="1:4" x14ac:dyDescent="0.3">
      <c r="A85" s="30">
        <v>45659</v>
      </c>
      <c r="B85" s="20" t="s">
        <v>1404</v>
      </c>
      <c r="C85" s="22" t="s">
        <v>35</v>
      </c>
      <c r="D85" s="23">
        <v>13068</v>
      </c>
    </row>
    <row r="86" spans="1:4" x14ac:dyDescent="0.3">
      <c r="A86" s="30">
        <v>46024</v>
      </c>
      <c r="B86" s="20" t="s">
        <v>1405</v>
      </c>
      <c r="C86" s="22" t="s">
        <v>35</v>
      </c>
      <c r="D86" s="23">
        <v>18745</v>
      </c>
    </row>
    <row r="87" spans="1:4" x14ac:dyDescent="0.3">
      <c r="A87" s="30">
        <v>46389</v>
      </c>
      <c r="B87" s="20" t="s">
        <v>1406</v>
      </c>
      <c r="C87" s="24" t="s">
        <v>1304</v>
      </c>
      <c r="D87" s="23">
        <v>3749</v>
      </c>
    </row>
    <row r="88" spans="1:4" x14ac:dyDescent="0.3">
      <c r="A88" s="30">
        <v>46754</v>
      </c>
      <c r="B88" s="20" t="s">
        <v>1407</v>
      </c>
      <c r="C88" s="24" t="s">
        <v>1304</v>
      </c>
      <c r="D88" s="23">
        <v>4772</v>
      </c>
    </row>
    <row r="89" spans="1:4" x14ac:dyDescent="0.3">
      <c r="A89" s="30">
        <v>47120</v>
      </c>
      <c r="B89" s="20" t="s">
        <v>1408</v>
      </c>
      <c r="C89" s="22" t="s">
        <v>35</v>
      </c>
      <c r="D89" s="23">
        <v>4038</v>
      </c>
    </row>
    <row r="90" spans="1:4" x14ac:dyDescent="0.3">
      <c r="A90" s="30">
        <v>10960</v>
      </c>
      <c r="B90" s="20" t="s">
        <v>1409</v>
      </c>
      <c r="C90" s="22" t="s">
        <v>35</v>
      </c>
      <c r="D90" s="23">
        <v>8652</v>
      </c>
    </row>
    <row r="91" spans="1:4" x14ac:dyDescent="0.3">
      <c r="A91" s="30">
        <v>11325</v>
      </c>
      <c r="B91" s="20" t="s">
        <v>1410</v>
      </c>
      <c r="C91" s="22" t="s">
        <v>35</v>
      </c>
      <c r="D91" s="23">
        <v>10094</v>
      </c>
    </row>
    <row r="92" spans="1:4" x14ac:dyDescent="0.3">
      <c r="A92" s="30">
        <v>11690</v>
      </c>
      <c r="B92" s="20" t="s">
        <v>1411</v>
      </c>
      <c r="C92" s="22" t="s">
        <v>35</v>
      </c>
      <c r="D92" s="23">
        <v>15075</v>
      </c>
    </row>
    <row r="93" spans="1:4" x14ac:dyDescent="0.3">
      <c r="A93" s="30">
        <v>12056</v>
      </c>
      <c r="B93" s="20" t="s">
        <v>1412</v>
      </c>
      <c r="C93" s="22" t="s">
        <v>35</v>
      </c>
      <c r="D93" s="23">
        <v>8291</v>
      </c>
    </row>
    <row r="94" spans="1:4" x14ac:dyDescent="0.3">
      <c r="A94" s="30">
        <v>12421</v>
      </c>
      <c r="B94" s="20" t="s">
        <v>1413</v>
      </c>
      <c r="C94" s="24" t="s">
        <v>1282</v>
      </c>
      <c r="D94" s="23">
        <v>18655</v>
      </c>
    </row>
    <row r="95" spans="1:4" x14ac:dyDescent="0.3">
      <c r="A95" s="30">
        <v>12786</v>
      </c>
      <c r="B95" s="20" t="s">
        <v>1414</v>
      </c>
      <c r="C95" s="24" t="s">
        <v>1282</v>
      </c>
      <c r="D95" s="23">
        <v>10364</v>
      </c>
    </row>
    <row r="96" spans="1:4" x14ac:dyDescent="0.3">
      <c r="A96" s="30">
        <v>13151</v>
      </c>
      <c r="B96" s="31" t="s">
        <v>1415</v>
      </c>
      <c r="C96" s="22" t="s">
        <v>35</v>
      </c>
      <c r="D96" s="23">
        <v>35163</v>
      </c>
    </row>
    <row r="97" spans="1:4" x14ac:dyDescent="0.3">
      <c r="A97" s="25" t="s">
        <v>1416</v>
      </c>
      <c r="B97" s="25"/>
      <c r="C97" s="25"/>
      <c r="D97" s="25"/>
    </row>
    <row r="98" spans="1:4" x14ac:dyDescent="0.3">
      <c r="A98" s="30">
        <v>36894</v>
      </c>
      <c r="B98" s="20" t="s">
        <v>1417</v>
      </c>
      <c r="C98" s="22" t="s">
        <v>1284</v>
      </c>
      <c r="D98" s="23">
        <v>35126</v>
      </c>
    </row>
    <row r="99" spans="1:4" x14ac:dyDescent="0.3">
      <c r="A99" s="30">
        <v>37259</v>
      </c>
      <c r="B99" s="20" t="s">
        <v>1418</v>
      </c>
      <c r="C99" s="22" t="s">
        <v>1284</v>
      </c>
      <c r="D99" s="23">
        <v>63771</v>
      </c>
    </row>
    <row r="100" spans="1:4" ht="14.4" customHeight="1" x14ac:dyDescent="0.3">
      <c r="A100" s="26">
        <v>37624</v>
      </c>
      <c r="B100" s="27" t="s">
        <v>1419</v>
      </c>
      <c r="C100" s="28" t="s">
        <v>1284</v>
      </c>
      <c r="D100" s="29">
        <v>104542</v>
      </c>
    </row>
    <row r="101" spans="1:4" x14ac:dyDescent="0.3">
      <c r="A101" s="30">
        <v>37989</v>
      </c>
      <c r="B101" s="20" t="s">
        <v>1420</v>
      </c>
      <c r="C101" s="22" t="s">
        <v>1284</v>
      </c>
      <c r="D101" s="23">
        <v>72577</v>
      </c>
    </row>
    <row r="102" spans="1:4" x14ac:dyDescent="0.3">
      <c r="A102" s="30">
        <v>38355</v>
      </c>
      <c r="B102" s="20" t="s">
        <v>1421</v>
      </c>
      <c r="C102" s="22" t="s">
        <v>1284</v>
      </c>
      <c r="D102" s="23">
        <v>94519</v>
      </c>
    </row>
    <row r="103" spans="1:4" x14ac:dyDescent="0.3">
      <c r="A103" s="30">
        <v>38720</v>
      </c>
      <c r="B103" s="20" t="s">
        <v>1422</v>
      </c>
      <c r="C103" s="22" t="s">
        <v>1284</v>
      </c>
      <c r="D103" s="23">
        <v>139928</v>
      </c>
    </row>
    <row r="104" spans="1:4" x14ac:dyDescent="0.3">
      <c r="A104" s="30">
        <v>39085</v>
      </c>
      <c r="B104" s="20" t="s">
        <v>1423</v>
      </c>
      <c r="C104" s="22" t="s">
        <v>1284</v>
      </c>
      <c r="D104" s="23">
        <v>62725</v>
      </c>
    </row>
    <row r="105" spans="1:4" x14ac:dyDescent="0.3">
      <c r="A105" s="30">
        <v>39450</v>
      </c>
      <c r="B105" s="20" t="s">
        <v>1424</v>
      </c>
      <c r="C105" s="22" t="s">
        <v>1284</v>
      </c>
      <c r="D105" s="23">
        <v>74673</v>
      </c>
    </row>
    <row r="106" spans="1:4" x14ac:dyDescent="0.3">
      <c r="A106" s="30">
        <v>39816</v>
      </c>
      <c r="B106" s="20" t="s">
        <v>1425</v>
      </c>
      <c r="C106" s="22" t="s">
        <v>1284</v>
      </c>
      <c r="D106" s="23">
        <v>130678</v>
      </c>
    </row>
    <row r="107" spans="1:4" x14ac:dyDescent="0.3">
      <c r="A107" s="30">
        <v>40181</v>
      </c>
      <c r="B107" s="20" t="s">
        <v>1426</v>
      </c>
      <c r="C107" s="22" t="s">
        <v>1284</v>
      </c>
      <c r="D107" s="23">
        <v>93285</v>
      </c>
    </row>
    <row r="108" spans="1:4" x14ac:dyDescent="0.3">
      <c r="A108" s="30">
        <v>40546</v>
      </c>
      <c r="B108" s="20" t="s">
        <v>1427</v>
      </c>
      <c r="C108" s="22" t="s">
        <v>1284</v>
      </c>
      <c r="D108" s="23">
        <v>111942</v>
      </c>
    </row>
    <row r="109" spans="1:4" x14ac:dyDescent="0.3">
      <c r="A109" s="30">
        <v>40911</v>
      </c>
      <c r="B109" s="20" t="s">
        <v>1428</v>
      </c>
      <c r="C109" s="22" t="s">
        <v>1284</v>
      </c>
      <c r="D109" s="23">
        <v>139928</v>
      </c>
    </row>
    <row r="110" spans="1:4" x14ac:dyDescent="0.3">
      <c r="A110" s="30">
        <v>41277</v>
      </c>
      <c r="B110" s="31" t="s">
        <v>1429</v>
      </c>
      <c r="C110" s="22" t="s">
        <v>1284</v>
      </c>
      <c r="D110" s="23">
        <v>54362</v>
      </c>
    </row>
    <row r="111" spans="1:4" x14ac:dyDescent="0.3">
      <c r="A111" s="30">
        <v>41642</v>
      </c>
      <c r="B111" s="31" t="s">
        <v>1430</v>
      </c>
      <c r="C111" s="22" t="s">
        <v>1284</v>
      </c>
      <c r="D111" s="23">
        <v>77660</v>
      </c>
    </row>
    <row r="112" spans="1:4" x14ac:dyDescent="0.3">
      <c r="A112" s="30">
        <v>42007</v>
      </c>
      <c r="B112" s="20" t="s">
        <v>1431</v>
      </c>
      <c r="C112" s="22" t="s">
        <v>1284</v>
      </c>
      <c r="D112" s="23">
        <v>41817</v>
      </c>
    </row>
    <row r="113" spans="1:4" x14ac:dyDescent="0.3">
      <c r="A113" s="30">
        <v>42372</v>
      </c>
      <c r="B113" s="20" t="s">
        <v>1432</v>
      </c>
      <c r="C113" s="22" t="s">
        <v>1284</v>
      </c>
      <c r="D113" s="23">
        <v>55756</v>
      </c>
    </row>
    <row r="114" spans="1:4" x14ac:dyDescent="0.3">
      <c r="A114" s="30">
        <v>42738</v>
      </c>
      <c r="B114" s="20" t="s">
        <v>1433</v>
      </c>
      <c r="C114" s="22" t="s">
        <v>1284</v>
      </c>
      <c r="D114" s="23">
        <v>6403</v>
      </c>
    </row>
    <row r="115" spans="1:4" x14ac:dyDescent="0.3">
      <c r="A115" s="30">
        <v>43103</v>
      </c>
      <c r="B115" s="20" t="s">
        <v>1434</v>
      </c>
      <c r="C115" s="22" t="s">
        <v>1284</v>
      </c>
      <c r="D115" s="23">
        <v>202677</v>
      </c>
    </row>
    <row r="116" spans="1:4" x14ac:dyDescent="0.3">
      <c r="A116" s="30">
        <v>43468</v>
      </c>
      <c r="B116" s="20" t="s">
        <v>1435</v>
      </c>
      <c r="C116" s="22" t="s">
        <v>1284</v>
      </c>
      <c r="D116" s="23">
        <v>27722</v>
      </c>
    </row>
    <row r="117" spans="1:4" x14ac:dyDescent="0.3">
      <c r="A117" s="30">
        <v>43833</v>
      </c>
      <c r="B117" s="20" t="s">
        <v>1436</v>
      </c>
      <c r="C117" s="22" t="s">
        <v>1284</v>
      </c>
      <c r="D117" s="23">
        <v>81598</v>
      </c>
    </row>
    <row r="118" spans="1:4" x14ac:dyDescent="0.3">
      <c r="A118" s="30">
        <v>44199</v>
      </c>
      <c r="B118" s="20" t="s">
        <v>1437</v>
      </c>
      <c r="C118" s="22" t="s">
        <v>1284</v>
      </c>
      <c r="D118" s="23">
        <v>63462</v>
      </c>
    </row>
    <row r="119" spans="1:4" x14ac:dyDescent="0.3">
      <c r="A119" s="30">
        <v>44564</v>
      </c>
      <c r="B119" s="20" t="s">
        <v>1438</v>
      </c>
      <c r="C119" s="22" t="s">
        <v>1284</v>
      </c>
      <c r="D119" s="23">
        <v>65474</v>
      </c>
    </row>
    <row r="120" spans="1:4" x14ac:dyDescent="0.3">
      <c r="A120" s="30">
        <v>44929</v>
      </c>
      <c r="B120" s="20" t="s">
        <v>1439</v>
      </c>
      <c r="C120" s="22" t="s">
        <v>35</v>
      </c>
      <c r="D120" s="23">
        <v>7218</v>
      </c>
    </row>
    <row r="121" spans="1:4" x14ac:dyDescent="0.3">
      <c r="A121" s="30">
        <v>45294</v>
      </c>
      <c r="B121" s="20" t="s">
        <v>1440</v>
      </c>
      <c r="C121" s="22" t="s">
        <v>1284</v>
      </c>
      <c r="D121" s="23">
        <v>134659</v>
      </c>
    </row>
    <row r="122" spans="1:4" x14ac:dyDescent="0.3">
      <c r="A122" s="30">
        <v>45660</v>
      </c>
      <c r="B122" s="20" t="s">
        <v>1441</v>
      </c>
      <c r="C122" s="22" t="s">
        <v>1284</v>
      </c>
      <c r="D122" s="23">
        <v>142560</v>
      </c>
    </row>
    <row r="123" spans="1:4" x14ac:dyDescent="0.3">
      <c r="A123" s="30">
        <v>46025</v>
      </c>
      <c r="B123" s="31" t="s">
        <v>1442</v>
      </c>
      <c r="C123" s="24" t="s">
        <v>1304</v>
      </c>
      <c r="D123" s="23">
        <v>12079</v>
      </c>
    </row>
    <row r="124" spans="1:4" x14ac:dyDescent="0.3">
      <c r="A124" s="25" t="s">
        <v>1443</v>
      </c>
      <c r="B124" s="25"/>
      <c r="C124" s="25"/>
      <c r="D124" s="25"/>
    </row>
    <row r="125" spans="1:4" x14ac:dyDescent="0.3">
      <c r="A125" s="30">
        <v>36895</v>
      </c>
      <c r="B125" s="20" t="s">
        <v>1444</v>
      </c>
      <c r="C125" s="22" t="s">
        <v>1284</v>
      </c>
      <c r="D125" s="23">
        <v>421434</v>
      </c>
    </row>
    <row r="126" spans="1:4" x14ac:dyDescent="0.3">
      <c r="A126" s="30">
        <v>37260</v>
      </c>
      <c r="B126" s="31" t="s">
        <v>1445</v>
      </c>
      <c r="C126" s="24" t="s">
        <v>1282</v>
      </c>
      <c r="D126" s="23">
        <v>258984</v>
      </c>
    </row>
    <row r="127" spans="1:4" x14ac:dyDescent="0.3">
      <c r="A127" s="30">
        <v>37625</v>
      </c>
      <c r="B127" s="31" t="s">
        <v>1446</v>
      </c>
      <c r="C127" s="24" t="s">
        <v>1282</v>
      </c>
      <c r="D127" s="23">
        <v>416075</v>
      </c>
    </row>
    <row r="128" spans="1:4" ht="14.4" customHeight="1" x14ac:dyDescent="0.3">
      <c r="A128" s="26">
        <v>37990</v>
      </c>
      <c r="B128" s="33" t="s">
        <v>1447</v>
      </c>
      <c r="C128" s="32" t="s">
        <v>1282</v>
      </c>
      <c r="D128" s="29">
        <v>641435</v>
      </c>
    </row>
    <row r="129" spans="1:4" x14ac:dyDescent="0.3">
      <c r="A129" s="30">
        <v>38356</v>
      </c>
      <c r="B129" s="31" t="s">
        <v>1448</v>
      </c>
      <c r="C129" s="24" t="s">
        <v>1282</v>
      </c>
      <c r="D129" s="23">
        <v>819961</v>
      </c>
    </row>
    <row r="130" spans="1:4" x14ac:dyDescent="0.3">
      <c r="A130" s="30">
        <v>38721</v>
      </c>
      <c r="B130" s="20" t="s">
        <v>1449</v>
      </c>
      <c r="C130" s="22" t="s">
        <v>1284</v>
      </c>
      <c r="D130" s="23">
        <v>799017</v>
      </c>
    </row>
    <row r="131" spans="1:4" x14ac:dyDescent="0.3">
      <c r="A131" s="30">
        <v>39086</v>
      </c>
      <c r="B131" s="20" t="s">
        <v>1450</v>
      </c>
      <c r="C131" s="22" t="s">
        <v>1284</v>
      </c>
      <c r="D131" s="23">
        <v>849233</v>
      </c>
    </row>
    <row r="132" spans="1:4" x14ac:dyDescent="0.3">
      <c r="A132" s="30">
        <v>39451</v>
      </c>
      <c r="B132" s="31" t="s">
        <v>1451</v>
      </c>
      <c r="C132" s="22" t="s">
        <v>1284</v>
      </c>
      <c r="D132" s="23">
        <v>829440</v>
      </c>
    </row>
    <row r="133" spans="1:4" x14ac:dyDescent="0.3">
      <c r="A133" s="30">
        <v>39817</v>
      </c>
      <c r="B133" s="31" t="s">
        <v>1452</v>
      </c>
      <c r="C133" s="22" t="s">
        <v>1284</v>
      </c>
      <c r="D133" s="23">
        <v>896257</v>
      </c>
    </row>
    <row r="134" spans="1:4" x14ac:dyDescent="0.3">
      <c r="A134" s="30">
        <v>40182</v>
      </c>
      <c r="B134" s="20" t="s">
        <v>1453</v>
      </c>
      <c r="C134" s="22" t="s">
        <v>1284</v>
      </c>
      <c r="D134" s="23">
        <v>781324</v>
      </c>
    </row>
    <row r="135" spans="1:4" x14ac:dyDescent="0.3">
      <c r="A135" s="30">
        <v>40547</v>
      </c>
      <c r="B135" s="20" t="s">
        <v>1454</v>
      </c>
      <c r="C135" s="22" t="s">
        <v>35</v>
      </c>
      <c r="D135" s="23">
        <v>59189</v>
      </c>
    </row>
    <row r="136" spans="1:4" x14ac:dyDescent="0.3">
      <c r="A136" s="30">
        <v>40912</v>
      </c>
      <c r="B136" s="20" t="s">
        <v>1455</v>
      </c>
      <c r="C136" s="22" t="s">
        <v>35</v>
      </c>
      <c r="D136" s="23">
        <v>79831</v>
      </c>
    </row>
    <row r="137" spans="1:4" x14ac:dyDescent="0.3">
      <c r="A137" s="30">
        <v>41278</v>
      </c>
      <c r="B137" s="20" t="s">
        <v>1456</v>
      </c>
      <c r="C137" s="22" t="s">
        <v>35</v>
      </c>
      <c r="D137" s="23">
        <v>58897</v>
      </c>
    </row>
    <row r="138" spans="1:4" x14ac:dyDescent="0.3">
      <c r="A138" s="30">
        <v>41643</v>
      </c>
      <c r="B138" s="31" t="s">
        <v>1457</v>
      </c>
      <c r="C138" s="22" t="s">
        <v>1284</v>
      </c>
      <c r="D138" s="23">
        <v>1098796</v>
      </c>
    </row>
    <row r="139" spans="1:4" x14ac:dyDescent="0.3">
      <c r="A139" s="30">
        <v>42008</v>
      </c>
      <c r="B139" s="31" t="s">
        <v>1458</v>
      </c>
      <c r="C139" s="22" t="s">
        <v>1284</v>
      </c>
      <c r="D139" s="23">
        <v>1039408</v>
      </c>
    </row>
    <row r="140" spans="1:4" x14ac:dyDescent="0.3">
      <c r="A140" s="30">
        <v>42373</v>
      </c>
      <c r="B140" s="31" t="s">
        <v>1459</v>
      </c>
      <c r="C140" s="24" t="s">
        <v>1304</v>
      </c>
      <c r="D140" s="23">
        <v>82044</v>
      </c>
    </row>
    <row r="141" spans="1:4" x14ac:dyDescent="0.3">
      <c r="A141" s="30">
        <v>42739</v>
      </c>
      <c r="B141" s="31" t="s">
        <v>1460</v>
      </c>
      <c r="C141" s="24" t="s">
        <v>1304</v>
      </c>
      <c r="D141" s="23">
        <v>84278</v>
      </c>
    </row>
    <row r="142" spans="1:4" x14ac:dyDescent="0.3">
      <c r="A142" s="30">
        <v>43104</v>
      </c>
      <c r="B142" s="31" t="s">
        <v>1461</v>
      </c>
      <c r="C142" s="24" t="s">
        <v>1304</v>
      </c>
      <c r="D142" s="23">
        <v>88173</v>
      </c>
    </row>
    <row r="143" spans="1:4" x14ac:dyDescent="0.3">
      <c r="A143" s="30">
        <v>43469</v>
      </c>
      <c r="B143" s="31" t="s">
        <v>1462</v>
      </c>
      <c r="C143" s="24" t="s">
        <v>1304</v>
      </c>
      <c r="D143" s="23">
        <v>102581</v>
      </c>
    </row>
    <row r="144" spans="1:4" x14ac:dyDescent="0.3">
      <c r="A144" s="30">
        <v>43834</v>
      </c>
      <c r="B144" s="31" t="s">
        <v>1463</v>
      </c>
      <c r="C144" s="22" t="s">
        <v>1284</v>
      </c>
      <c r="D144" s="23">
        <v>1404714</v>
      </c>
    </row>
    <row r="145" spans="1:4" x14ac:dyDescent="0.3">
      <c r="A145" s="30">
        <v>44200</v>
      </c>
      <c r="B145" s="31" t="s">
        <v>1464</v>
      </c>
      <c r="C145" s="22" t="s">
        <v>1284</v>
      </c>
      <c r="D145" s="23">
        <v>1441116</v>
      </c>
    </row>
    <row r="146" spans="1:4" x14ac:dyDescent="0.3">
      <c r="A146" s="30">
        <v>44565</v>
      </c>
      <c r="B146" s="31" t="s">
        <v>1465</v>
      </c>
      <c r="C146" s="22" t="s">
        <v>35</v>
      </c>
      <c r="D146" s="23">
        <v>186505</v>
      </c>
    </row>
    <row r="147" spans="1:4" x14ac:dyDescent="0.3">
      <c r="A147" s="30">
        <v>44930</v>
      </c>
      <c r="B147" s="31" t="s">
        <v>1466</v>
      </c>
      <c r="C147" s="22" t="s">
        <v>35</v>
      </c>
      <c r="D147" s="23">
        <v>291456</v>
      </c>
    </row>
    <row r="148" spans="1:4" x14ac:dyDescent="0.3">
      <c r="A148" s="30">
        <v>45295</v>
      </c>
      <c r="B148" s="31" t="s">
        <v>1467</v>
      </c>
      <c r="C148" s="22" t="s">
        <v>35</v>
      </c>
      <c r="D148" s="23">
        <v>111862</v>
      </c>
    </row>
    <row r="149" spans="1:4" x14ac:dyDescent="0.3">
      <c r="A149" s="30">
        <v>45661</v>
      </c>
      <c r="B149" s="31" t="s">
        <v>1468</v>
      </c>
      <c r="C149" s="22" t="s">
        <v>35</v>
      </c>
      <c r="D149" s="23">
        <v>134203</v>
      </c>
    </row>
    <row r="150" spans="1:4" x14ac:dyDescent="0.3">
      <c r="A150" s="30">
        <v>46026</v>
      </c>
      <c r="B150" s="31" t="s">
        <v>1469</v>
      </c>
      <c r="C150" s="22" t="s">
        <v>35</v>
      </c>
      <c r="D150" s="23">
        <v>141250</v>
      </c>
    </row>
    <row r="151" spans="1:4" x14ac:dyDescent="0.3">
      <c r="A151" s="30">
        <v>46391</v>
      </c>
      <c r="B151" s="31" t="s">
        <v>1470</v>
      </c>
      <c r="C151" s="22" t="s">
        <v>35</v>
      </c>
      <c r="D151" s="23">
        <v>121630</v>
      </c>
    </row>
    <row r="152" spans="1:4" x14ac:dyDescent="0.3">
      <c r="A152" s="30">
        <v>46756</v>
      </c>
      <c r="B152" s="31" t="s">
        <v>1471</v>
      </c>
      <c r="C152" s="22" t="s">
        <v>35</v>
      </c>
      <c r="D152" s="23">
        <v>230949</v>
      </c>
    </row>
    <row r="153" spans="1:4" x14ac:dyDescent="0.3">
      <c r="A153" s="30">
        <v>47122</v>
      </c>
      <c r="B153" s="31" t="s">
        <v>1472</v>
      </c>
      <c r="C153" s="22" t="s">
        <v>35</v>
      </c>
      <c r="D153" s="23">
        <v>149863</v>
      </c>
    </row>
    <row r="154" spans="1:4" x14ac:dyDescent="0.3">
      <c r="A154" s="30">
        <v>10962</v>
      </c>
      <c r="B154" s="31" t="s">
        <v>1473</v>
      </c>
      <c r="C154" s="22" t="s">
        <v>35</v>
      </c>
      <c r="D154" s="23">
        <v>163601</v>
      </c>
    </row>
    <row r="155" spans="1:4" x14ac:dyDescent="0.3">
      <c r="A155" s="30">
        <v>11327</v>
      </c>
      <c r="B155" s="31" t="s">
        <v>1474</v>
      </c>
      <c r="C155" s="22" t="s">
        <v>35</v>
      </c>
      <c r="D155" s="23">
        <v>179634</v>
      </c>
    </row>
    <row r="156" spans="1:4" x14ac:dyDescent="0.3">
      <c r="A156" s="30">
        <v>11692</v>
      </c>
      <c r="B156" s="31" t="s">
        <v>1475</v>
      </c>
      <c r="C156" s="22" t="s">
        <v>35</v>
      </c>
      <c r="D156" s="23">
        <v>150481</v>
      </c>
    </row>
    <row r="157" spans="1:4" x14ac:dyDescent="0.3">
      <c r="A157" s="30">
        <v>12058</v>
      </c>
      <c r="B157" s="31" t="s">
        <v>1476</v>
      </c>
      <c r="C157" s="22" t="s">
        <v>1284</v>
      </c>
      <c r="D157" s="23">
        <v>938063</v>
      </c>
    </row>
    <row r="158" spans="1:4" x14ac:dyDescent="0.3">
      <c r="A158" s="30">
        <v>12423</v>
      </c>
      <c r="B158" s="31" t="s">
        <v>1477</v>
      </c>
      <c r="C158" s="24" t="s">
        <v>1304</v>
      </c>
      <c r="D158" s="23">
        <v>88909</v>
      </c>
    </row>
    <row r="159" spans="1:4" x14ac:dyDescent="0.3">
      <c r="A159" s="30">
        <v>12788</v>
      </c>
      <c r="B159" s="31" t="s">
        <v>1478</v>
      </c>
      <c r="C159" s="24" t="s">
        <v>1304</v>
      </c>
      <c r="D159" s="23">
        <v>110149</v>
      </c>
    </row>
    <row r="160" spans="1:4" x14ac:dyDescent="0.3">
      <c r="A160" s="30">
        <v>13153</v>
      </c>
      <c r="B160" s="31" t="s">
        <v>1479</v>
      </c>
      <c r="C160" s="24" t="s">
        <v>1304</v>
      </c>
      <c r="D160" s="23">
        <v>66959</v>
      </c>
    </row>
    <row r="161" spans="1:4" x14ac:dyDescent="0.3">
      <c r="A161" s="30">
        <v>13519</v>
      </c>
      <c r="B161" s="31" t="s">
        <v>1480</v>
      </c>
      <c r="C161" s="24" t="s">
        <v>1304</v>
      </c>
      <c r="D161" s="23">
        <v>225977</v>
      </c>
    </row>
    <row r="162" spans="1:4" x14ac:dyDescent="0.3">
      <c r="A162" s="30">
        <v>13884</v>
      </c>
      <c r="B162" s="31" t="s">
        <v>1481</v>
      </c>
      <c r="C162" s="24" t="s">
        <v>1304</v>
      </c>
      <c r="D162" s="23">
        <v>81051</v>
      </c>
    </row>
    <row r="163" spans="1:4" x14ac:dyDescent="0.3">
      <c r="A163" s="30">
        <v>14249</v>
      </c>
      <c r="B163" s="31" t="s">
        <v>1482</v>
      </c>
      <c r="C163" s="24" t="s">
        <v>1304</v>
      </c>
      <c r="D163" s="23">
        <v>103296</v>
      </c>
    </row>
    <row r="164" spans="1:4" x14ac:dyDescent="0.3">
      <c r="A164" s="30">
        <v>14614</v>
      </c>
      <c r="B164" s="31" t="s">
        <v>1483</v>
      </c>
      <c r="C164" s="24" t="s">
        <v>1304</v>
      </c>
      <c r="D164" s="23">
        <v>93381</v>
      </c>
    </row>
    <row r="165" spans="1:4" x14ac:dyDescent="0.3">
      <c r="A165" s="30">
        <v>14980</v>
      </c>
      <c r="B165" s="20" t="s">
        <v>1484</v>
      </c>
      <c r="C165" s="22" t="s">
        <v>35</v>
      </c>
      <c r="D165" s="23">
        <v>73864</v>
      </c>
    </row>
    <row r="166" spans="1:4" x14ac:dyDescent="0.3">
      <c r="A166" s="30">
        <v>15345</v>
      </c>
      <c r="B166" s="31" t="s">
        <v>1485</v>
      </c>
      <c r="C166" s="24" t="s">
        <v>1282</v>
      </c>
      <c r="D166" s="23">
        <v>805272</v>
      </c>
    </row>
    <row r="167" spans="1:4" x14ac:dyDescent="0.3">
      <c r="A167" s="30">
        <v>15710</v>
      </c>
      <c r="B167" s="31" t="s">
        <v>1486</v>
      </c>
      <c r="C167" s="22" t="s">
        <v>35</v>
      </c>
      <c r="D167" s="23">
        <v>81885</v>
      </c>
    </row>
    <row r="168" spans="1:4" x14ac:dyDescent="0.3">
      <c r="A168" s="30">
        <v>16075</v>
      </c>
      <c r="B168" s="20" t="s">
        <v>1487</v>
      </c>
      <c r="C168" s="24" t="s">
        <v>1282</v>
      </c>
      <c r="D168" s="23">
        <v>120693</v>
      </c>
    </row>
    <row r="169" spans="1:4" x14ac:dyDescent="0.3">
      <c r="A169" s="30">
        <v>16441</v>
      </c>
      <c r="B169" s="31" t="s">
        <v>1488</v>
      </c>
      <c r="C169" s="24" t="s">
        <v>1282</v>
      </c>
      <c r="D169" s="23">
        <v>378415</v>
      </c>
    </row>
    <row r="170" spans="1:4" x14ac:dyDescent="0.3">
      <c r="A170" s="30">
        <v>16806</v>
      </c>
      <c r="B170" s="20" t="s">
        <v>1489</v>
      </c>
      <c r="C170" s="22" t="s">
        <v>35</v>
      </c>
      <c r="D170" s="23">
        <v>168484</v>
      </c>
    </row>
    <row r="171" spans="1:4" x14ac:dyDescent="0.3">
      <c r="A171" s="30">
        <v>17171</v>
      </c>
      <c r="B171" s="31" t="s">
        <v>1490</v>
      </c>
      <c r="C171" s="22" t="s">
        <v>1284</v>
      </c>
      <c r="D171" s="23">
        <v>805163</v>
      </c>
    </row>
    <row r="172" spans="1:4" x14ac:dyDescent="0.3">
      <c r="A172" s="30">
        <v>17536</v>
      </c>
      <c r="B172" s="31" t="s">
        <v>1491</v>
      </c>
      <c r="C172" s="24" t="s">
        <v>1282</v>
      </c>
      <c r="D172" s="23">
        <v>707427</v>
      </c>
    </row>
    <row r="173" spans="1:4" x14ac:dyDescent="0.3">
      <c r="A173" s="30">
        <v>17902</v>
      </c>
      <c r="B173" s="31" t="s">
        <v>1492</v>
      </c>
      <c r="C173" s="24" t="s">
        <v>1282</v>
      </c>
      <c r="D173" s="23">
        <v>430343</v>
      </c>
    </row>
    <row r="174" spans="1:4" x14ac:dyDescent="0.3">
      <c r="A174" s="30">
        <v>18267</v>
      </c>
      <c r="B174" s="31" t="s">
        <v>1493</v>
      </c>
      <c r="C174" s="24" t="s">
        <v>1304</v>
      </c>
      <c r="D174" s="23">
        <v>63422</v>
      </c>
    </row>
    <row r="175" spans="1:4" x14ac:dyDescent="0.3">
      <c r="A175" s="30">
        <v>18632</v>
      </c>
      <c r="B175" s="31" t="s">
        <v>1494</v>
      </c>
      <c r="C175" s="24" t="s">
        <v>1282</v>
      </c>
      <c r="D175" s="23">
        <v>53557</v>
      </c>
    </row>
    <row r="176" spans="1:4" x14ac:dyDescent="0.3">
      <c r="A176" s="30">
        <v>18997</v>
      </c>
      <c r="B176" s="31" t="s">
        <v>1495</v>
      </c>
      <c r="C176" s="24" t="s">
        <v>1282</v>
      </c>
      <c r="D176" s="23">
        <v>267991</v>
      </c>
    </row>
    <row r="177" spans="1:4" x14ac:dyDescent="0.3">
      <c r="A177" s="30">
        <v>19363</v>
      </c>
      <c r="B177" s="20" t="s">
        <v>1496</v>
      </c>
      <c r="C177" s="22" t="s">
        <v>35</v>
      </c>
      <c r="D177" s="23">
        <v>95479</v>
      </c>
    </row>
    <row r="178" spans="1:4" x14ac:dyDescent="0.3">
      <c r="A178" s="30">
        <v>19728</v>
      </c>
      <c r="B178" s="20" t="s">
        <v>1497</v>
      </c>
      <c r="C178" s="24" t="s">
        <v>1304</v>
      </c>
      <c r="D178" s="23">
        <v>54350</v>
      </c>
    </row>
    <row r="179" spans="1:4" x14ac:dyDescent="0.3">
      <c r="A179" s="30">
        <v>20093</v>
      </c>
      <c r="B179" s="20" t="s">
        <v>1498</v>
      </c>
      <c r="C179" s="24" t="s">
        <v>1282</v>
      </c>
      <c r="D179" s="23">
        <v>17288</v>
      </c>
    </row>
    <row r="180" spans="1:4" x14ac:dyDescent="0.3">
      <c r="A180" s="30">
        <v>20458</v>
      </c>
      <c r="B180" s="20" t="s">
        <v>1499</v>
      </c>
      <c r="C180" s="24" t="s">
        <v>1282</v>
      </c>
      <c r="D180" s="23">
        <v>25002</v>
      </c>
    </row>
    <row r="181" spans="1:4" x14ac:dyDescent="0.3">
      <c r="A181" s="30">
        <v>20824</v>
      </c>
      <c r="B181" s="20" t="s">
        <v>1500</v>
      </c>
      <c r="C181" s="24" t="s">
        <v>1282</v>
      </c>
      <c r="D181" s="23">
        <v>40335</v>
      </c>
    </row>
    <row r="182" spans="1:4" x14ac:dyDescent="0.3">
      <c r="A182" s="30">
        <v>21189</v>
      </c>
      <c r="B182" s="20" t="s">
        <v>1501</v>
      </c>
      <c r="C182" s="24" t="s">
        <v>1304</v>
      </c>
      <c r="D182" s="23">
        <v>61438</v>
      </c>
    </row>
    <row r="183" spans="1:4" x14ac:dyDescent="0.3">
      <c r="A183" s="30">
        <v>21554</v>
      </c>
      <c r="B183" s="20" t="s">
        <v>1502</v>
      </c>
      <c r="C183" s="24" t="s">
        <v>1304</v>
      </c>
      <c r="D183" s="23">
        <v>43413</v>
      </c>
    </row>
    <row r="184" spans="1:4" x14ac:dyDescent="0.3">
      <c r="A184" s="30">
        <v>21919</v>
      </c>
      <c r="B184" s="20" t="s">
        <v>1503</v>
      </c>
      <c r="C184" s="22" t="s">
        <v>35</v>
      </c>
      <c r="D184" s="23">
        <v>177151</v>
      </c>
    </row>
    <row r="185" spans="1:4" x14ac:dyDescent="0.3">
      <c r="A185" s="30">
        <v>22285</v>
      </c>
      <c r="B185" s="20" t="s">
        <v>1504</v>
      </c>
      <c r="C185" s="22" t="s">
        <v>35</v>
      </c>
      <c r="D185" s="23">
        <v>118172</v>
      </c>
    </row>
    <row r="186" spans="1:4" x14ac:dyDescent="0.3">
      <c r="A186" s="30">
        <v>22650</v>
      </c>
      <c r="B186" s="20" t="s">
        <v>1505</v>
      </c>
      <c r="C186" s="22" t="s">
        <v>35</v>
      </c>
      <c r="D186" s="23">
        <v>89340</v>
      </c>
    </row>
    <row r="187" spans="1:4" x14ac:dyDescent="0.3">
      <c r="A187" s="30">
        <v>23015</v>
      </c>
      <c r="B187" s="20" t="s">
        <v>1506</v>
      </c>
      <c r="C187" s="22" t="s">
        <v>35</v>
      </c>
      <c r="D187" s="23">
        <v>107885</v>
      </c>
    </row>
    <row r="188" spans="1:4" x14ac:dyDescent="0.3">
      <c r="A188" s="30">
        <v>23380</v>
      </c>
      <c r="B188" s="20" t="s">
        <v>1507</v>
      </c>
      <c r="C188" s="22" t="s">
        <v>35</v>
      </c>
      <c r="D188" s="23">
        <v>38176</v>
      </c>
    </row>
    <row r="189" spans="1:4" x14ac:dyDescent="0.3">
      <c r="A189" s="25" t="s">
        <v>1508</v>
      </c>
      <c r="B189" s="25"/>
      <c r="C189" s="25"/>
      <c r="D189" s="25"/>
    </row>
    <row r="190" spans="1:4" x14ac:dyDescent="0.3">
      <c r="A190" s="30">
        <v>36896</v>
      </c>
      <c r="B190" s="20" t="s">
        <v>1509</v>
      </c>
      <c r="C190" s="22" t="s">
        <v>35</v>
      </c>
      <c r="D190" s="23">
        <v>57692</v>
      </c>
    </row>
    <row r="191" spans="1:4" x14ac:dyDescent="0.3">
      <c r="A191" s="30">
        <v>37261</v>
      </c>
      <c r="B191" s="20" t="s">
        <v>1510</v>
      </c>
      <c r="C191" s="22" t="s">
        <v>35</v>
      </c>
      <c r="D191" s="23">
        <v>59554</v>
      </c>
    </row>
    <row r="192" spans="1:4" x14ac:dyDescent="0.3">
      <c r="A192" s="30">
        <v>37626</v>
      </c>
      <c r="B192" s="20" t="s">
        <v>1511</v>
      </c>
      <c r="C192" s="22" t="s">
        <v>35</v>
      </c>
      <c r="D192" s="23">
        <v>90388</v>
      </c>
    </row>
    <row r="193" spans="1:4" x14ac:dyDescent="0.3">
      <c r="A193" s="30">
        <v>37991</v>
      </c>
      <c r="B193" s="20" t="s">
        <v>1512</v>
      </c>
      <c r="C193" s="22" t="s">
        <v>35</v>
      </c>
      <c r="D193" s="23">
        <v>57034</v>
      </c>
    </row>
    <row r="194" spans="1:4" ht="14.4" customHeight="1" x14ac:dyDescent="0.3">
      <c r="A194" s="26">
        <v>38357</v>
      </c>
      <c r="B194" s="27" t="s">
        <v>1513</v>
      </c>
      <c r="C194" s="28" t="s">
        <v>35</v>
      </c>
      <c r="D194" s="29">
        <v>84103</v>
      </c>
    </row>
    <row r="195" spans="1:4" x14ac:dyDescent="0.3">
      <c r="A195" s="30">
        <v>38722</v>
      </c>
      <c r="B195" s="31" t="s">
        <v>1514</v>
      </c>
      <c r="C195" s="22" t="s">
        <v>35</v>
      </c>
      <c r="D195" s="23">
        <v>116545</v>
      </c>
    </row>
    <row r="196" spans="1:4" x14ac:dyDescent="0.3">
      <c r="A196" s="30">
        <v>39087</v>
      </c>
      <c r="B196" s="20" t="s">
        <v>1515</v>
      </c>
      <c r="C196" s="22" t="s">
        <v>35</v>
      </c>
      <c r="D196" s="23">
        <v>115292</v>
      </c>
    </row>
    <row r="197" spans="1:4" x14ac:dyDescent="0.3">
      <c r="A197" s="30">
        <v>39452</v>
      </c>
      <c r="B197" s="31" t="s">
        <v>1516</v>
      </c>
      <c r="C197" s="22" t="s">
        <v>35</v>
      </c>
      <c r="D197" s="23">
        <v>73345</v>
      </c>
    </row>
    <row r="198" spans="1:4" x14ac:dyDescent="0.3">
      <c r="A198" s="30">
        <v>39818</v>
      </c>
      <c r="B198" s="31" t="s">
        <v>1517</v>
      </c>
      <c r="C198" s="22" t="s">
        <v>35</v>
      </c>
      <c r="D198" s="23">
        <v>104323</v>
      </c>
    </row>
    <row r="199" spans="1:4" x14ac:dyDescent="0.3">
      <c r="A199" s="30">
        <v>40183</v>
      </c>
      <c r="B199" s="20" t="s">
        <v>1518</v>
      </c>
      <c r="C199" s="22" t="s">
        <v>35</v>
      </c>
      <c r="D199" s="23">
        <v>132337</v>
      </c>
    </row>
    <row r="200" spans="1:4" x14ac:dyDescent="0.3">
      <c r="A200" s="30">
        <v>40548</v>
      </c>
      <c r="B200" s="20" t="s">
        <v>1519</v>
      </c>
      <c r="C200" s="22" t="s">
        <v>35</v>
      </c>
      <c r="D200" s="23">
        <v>99414</v>
      </c>
    </row>
    <row r="201" spans="1:4" x14ac:dyDescent="0.3">
      <c r="A201" s="30">
        <v>40913</v>
      </c>
      <c r="B201" s="20" t="s">
        <v>1520</v>
      </c>
      <c r="C201" s="22" t="s">
        <v>35</v>
      </c>
      <c r="D201" s="23">
        <v>65786</v>
      </c>
    </row>
    <row r="202" spans="1:4" x14ac:dyDescent="0.3">
      <c r="A202" s="30">
        <v>41279</v>
      </c>
      <c r="B202" s="31" t="s">
        <v>1521</v>
      </c>
      <c r="C202" s="22" t="s">
        <v>35</v>
      </c>
      <c r="D202" s="23">
        <v>124534</v>
      </c>
    </row>
    <row r="203" spans="1:4" x14ac:dyDescent="0.3">
      <c r="A203" s="30">
        <v>41644</v>
      </c>
      <c r="B203" s="31" t="s">
        <v>1522</v>
      </c>
      <c r="C203" s="22" t="s">
        <v>35</v>
      </c>
      <c r="D203" s="23">
        <v>78523</v>
      </c>
    </row>
    <row r="204" spans="1:4" x14ac:dyDescent="0.3">
      <c r="A204" s="30">
        <v>42009</v>
      </c>
      <c r="B204" s="31" t="s">
        <v>1523</v>
      </c>
      <c r="C204" s="22" t="s">
        <v>35</v>
      </c>
      <c r="D204" s="23">
        <v>190162</v>
      </c>
    </row>
    <row r="205" spans="1:4" x14ac:dyDescent="0.3">
      <c r="A205" s="30">
        <v>42374</v>
      </c>
      <c r="B205" s="31" t="s">
        <v>1524</v>
      </c>
      <c r="C205" s="22" t="s">
        <v>35</v>
      </c>
      <c r="D205" s="23">
        <v>111336</v>
      </c>
    </row>
    <row r="206" spans="1:4" x14ac:dyDescent="0.3">
      <c r="A206" s="30">
        <v>42740</v>
      </c>
      <c r="B206" s="20" t="s">
        <v>1525</v>
      </c>
      <c r="C206" s="22" t="s">
        <v>35</v>
      </c>
      <c r="D206" s="23">
        <v>620661</v>
      </c>
    </row>
    <row r="207" spans="1:4" x14ac:dyDescent="0.3">
      <c r="A207" s="30">
        <v>43105</v>
      </c>
      <c r="B207" s="20" t="s">
        <v>1526</v>
      </c>
      <c r="C207" s="22" t="s">
        <v>35</v>
      </c>
      <c r="D207" s="23">
        <v>144164</v>
      </c>
    </row>
    <row r="208" spans="1:4" x14ac:dyDescent="0.3">
      <c r="A208" s="30">
        <v>43470</v>
      </c>
      <c r="B208" s="20" t="s">
        <v>1527</v>
      </c>
      <c r="C208" s="22" t="s">
        <v>35</v>
      </c>
      <c r="D208" s="23">
        <v>190347</v>
      </c>
    </row>
    <row r="209" spans="1:4" x14ac:dyDescent="0.3">
      <c r="A209" s="30">
        <v>43835</v>
      </c>
      <c r="B209" s="20" t="s">
        <v>1528</v>
      </c>
      <c r="C209" s="24" t="s">
        <v>1304</v>
      </c>
      <c r="D209" s="23">
        <v>54870</v>
      </c>
    </row>
    <row r="210" spans="1:4" x14ac:dyDescent="0.3">
      <c r="A210" s="30">
        <v>44201</v>
      </c>
      <c r="B210" s="20" t="s">
        <v>1529</v>
      </c>
      <c r="C210" s="24" t="s">
        <v>1304</v>
      </c>
      <c r="D210" s="23">
        <v>19791</v>
      </c>
    </row>
    <row r="211" spans="1:4" x14ac:dyDescent="0.3">
      <c r="A211" s="30">
        <v>44566</v>
      </c>
      <c r="B211" s="20" t="s">
        <v>1530</v>
      </c>
      <c r="C211" s="24" t="s">
        <v>1304</v>
      </c>
      <c r="D211" s="23">
        <v>7462</v>
      </c>
    </row>
    <row r="212" spans="1:4" x14ac:dyDescent="0.3">
      <c r="A212" s="30">
        <v>44931</v>
      </c>
      <c r="B212" s="20" t="s">
        <v>1531</v>
      </c>
      <c r="C212" s="22" t="s">
        <v>35</v>
      </c>
      <c r="D212" s="23">
        <v>38547</v>
      </c>
    </row>
    <row r="213" spans="1:4" x14ac:dyDescent="0.3">
      <c r="A213" s="30">
        <v>45296</v>
      </c>
      <c r="B213" s="20" t="s">
        <v>1532</v>
      </c>
      <c r="C213" s="22" t="s">
        <v>35</v>
      </c>
      <c r="D213" s="23">
        <v>44351</v>
      </c>
    </row>
    <row r="214" spans="1:4" x14ac:dyDescent="0.3">
      <c r="A214" s="30">
        <v>45662</v>
      </c>
      <c r="B214" s="20" t="s">
        <v>1533</v>
      </c>
      <c r="C214" s="22" t="s">
        <v>35</v>
      </c>
      <c r="D214" s="23">
        <v>47321</v>
      </c>
    </row>
    <row r="215" spans="1:4" x14ac:dyDescent="0.3">
      <c r="A215" s="30">
        <v>46027</v>
      </c>
      <c r="B215" s="20" t="s">
        <v>1534</v>
      </c>
      <c r="C215" s="24" t="s">
        <v>1304</v>
      </c>
      <c r="D215" s="34">
        <v>781</v>
      </c>
    </row>
    <row r="216" spans="1:4" x14ac:dyDescent="0.3">
      <c r="A216" s="30">
        <v>46392</v>
      </c>
      <c r="B216" s="20" t="s">
        <v>1535</v>
      </c>
      <c r="C216" s="24" t="s">
        <v>1304</v>
      </c>
      <c r="D216" s="23">
        <v>77728</v>
      </c>
    </row>
    <row r="217" spans="1:4" x14ac:dyDescent="0.3">
      <c r="A217" s="30">
        <v>46757</v>
      </c>
      <c r="B217" s="20" t="s">
        <v>1536</v>
      </c>
      <c r="C217" s="22" t="s">
        <v>35</v>
      </c>
      <c r="D217" s="23">
        <v>30018</v>
      </c>
    </row>
    <row r="218" spans="1:4" x14ac:dyDescent="0.3">
      <c r="A218" s="30">
        <v>47123</v>
      </c>
      <c r="B218" s="20" t="s">
        <v>1537</v>
      </c>
      <c r="C218" s="24" t="s">
        <v>1304</v>
      </c>
      <c r="D218" s="23">
        <v>9677</v>
      </c>
    </row>
    <row r="219" spans="1:4" x14ac:dyDescent="0.3">
      <c r="A219" s="30">
        <v>10963</v>
      </c>
      <c r="B219" s="20" t="s">
        <v>1538</v>
      </c>
      <c r="C219" s="22" t="s">
        <v>35</v>
      </c>
      <c r="D219" s="23">
        <v>37757</v>
      </c>
    </row>
    <row r="220" spans="1:4" x14ac:dyDescent="0.3">
      <c r="A220" s="30">
        <v>11328</v>
      </c>
      <c r="B220" s="20" t="s">
        <v>1539</v>
      </c>
      <c r="C220" s="22" t="s">
        <v>35</v>
      </c>
      <c r="D220" s="23">
        <v>34492</v>
      </c>
    </row>
    <row r="221" spans="1:4" x14ac:dyDescent="0.3">
      <c r="A221" s="30">
        <v>11693</v>
      </c>
      <c r="B221" s="20" t="s">
        <v>1540</v>
      </c>
      <c r="C221" s="24" t="s">
        <v>1304</v>
      </c>
      <c r="D221" s="23">
        <v>33113</v>
      </c>
    </row>
    <row r="222" spans="1:4" x14ac:dyDescent="0.3">
      <c r="A222" s="30">
        <v>12059</v>
      </c>
      <c r="B222" s="31" t="s">
        <v>1541</v>
      </c>
      <c r="C222" s="24" t="s">
        <v>1304</v>
      </c>
      <c r="D222" s="23">
        <v>18492</v>
      </c>
    </row>
    <row r="223" spans="1:4" x14ac:dyDescent="0.3">
      <c r="A223" s="30">
        <v>12424</v>
      </c>
      <c r="B223" s="31" t="s">
        <v>1542</v>
      </c>
      <c r="C223" s="24" t="s">
        <v>1304</v>
      </c>
      <c r="D223" s="23">
        <v>23639</v>
      </c>
    </row>
    <row r="224" spans="1:4" x14ac:dyDescent="0.3">
      <c r="A224" s="25" t="s">
        <v>1543</v>
      </c>
      <c r="B224" s="25"/>
      <c r="C224" s="25"/>
      <c r="D224" s="25"/>
    </row>
    <row r="225" spans="1:4" x14ac:dyDescent="0.3">
      <c r="A225" s="30">
        <v>36897</v>
      </c>
      <c r="B225" s="20" t="s">
        <v>1544</v>
      </c>
      <c r="C225" s="22" t="s">
        <v>35</v>
      </c>
      <c r="D225" s="23">
        <v>39040</v>
      </c>
    </row>
    <row r="226" spans="1:4" x14ac:dyDescent="0.3">
      <c r="A226" s="30">
        <v>37262</v>
      </c>
      <c r="B226" s="20" t="s">
        <v>1545</v>
      </c>
      <c r="C226" s="22" t="s">
        <v>35</v>
      </c>
      <c r="D226" s="23">
        <v>101188</v>
      </c>
    </row>
    <row r="227" spans="1:4" x14ac:dyDescent="0.3">
      <c r="A227" s="30">
        <v>37627</v>
      </c>
      <c r="B227" s="20" t="s">
        <v>1546</v>
      </c>
      <c r="C227" s="22" t="s">
        <v>35</v>
      </c>
      <c r="D227" s="23">
        <v>98438</v>
      </c>
    </row>
    <row r="228" spans="1:4" x14ac:dyDescent="0.3">
      <c r="A228" s="30">
        <v>37992</v>
      </c>
      <c r="B228" s="20" t="s">
        <v>1547</v>
      </c>
      <c r="C228" s="22" t="s">
        <v>35</v>
      </c>
      <c r="D228" s="23">
        <v>75385</v>
      </c>
    </row>
    <row r="229" spans="1:4" x14ac:dyDescent="0.3">
      <c r="A229" s="30">
        <v>38358</v>
      </c>
      <c r="B229" s="20" t="s">
        <v>1548</v>
      </c>
      <c r="C229" s="22" t="s">
        <v>35</v>
      </c>
      <c r="D229" s="23">
        <v>126851</v>
      </c>
    </row>
    <row r="230" spans="1:4" ht="14.4" customHeight="1" x14ac:dyDescent="0.3">
      <c r="A230" s="26">
        <v>38723</v>
      </c>
      <c r="B230" s="27" t="s">
        <v>1549</v>
      </c>
      <c r="C230" s="28" t="s">
        <v>35</v>
      </c>
      <c r="D230" s="29">
        <v>142675</v>
      </c>
    </row>
    <row r="231" spans="1:4" x14ac:dyDescent="0.3">
      <c r="A231" s="30">
        <v>39088</v>
      </c>
      <c r="B231" s="31" t="s">
        <v>1550</v>
      </c>
      <c r="C231" s="24" t="s">
        <v>1304</v>
      </c>
      <c r="D231" s="23">
        <v>33708</v>
      </c>
    </row>
    <row r="232" spans="1:4" x14ac:dyDescent="0.3">
      <c r="A232" s="30">
        <v>39453</v>
      </c>
      <c r="B232" s="20" t="s">
        <v>1551</v>
      </c>
      <c r="C232" s="22" t="s">
        <v>35</v>
      </c>
      <c r="D232" s="23">
        <v>53399</v>
      </c>
    </row>
    <row r="233" spans="1:4" x14ac:dyDescent="0.3">
      <c r="A233" s="30">
        <v>39819</v>
      </c>
      <c r="B233" s="31" t="s">
        <v>1552</v>
      </c>
      <c r="C233" s="22" t="s">
        <v>35</v>
      </c>
      <c r="D233" s="23">
        <v>76466</v>
      </c>
    </row>
    <row r="234" spans="1:4" x14ac:dyDescent="0.3">
      <c r="A234" s="30">
        <v>40184</v>
      </c>
      <c r="B234" s="31" t="s">
        <v>1553</v>
      </c>
      <c r="C234" s="22" t="s">
        <v>35</v>
      </c>
      <c r="D234" s="23">
        <v>110814</v>
      </c>
    </row>
    <row r="235" spans="1:4" x14ac:dyDescent="0.3">
      <c r="A235" s="30">
        <v>40549</v>
      </c>
      <c r="B235" s="31" t="s">
        <v>1554</v>
      </c>
      <c r="C235" s="22" t="s">
        <v>35</v>
      </c>
      <c r="D235" s="23">
        <v>109133</v>
      </c>
    </row>
    <row r="236" spans="1:4" x14ac:dyDescent="0.3">
      <c r="A236" s="30">
        <v>40914</v>
      </c>
      <c r="B236" s="31" t="s">
        <v>1555</v>
      </c>
      <c r="C236" s="22" t="s">
        <v>35</v>
      </c>
      <c r="D236" s="23">
        <v>154459</v>
      </c>
    </row>
    <row r="237" spans="1:4" x14ac:dyDescent="0.3">
      <c r="A237" s="30">
        <v>41280</v>
      </c>
      <c r="B237" s="31" t="s">
        <v>1556</v>
      </c>
      <c r="C237" s="22" t="s">
        <v>35</v>
      </c>
      <c r="D237" s="23">
        <v>115629</v>
      </c>
    </row>
    <row r="238" spans="1:4" x14ac:dyDescent="0.3">
      <c r="A238" s="30">
        <v>41645</v>
      </c>
      <c r="B238" s="31" t="s">
        <v>1557</v>
      </c>
      <c r="C238" s="22" t="s">
        <v>35</v>
      </c>
      <c r="D238" s="23">
        <v>150002</v>
      </c>
    </row>
    <row r="239" spans="1:4" x14ac:dyDescent="0.3">
      <c r="A239" s="30">
        <v>42010</v>
      </c>
      <c r="B239" s="31" t="s">
        <v>1558</v>
      </c>
      <c r="C239" s="22" t="s">
        <v>35</v>
      </c>
      <c r="D239" s="23">
        <v>71570</v>
      </c>
    </row>
    <row r="240" spans="1:4" x14ac:dyDescent="0.3">
      <c r="A240" s="30">
        <v>42375</v>
      </c>
      <c r="B240" s="31" t="s">
        <v>1559</v>
      </c>
      <c r="C240" s="22" t="s">
        <v>35</v>
      </c>
      <c r="D240" s="23">
        <v>75173</v>
      </c>
    </row>
    <row r="241" spans="1:4" x14ac:dyDescent="0.3">
      <c r="A241" s="30">
        <v>42741</v>
      </c>
      <c r="B241" s="31" t="s">
        <v>1560</v>
      </c>
      <c r="C241" s="22" t="s">
        <v>35</v>
      </c>
      <c r="D241" s="23">
        <v>74903</v>
      </c>
    </row>
    <row r="242" spans="1:4" x14ac:dyDescent="0.3">
      <c r="A242" s="30">
        <v>43106</v>
      </c>
      <c r="B242" s="31" t="s">
        <v>1561</v>
      </c>
      <c r="C242" s="22" t="s">
        <v>35</v>
      </c>
      <c r="D242" s="23">
        <v>70129</v>
      </c>
    </row>
    <row r="243" spans="1:4" x14ac:dyDescent="0.3">
      <c r="A243" s="30">
        <v>43471</v>
      </c>
      <c r="B243" s="31" t="s">
        <v>1562</v>
      </c>
      <c r="C243" s="22" t="s">
        <v>35</v>
      </c>
      <c r="D243" s="23">
        <v>115939</v>
      </c>
    </row>
    <row r="244" spans="1:4" x14ac:dyDescent="0.3">
      <c r="A244" s="30">
        <v>43836</v>
      </c>
      <c r="B244" s="31" t="s">
        <v>1563</v>
      </c>
      <c r="C244" s="22" t="s">
        <v>35</v>
      </c>
      <c r="D244" s="23">
        <v>63156</v>
      </c>
    </row>
    <row r="245" spans="1:4" x14ac:dyDescent="0.3">
      <c r="A245" s="30">
        <v>44202</v>
      </c>
      <c r="B245" s="31" t="s">
        <v>1564</v>
      </c>
      <c r="C245" s="22" t="s">
        <v>35</v>
      </c>
      <c r="D245" s="23">
        <v>59954</v>
      </c>
    </row>
    <row r="246" spans="1:4" x14ac:dyDescent="0.3">
      <c r="A246" s="30">
        <v>44567</v>
      </c>
      <c r="B246" s="31" t="s">
        <v>1565</v>
      </c>
      <c r="C246" s="22" t="s">
        <v>35</v>
      </c>
      <c r="D246" s="23">
        <v>106765</v>
      </c>
    </row>
    <row r="247" spans="1:4" x14ac:dyDescent="0.3">
      <c r="A247" s="30">
        <v>44932</v>
      </c>
      <c r="B247" s="31" t="s">
        <v>1566</v>
      </c>
      <c r="C247" s="22" t="s">
        <v>35</v>
      </c>
      <c r="D247" s="23">
        <v>64126</v>
      </c>
    </row>
    <row r="248" spans="1:4" x14ac:dyDescent="0.3">
      <c r="A248" s="30">
        <v>45297</v>
      </c>
      <c r="B248" s="31" t="s">
        <v>1567</v>
      </c>
      <c r="C248" s="22" t="s">
        <v>35</v>
      </c>
      <c r="D248" s="23">
        <v>84907</v>
      </c>
    </row>
    <row r="249" spans="1:4" x14ac:dyDescent="0.3">
      <c r="A249" s="30">
        <v>45663</v>
      </c>
      <c r="B249" s="31" t="s">
        <v>1568</v>
      </c>
      <c r="C249" s="22" t="s">
        <v>35</v>
      </c>
      <c r="D249" s="23">
        <v>86398</v>
      </c>
    </row>
    <row r="250" spans="1:4" x14ac:dyDescent="0.3">
      <c r="A250" s="30">
        <v>46028</v>
      </c>
      <c r="B250" s="31" t="s">
        <v>1569</v>
      </c>
      <c r="C250" s="22" t="s">
        <v>35</v>
      </c>
      <c r="D250" s="23">
        <v>137186</v>
      </c>
    </row>
    <row r="251" spans="1:4" x14ac:dyDescent="0.3">
      <c r="A251" s="30">
        <v>46393</v>
      </c>
      <c r="B251" s="20" t="s">
        <v>1570</v>
      </c>
      <c r="C251" s="22" t="s">
        <v>35</v>
      </c>
      <c r="D251" s="23">
        <v>55750</v>
      </c>
    </row>
    <row r="252" spans="1:4" x14ac:dyDescent="0.3">
      <c r="A252" s="30">
        <v>46758</v>
      </c>
      <c r="B252" s="20" t="s">
        <v>1571</v>
      </c>
      <c r="C252" s="22" t="s">
        <v>35</v>
      </c>
      <c r="D252" s="23">
        <v>121039</v>
      </c>
    </row>
    <row r="253" spans="1:4" x14ac:dyDescent="0.3">
      <c r="A253" s="30">
        <v>47124</v>
      </c>
      <c r="B253" s="31" t="s">
        <v>1572</v>
      </c>
      <c r="C253" s="22" t="s">
        <v>35</v>
      </c>
      <c r="D253" s="23">
        <v>114903</v>
      </c>
    </row>
    <row r="254" spans="1:4" x14ac:dyDescent="0.3">
      <c r="A254" s="30">
        <v>10964</v>
      </c>
      <c r="B254" s="20" t="s">
        <v>1573</v>
      </c>
      <c r="C254" s="22" t="s">
        <v>35</v>
      </c>
      <c r="D254" s="23">
        <v>105066</v>
      </c>
    </row>
    <row r="255" spans="1:4" x14ac:dyDescent="0.3">
      <c r="A255" s="30">
        <v>11329</v>
      </c>
      <c r="B255" s="20" t="s">
        <v>1574</v>
      </c>
      <c r="C255" s="24" t="s">
        <v>1304</v>
      </c>
      <c r="D255" s="23">
        <v>14628</v>
      </c>
    </row>
    <row r="256" spans="1:4" x14ac:dyDescent="0.3">
      <c r="A256" s="30">
        <v>11694</v>
      </c>
      <c r="B256" s="31" t="s">
        <v>1575</v>
      </c>
      <c r="C256" s="24" t="s">
        <v>1304</v>
      </c>
      <c r="D256" s="23">
        <v>19597</v>
      </c>
    </row>
    <row r="257" spans="1:4" x14ac:dyDescent="0.3">
      <c r="A257" s="30">
        <v>12060</v>
      </c>
      <c r="B257" s="31" t="s">
        <v>1576</v>
      </c>
      <c r="C257" s="24" t="s">
        <v>1304</v>
      </c>
      <c r="D257" s="23">
        <v>24391</v>
      </c>
    </row>
    <row r="258" spans="1:4" x14ac:dyDescent="0.3">
      <c r="A258" s="30">
        <v>12425</v>
      </c>
      <c r="B258" s="31" t="s">
        <v>1577</v>
      </c>
      <c r="C258" s="24" t="s">
        <v>1304</v>
      </c>
      <c r="D258" s="23">
        <v>25870</v>
      </c>
    </row>
    <row r="259" spans="1:4" x14ac:dyDescent="0.3">
      <c r="A259" s="30">
        <v>12790</v>
      </c>
      <c r="B259" s="31" t="s">
        <v>1578</v>
      </c>
      <c r="C259" s="24" t="s">
        <v>1304</v>
      </c>
      <c r="D259" s="23">
        <v>30517</v>
      </c>
    </row>
    <row r="260" spans="1:4" x14ac:dyDescent="0.3">
      <c r="A260" s="30">
        <v>13155</v>
      </c>
      <c r="B260" s="31" t="s">
        <v>1579</v>
      </c>
      <c r="C260" s="24" t="s">
        <v>1304</v>
      </c>
      <c r="D260" s="23">
        <v>22494</v>
      </c>
    </row>
    <row r="261" spans="1:4" x14ac:dyDescent="0.3">
      <c r="A261" s="30">
        <v>13521</v>
      </c>
      <c r="B261" s="31" t="s">
        <v>1580</v>
      </c>
      <c r="C261" s="24" t="s">
        <v>1304</v>
      </c>
      <c r="D261" s="23">
        <v>23649</v>
      </c>
    </row>
    <row r="262" spans="1:4" x14ac:dyDescent="0.3">
      <c r="A262" s="30">
        <v>13886</v>
      </c>
      <c r="B262" s="31" t="s">
        <v>1581</v>
      </c>
      <c r="C262" s="24" t="s">
        <v>1304</v>
      </c>
      <c r="D262" s="23">
        <v>22759</v>
      </c>
    </row>
    <row r="263" spans="1:4" x14ac:dyDescent="0.3">
      <c r="A263" s="20" t="s">
        <v>1582</v>
      </c>
      <c r="B263" s="20" t="s">
        <v>1583</v>
      </c>
      <c r="C263" s="24" t="s">
        <v>1304</v>
      </c>
      <c r="D263" s="23">
        <v>22739</v>
      </c>
    </row>
    <row r="264" spans="1:4" x14ac:dyDescent="0.3">
      <c r="A264" s="30">
        <v>14616</v>
      </c>
      <c r="B264" s="20" t="s">
        <v>1584</v>
      </c>
      <c r="C264" s="24" t="s">
        <v>1304</v>
      </c>
      <c r="D264" s="23">
        <v>13635</v>
      </c>
    </row>
    <row r="265" spans="1:4" x14ac:dyDescent="0.3">
      <c r="A265" s="30">
        <v>14982</v>
      </c>
      <c r="B265" s="20" t="s">
        <v>1585</v>
      </c>
      <c r="C265" s="24" t="s">
        <v>1304</v>
      </c>
      <c r="D265" s="23">
        <v>15175</v>
      </c>
    </row>
    <row r="266" spans="1:4" x14ac:dyDescent="0.3">
      <c r="A266" s="30">
        <v>15347</v>
      </c>
      <c r="B266" s="20" t="s">
        <v>1586</v>
      </c>
      <c r="C266" s="24" t="s">
        <v>1304</v>
      </c>
      <c r="D266" s="23">
        <v>22303</v>
      </c>
    </row>
    <row r="267" spans="1:4" x14ac:dyDescent="0.3">
      <c r="A267" s="30">
        <v>15712</v>
      </c>
      <c r="B267" s="31" t="s">
        <v>1587</v>
      </c>
      <c r="C267" s="24" t="s">
        <v>1304</v>
      </c>
      <c r="D267" s="23">
        <v>26923</v>
      </c>
    </row>
    <row r="268" spans="1:4" x14ac:dyDescent="0.3">
      <c r="A268" s="30">
        <v>16077</v>
      </c>
      <c r="B268" s="20" t="s">
        <v>1588</v>
      </c>
      <c r="C268" s="24" t="s">
        <v>1304</v>
      </c>
      <c r="D268" s="23">
        <v>15637</v>
      </c>
    </row>
    <row r="269" spans="1:4" x14ac:dyDescent="0.3">
      <c r="A269" s="30">
        <v>16443</v>
      </c>
      <c r="B269" s="20" t="s">
        <v>1589</v>
      </c>
      <c r="C269" s="24" t="s">
        <v>1304</v>
      </c>
      <c r="D269" s="23">
        <v>15176</v>
      </c>
    </row>
    <row r="270" spans="1:4" x14ac:dyDescent="0.3">
      <c r="A270" s="30">
        <v>16808</v>
      </c>
      <c r="B270" s="31" t="s">
        <v>1590</v>
      </c>
      <c r="C270" s="24" t="s">
        <v>1304</v>
      </c>
      <c r="D270" s="23">
        <v>39536</v>
      </c>
    </row>
    <row r="271" spans="1:4" x14ac:dyDescent="0.3">
      <c r="A271" s="30">
        <v>17173</v>
      </c>
      <c r="B271" s="31" t="s">
        <v>1591</v>
      </c>
      <c r="C271" s="24" t="s">
        <v>1304</v>
      </c>
      <c r="D271" s="23">
        <v>58875</v>
      </c>
    </row>
    <row r="272" spans="1:4" x14ac:dyDescent="0.3">
      <c r="A272" s="30">
        <v>17538</v>
      </c>
      <c r="B272" s="31" t="s">
        <v>1592</v>
      </c>
      <c r="C272" s="24" t="s">
        <v>1304</v>
      </c>
      <c r="D272" s="23">
        <v>25814</v>
      </c>
    </row>
    <row r="273" spans="1:4" x14ac:dyDescent="0.3">
      <c r="A273" s="30">
        <v>17904</v>
      </c>
      <c r="B273" s="20" t="s">
        <v>1593</v>
      </c>
      <c r="C273" s="22" t="s">
        <v>35</v>
      </c>
      <c r="D273" s="23">
        <v>7149</v>
      </c>
    </row>
    <row r="274" spans="1:4" x14ac:dyDescent="0.3">
      <c r="A274" s="30">
        <v>18269</v>
      </c>
      <c r="B274" s="20" t="s">
        <v>1594</v>
      </c>
      <c r="C274" s="24" t="s">
        <v>1304</v>
      </c>
      <c r="D274" s="23">
        <v>12435</v>
      </c>
    </row>
    <row r="275" spans="1:4" x14ac:dyDescent="0.3">
      <c r="A275" s="30">
        <v>18634</v>
      </c>
      <c r="B275" s="31" t="s">
        <v>1595</v>
      </c>
      <c r="C275" s="24" t="s">
        <v>1304</v>
      </c>
      <c r="D275" s="23">
        <v>17774</v>
      </c>
    </row>
    <row r="276" spans="1:4" x14ac:dyDescent="0.3">
      <c r="A276" s="30">
        <v>18999</v>
      </c>
      <c r="B276" s="31" t="s">
        <v>1596</v>
      </c>
      <c r="C276" s="24" t="s">
        <v>1304</v>
      </c>
      <c r="D276" s="23">
        <v>21334</v>
      </c>
    </row>
    <row r="277" spans="1:4" x14ac:dyDescent="0.3">
      <c r="A277" s="30">
        <v>19365</v>
      </c>
      <c r="B277" s="31" t="s">
        <v>1597</v>
      </c>
      <c r="C277" s="22" t="s">
        <v>35</v>
      </c>
      <c r="D277" s="23">
        <v>47446</v>
      </c>
    </row>
    <row r="278" spans="1:4" x14ac:dyDescent="0.3">
      <c r="A278" s="30">
        <v>19730</v>
      </c>
      <c r="B278" s="31" t="s">
        <v>1598</v>
      </c>
      <c r="C278" s="22" t="s">
        <v>35</v>
      </c>
      <c r="D278" s="23">
        <v>47652</v>
      </c>
    </row>
    <row r="279" spans="1:4" x14ac:dyDescent="0.3">
      <c r="A279" s="30">
        <v>20095</v>
      </c>
      <c r="B279" s="31" t="s">
        <v>1599</v>
      </c>
      <c r="C279" s="22" t="s">
        <v>35</v>
      </c>
      <c r="D279" s="23">
        <v>62846</v>
      </c>
    </row>
    <row r="280" spans="1:4" x14ac:dyDescent="0.3">
      <c r="A280" s="30">
        <v>20460</v>
      </c>
      <c r="B280" s="31" t="s">
        <v>1600</v>
      </c>
      <c r="C280" s="22" t="s">
        <v>35</v>
      </c>
      <c r="D280" s="23">
        <v>63052</v>
      </c>
    </row>
    <row r="281" spans="1:4" x14ac:dyDescent="0.3">
      <c r="A281" s="30">
        <v>20826</v>
      </c>
      <c r="B281" s="31" t="s">
        <v>1601</v>
      </c>
      <c r="C281" s="22" t="s">
        <v>35</v>
      </c>
      <c r="D281" s="23">
        <v>64276</v>
      </c>
    </row>
    <row r="282" spans="1:4" x14ac:dyDescent="0.3">
      <c r="A282" s="30">
        <v>21191</v>
      </c>
      <c r="B282" s="31" t="s">
        <v>1602</v>
      </c>
      <c r="C282" s="22" t="s">
        <v>35</v>
      </c>
      <c r="D282" s="23">
        <v>64482</v>
      </c>
    </row>
    <row r="283" spans="1:4" x14ac:dyDescent="0.3">
      <c r="A283" s="30">
        <v>21556</v>
      </c>
      <c r="B283" s="31" t="s">
        <v>1603</v>
      </c>
      <c r="C283" s="22" t="s">
        <v>35</v>
      </c>
      <c r="D283" s="23">
        <v>146665</v>
      </c>
    </row>
    <row r="284" spans="1:4" x14ac:dyDescent="0.3">
      <c r="A284" s="30">
        <v>21921</v>
      </c>
      <c r="B284" s="20" t="s">
        <v>1604</v>
      </c>
      <c r="C284" s="22" t="s">
        <v>35</v>
      </c>
      <c r="D284" s="23">
        <v>84264</v>
      </c>
    </row>
    <row r="285" spans="1:4" x14ac:dyDescent="0.3">
      <c r="A285" s="30">
        <v>22287</v>
      </c>
      <c r="B285" s="31" t="s">
        <v>1605</v>
      </c>
      <c r="C285" s="22" t="s">
        <v>35</v>
      </c>
      <c r="D285" s="23">
        <v>95769</v>
      </c>
    </row>
    <row r="286" spans="1:4" x14ac:dyDescent="0.3">
      <c r="A286" s="30">
        <v>22652</v>
      </c>
      <c r="B286" s="20" t="s">
        <v>1606</v>
      </c>
      <c r="C286" s="22" t="s">
        <v>35</v>
      </c>
      <c r="D286" s="23">
        <v>61911</v>
      </c>
    </row>
    <row r="287" spans="1:4" x14ac:dyDescent="0.3">
      <c r="A287" s="30">
        <v>23017</v>
      </c>
      <c r="B287" s="31" t="s">
        <v>1607</v>
      </c>
      <c r="C287" s="24" t="s">
        <v>1304</v>
      </c>
      <c r="D287" s="23">
        <v>45848</v>
      </c>
    </row>
    <row r="288" spans="1:4" x14ac:dyDescent="0.3">
      <c r="A288" s="30">
        <v>23748</v>
      </c>
      <c r="B288" s="20" t="s">
        <v>1608</v>
      </c>
      <c r="C288" s="24" t="s">
        <v>1304</v>
      </c>
      <c r="D288" s="23">
        <v>34651</v>
      </c>
    </row>
    <row r="289" spans="1:4" x14ac:dyDescent="0.3">
      <c r="A289" s="30">
        <v>24113</v>
      </c>
      <c r="B289" s="20" t="s">
        <v>1609</v>
      </c>
      <c r="C289" s="24" t="s">
        <v>1304</v>
      </c>
      <c r="D289" s="23">
        <v>12219</v>
      </c>
    </row>
    <row r="290" spans="1:4" x14ac:dyDescent="0.3">
      <c r="A290" s="25" t="s">
        <v>1610</v>
      </c>
      <c r="B290" s="25"/>
      <c r="C290" s="25"/>
      <c r="D290" s="25"/>
    </row>
    <row r="291" spans="1:4" x14ac:dyDescent="0.3">
      <c r="A291" s="30">
        <v>36898</v>
      </c>
      <c r="B291" s="20" t="s">
        <v>1611</v>
      </c>
      <c r="C291" s="22" t="s">
        <v>35</v>
      </c>
      <c r="D291" s="23">
        <v>28820</v>
      </c>
    </row>
    <row r="292" spans="1:4" x14ac:dyDescent="0.3">
      <c r="A292" s="30">
        <v>37263</v>
      </c>
      <c r="B292" s="20" t="s">
        <v>1612</v>
      </c>
      <c r="C292" s="22" t="s">
        <v>35</v>
      </c>
      <c r="D292" s="23">
        <v>33029</v>
      </c>
    </row>
    <row r="293" spans="1:4" x14ac:dyDescent="0.3">
      <c r="A293" s="30">
        <v>37628</v>
      </c>
      <c r="B293" s="20" t="s">
        <v>1613</v>
      </c>
      <c r="C293" s="22" t="s">
        <v>35</v>
      </c>
      <c r="D293" s="23">
        <v>31901</v>
      </c>
    </row>
    <row r="294" spans="1:4" x14ac:dyDescent="0.3">
      <c r="A294" s="30">
        <v>37993</v>
      </c>
      <c r="B294" s="20" t="s">
        <v>1614</v>
      </c>
      <c r="C294" s="22" t="s">
        <v>35</v>
      </c>
      <c r="D294" s="23">
        <v>22019</v>
      </c>
    </row>
    <row r="295" spans="1:4" x14ac:dyDescent="0.3">
      <c r="A295" s="30">
        <v>38359</v>
      </c>
      <c r="B295" s="20" t="s">
        <v>1615</v>
      </c>
      <c r="C295" s="22" t="s">
        <v>35</v>
      </c>
      <c r="D295" s="23">
        <v>23537</v>
      </c>
    </row>
    <row r="296" spans="1:4" x14ac:dyDescent="0.3">
      <c r="A296" s="30">
        <v>38724</v>
      </c>
      <c r="B296" s="20" t="s">
        <v>1616</v>
      </c>
      <c r="C296" s="22" t="s">
        <v>35</v>
      </c>
      <c r="D296" s="23">
        <v>25208</v>
      </c>
    </row>
    <row r="297" spans="1:4" ht="14.4" customHeight="1" x14ac:dyDescent="0.3">
      <c r="A297" s="26">
        <v>39089</v>
      </c>
      <c r="B297" s="27" t="s">
        <v>1617</v>
      </c>
      <c r="C297" s="28" t="s">
        <v>35</v>
      </c>
      <c r="D297" s="29">
        <v>27961</v>
      </c>
    </row>
    <row r="298" spans="1:4" x14ac:dyDescent="0.3">
      <c r="A298" s="30">
        <v>39454</v>
      </c>
      <c r="B298" s="20" t="s">
        <v>1618</v>
      </c>
      <c r="C298" s="22" t="s">
        <v>35</v>
      </c>
      <c r="D298" s="23">
        <v>19766</v>
      </c>
    </row>
    <row r="299" spans="1:4" x14ac:dyDescent="0.3">
      <c r="A299" s="30">
        <v>39820</v>
      </c>
      <c r="B299" s="31" t="s">
        <v>1619</v>
      </c>
      <c r="C299" s="22" t="s">
        <v>35</v>
      </c>
      <c r="D299" s="23">
        <v>29726</v>
      </c>
    </row>
    <row r="300" spans="1:4" x14ac:dyDescent="0.3">
      <c r="A300" s="30">
        <v>40185</v>
      </c>
      <c r="B300" s="20" t="s">
        <v>1620</v>
      </c>
      <c r="C300" s="22" t="s">
        <v>35</v>
      </c>
      <c r="D300" s="23">
        <v>32647</v>
      </c>
    </row>
    <row r="301" spans="1:4" x14ac:dyDescent="0.3">
      <c r="A301" s="30">
        <v>40550</v>
      </c>
      <c r="B301" s="31" t="s">
        <v>1621</v>
      </c>
      <c r="C301" s="22" t="s">
        <v>35</v>
      </c>
      <c r="D301" s="23">
        <v>21497</v>
      </c>
    </row>
    <row r="302" spans="1:4" x14ac:dyDescent="0.3">
      <c r="A302" s="30">
        <v>40915</v>
      </c>
      <c r="B302" s="20" t="s">
        <v>1622</v>
      </c>
      <c r="C302" s="22" t="s">
        <v>35</v>
      </c>
      <c r="D302" s="23">
        <v>29118</v>
      </c>
    </row>
    <row r="303" spans="1:4" x14ac:dyDescent="0.3">
      <c r="A303" s="30">
        <v>41281</v>
      </c>
      <c r="B303" s="31" t="s">
        <v>1623</v>
      </c>
      <c r="C303" s="22" t="s">
        <v>35</v>
      </c>
      <c r="D303" s="23">
        <v>26840</v>
      </c>
    </row>
    <row r="304" spans="1:4" x14ac:dyDescent="0.3">
      <c r="A304" s="30">
        <v>41646</v>
      </c>
      <c r="B304" s="20" t="s">
        <v>1624</v>
      </c>
      <c r="C304" s="22" t="s">
        <v>35</v>
      </c>
      <c r="D304" s="23">
        <v>44705</v>
      </c>
    </row>
    <row r="305" spans="1:4" x14ac:dyDescent="0.3">
      <c r="A305" s="30">
        <v>42011</v>
      </c>
      <c r="B305" s="31" t="s">
        <v>1625</v>
      </c>
      <c r="C305" s="22" t="s">
        <v>35</v>
      </c>
      <c r="D305" s="23">
        <v>51434</v>
      </c>
    </row>
    <row r="306" spans="1:4" x14ac:dyDescent="0.3">
      <c r="A306" s="30">
        <v>42376</v>
      </c>
      <c r="B306" s="31" t="s">
        <v>1626</v>
      </c>
      <c r="C306" s="22" t="s">
        <v>35</v>
      </c>
      <c r="D306" s="23">
        <v>41056</v>
      </c>
    </row>
    <row r="307" spans="1:4" x14ac:dyDescent="0.3">
      <c r="A307" s="30">
        <v>42742</v>
      </c>
      <c r="B307" s="31" t="s">
        <v>1627</v>
      </c>
      <c r="C307" s="22" t="s">
        <v>35</v>
      </c>
      <c r="D307" s="23">
        <v>47580</v>
      </c>
    </row>
    <row r="308" spans="1:4" x14ac:dyDescent="0.3">
      <c r="A308" s="30">
        <v>43107</v>
      </c>
      <c r="B308" s="20" t="s">
        <v>1628</v>
      </c>
      <c r="C308" s="22" t="s">
        <v>35</v>
      </c>
      <c r="D308" s="23">
        <v>36431</v>
      </c>
    </row>
    <row r="309" spans="1:4" x14ac:dyDescent="0.3">
      <c r="A309" s="30">
        <v>43472</v>
      </c>
      <c r="B309" s="31" t="s">
        <v>1629</v>
      </c>
      <c r="C309" s="24" t="s">
        <v>1304</v>
      </c>
      <c r="D309" s="23">
        <v>7194</v>
      </c>
    </row>
    <row r="310" spans="1:4" x14ac:dyDescent="0.3">
      <c r="A310" s="30">
        <v>43837</v>
      </c>
      <c r="B310" s="20" t="s">
        <v>1630</v>
      </c>
      <c r="C310" s="22" t="s">
        <v>35</v>
      </c>
      <c r="D310" s="23">
        <v>12923</v>
      </c>
    </row>
    <row r="311" spans="1:4" x14ac:dyDescent="0.3">
      <c r="A311" s="30">
        <v>44203</v>
      </c>
      <c r="B311" s="20" t="s">
        <v>1631</v>
      </c>
      <c r="C311" s="22" t="s">
        <v>35</v>
      </c>
      <c r="D311" s="23">
        <v>10060</v>
      </c>
    </row>
    <row r="312" spans="1:4" x14ac:dyDescent="0.3">
      <c r="A312" s="30">
        <v>44568</v>
      </c>
      <c r="B312" s="20" t="s">
        <v>1632</v>
      </c>
      <c r="C312" s="22" t="s">
        <v>35</v>
      </c>
      <c r="D312" s="23">
        <v>11502</v>
      </c>
    </row>
    <row r="313" spans="1:4" x14ac:dyDescent="0.3">
      <c r="A313" s="30">
        <v>44933</v>
      </c>
      <c r="B313" s="20" t="s">
        <v>1633</v>
      </c>
      <c r="C313" s="22" t="s">
        <v>35</v>
      </c>
      <c r="D313" s="23">
        <v>29020</v>
      </c>
    </row>
    <row r="314" spans="1:4" x14ac:dyDescent="0.3">
      <c r="A314" s="30">
        <v>45298</v>
      </c>
      <c r="B314" s="20" t="s">
        <v>1634</v>
      </c>
      <c r="C314" s="22" t="s">
        <v>35</v>
      </c>
      <c r="D314" s="23">
        <v>77946</v>
      </c>
    </row>
    <row r="315" spans="1:4" x14ac:dyDescent="0.3">
      <c r="A315" s="25" t="s">
        <v>1635</v>
      </c>
      <c r="B315" s="25"/>
      <c r="C315" s="25"/>
      <c r="D315" s="25"/>
    </row>
    <row r="316" spans="1:4" x14ac:dyDescent="0.3">
      <c r="A316" s="30">
        <v>36899</v>
      </c>
      <c r="B316" s="20" t="s">
        <v>1636</v>
      </c>
      <c r="C316" s="22" t="s">
        <v>35</v>
      </c>
      <c r="D316" s="23">
        <v>12516</v>
      </c>
    </row>
    <row r="317" spans="1:4" x14ac:dyDescent="0.3">
      <c r="A317" s="30">
        <v>37264</v>
      </c>
      <c r="B317" s="20" t="s">
        <v>1637</v>
      </c>
      <c r="C317" s="22" t="s">
        <v>35</v>
      </c>
      <c r="D317" s="23">
        <v>10430</v>
      </c>
    </row>
    <row r="318" spans="1:4" x14ac:dyDescent="0.3">
      <c r="A318" s="30">
        <v>37629</v>
      </c>
      <c r="B318" s="31" t="s">
        <v>1638</v>
      </c>
      <c r="C318" s="24" t="s">
        <v>1304</v>
      </c>
      <c r="D318" s="23">
        <v>9932</v>
      </c>
    </row>
    <row r="319" spans="1:4" x14ac:dyDescent="0.3">
      <c r="A319" s="30">
        <v>37994</v>
      </c>
      <c r="B319" s="31" t="s">
        <v>1639</v>
      </c>
      <c r="C319" s="22" t="s">
        <v>35</v>
      </c>
      <c r="D319" s="23">
        <v>42100</v>
      </c>
    </row>
    <row r="320" spans="1:4" x14ac:dyDescent="0.3">
      <c r="A320" s="30">
        <v>38360</v>
      </c>
      <c r="B320" s="31" t="s">
        <v>1640</v>
      </c>
      <c r="C320" s="22" t="s">
        <v>35</v>
      </c>
      <c r="D320" s="23">
        <v>83989</v>
      </c>
    </row>
    <row r="321" spans="1:4" x14ac:dyDescent="0.3">
      <c r="A321" s="30">
        <v>38725</v>
      </c>
      <c r="B321" s="31" t="s">
        <v>1641</v>
      </c>
      <c r="C321" s="22" t="s">
        <v>35</v>
      </c>
      <c r="D321" s="23">
        <v>117330</v>
      </c>
    </row>
    <row r="322" spans="1:4" x14ac:dyDescent="0.3">
      <c r="A322" s="30">
        <v>39090</v>
      </c>
      <c r="B322" s="31" t="s">
        <v>1642</v>
      </c>
      <c r="C322" s="22" t="s">
        <v>35</v>
      </c>
      <c r="D322" s="23">
        <v>242009</v>
      </c>
    </row>
    <row r="323" spans="1:4" ht="14.4" customHeight="1" x14ac:dyDescent="0.3">
      <c r="A323" s="26">
        <v>39455</v>
      </c>
      <c r="B323" s="33" t="s">
        <v>1643</v>
      </c>
      <c r="C323" s="28" t="s">
        <v>35</v>
      </c>
      <c r="D323" s="29">
        <v>44185</v>
      </c>
    </row>
    <row r="324" spans="1:4" x14ac:dyDescent="0.3">
      <c r="A324" s="30">
        <v>39821</v>
      </c>
      <c r="B324" s="20" t="s">
        <v>1644</v>
      </c>
      <c r="C324" s="22" t="s">
        <v>35</v>
      </c>
      <c r="D324" s="23">
        <v>96047</v>
      </c>
    </row>
    <row r="325" spans="1:4" x14ac:dyDescent="0.3">
      <c r="A325" s="30">
        <v>40186</v>
      </c>
      <c r="B325" s="31" t="s">
        <v>1645</v>
      </c>
      <c r="C325" s="22" t="s">
        <v>35</v>
      </c>
      <c r="D325" s="23">
        <v>48553</v>
      </c>
    </row>
    <row r="326" spans="1:4" x14ac:dyDescent="0.3">
      <c r="A326" s="30">
        <v>40551</v>
      </c>
      <c r="B326" s="20" t="s">
        <v>1646</v>
      </c>
      <c r="C326" s="24" t="s">
        <v>1304</v>
      </c>
      <c r="D326" s="23">
        <v>46540</v>
      </c>
    </row>
    <row r="327" spans="1:4" x14ac:dyDescent="0.3">
      <c r="A327" s="30">
        <v>40916</v>
      </c>
      <c r="B327" s="31" t="s">
        <v>1647</v>
      </c>
      <c r="C327" s="24" t="s">
        <v>1304</v>
      </c>
      <c r="D327" s="23">
        <v>82534</v>
      </c>
    </row>
    <row r="328" spans="1:4" x14ac:dyDescent="0.3">
      <c r="A328" s="30">
        <v>41282</v>
      </c>
      <c r="B328" s="20" t="s">
        <v>1648</v>
      </c>
      <c r="C328" s="24" t="s">
        <v>1304</v>
      </c>
      <c r="D328" s="23">
        <v>74480</v>
      </c>
    </row>
    <row r="329" spans="1:4" x14ac:dyDescent="0.3">
      <c r="A329" s="30">
        <v>41647</v>
      </c>
      <c r="B329" s="31" t="s">
        <v>1649</v>
      </c>
      <c r="C329" s="24" t="s">
        <v>1282</v>
      </c>
      <c r="D329" s="23">
        <v>136477</v>
      </c>
    </row>
    <row r="330" spans="1:4" x14ac:dyDescent="0.3">
      <c r="A330" s="30">
        <v>42012</v>
      </c>
      <c r="B330" s="20" t="s">
        <v>1650</v>
      </c>
      <c r="C330" s="24" t="s">
        <v>1304</v>
      </c>
      <c r="D330" s="23">
        <v>29847</v>
      </c>
    </row>
    <row r="331" spans="1:4" x14ac:dyDescent="0.3">
      <c r="A331" s="30">
        <v>42377</v>
      </c>
      <c r="B331" s="20" t="s">
        <v>1651</v>
      </c>
      <c r="C331" s="22" t="s">
        <v>35</v>
      </c>
      <c r="D331" s="23">
        <v>76198</v>
      </c>
    </row>
    <row r="332" spans="1:4" x14ac:dyDescent="0.3">
      <c r="A332" s="30">
        <v>42743</v>
      </c>
      <c r="B332" s="20" t="s">
        <v>1652</v>
      </c>
      <c r="C332" s="22" t="s">
        <v>35</v>
      </c>
      <c r="D332" s="23">
        <v>38727</v>
      </c>
    </row>
    <row r="333" spans="1:4" x14ac:dyDescent="0.3">
      <c r="A333" s="30">
        <v>43108</v>
      </c>
      <c r="B333" s="20" t="s">
        <v>1653</v>
      </c>
      <c r="C333" s="22" t="s">
        <v>35</v>
      </c>
      <c r="D333" s="23">
        <v>39072</v>
      </c>
    </row>
    <row r="334" spans="1:4" x14ac:dyDescent="0.3">
      <c r="A334" s="30">
        <v>43473</v>
      </c>
      <c r="B334" s="20" t="s">
        <v>1654</v>
      </c>
      <c r="C334" s="22" t="s">
        <v>35</v>
      </c>
      <c r="D334" s="23">
        <v>79853</v>
      </c>
    </row>
    <row r="335" spans="1:4" x14ac:dyDescent="0.3">
      <c r="A335" s="30">
        <v>43838</v>
      </c>
      <c r="B335" s="20" t="s">
        <v>1655</v>
      </c>
      <c r="C335" s="22" t="s">
        <v>35</v>
      </c>
      <c r="D335" s="23">
        <v>161718</v>
      </c>
    </row>
    <row r="336" spans="1:4" x14ac:dyDescent="0.3">
      <c r="A336" s="30">
        <v>44204</v>
      </c>
      <c r="B336" s="20" t="s">
        <v>1656</v>
      </c>
      <c r="C336" s="22" t="s">
        <v>35</v>
      </c>
      <c r="D336" s="23">
        <v>161718</v>
      </c>
    </row>
    <row r="337" spans="1:4" x14ac:dyDescent="0.3">
      <c r="A337" s="30">
        <v>44569</v>
      </c>
      <c r="B337" s="20" t="s">
        <v>1657</v>
      </c>
      <c r="C337" s="22" t="s">
        <v>35</v>
      </c>
      <c r="D337" s="23">
        <v>161373</v>
      </c>
    </row>
    <row r="338" spans="1:4" x14ac:dyDescent="0.3">
      <c r="A338" s="30">
        <v>44934</v>
      </c>
      <c r="B338" s="31" t="s">
        <v>1658</v>
      </c>
      <c r="C338" s="22" t="s">
        <v>35</v>
      </c>
      <c r="D338" s="23">
        <v>33048</v>
      </c>
    </row>
    <row r="339" spans="1:4" x14ac:dyDescent="0.3">
      <c r="A339" s="30">
        <v>45299</v>
      </c>
      <c r="B339" s="31" t="s">
        <v>1659</v>
      </c>
      <c r="C339" s="24" t="s">
        <v>1304</v>
      </c>
      <c r="D339" s="23">
        <v>80863</v>
      </c>
    </row>
    <row r="340" spans="1:4" x14ac:dyDescent="0.3">
      <c r="A340" s="30">
        <v>45665</v>
      </c>
      <c r="B340" s="31" t="s">
        <v>1660</v>
      </c>
      <c r="C340" s="24" t="s">
        <v>1304</v>
      </c>
      <c r="D340" s="23">
        <v>28634</v>
      </c>
    </row>
    <row r="341" spans="1:4" x14ac:dyDescent="0.3">
      <c r="A341" s="30">
        <v>46030</v>
      </c>
      <c r="B341" s="20" t="s">
        <v>1661</v>
      </c>
      <c r="C341" s="22" t="s">
        <v>35</v>
      </c>
      <c r="D341" s="23">
        <v>18994</v>
      </c>
    </row>
    <row r="342" spans="1:4" x14ac:dyDescent="0.3">
      <c r="A342" s="25" t="s">
        <v>1662</v>
      </c>
      <c r="B342" s="25"/>
      <c r="C342" s="25"/>
      <c r="D342" s="25"/>
    </row>
    <row r="343" spans="1:4" x14ac:dyDescent="0.3">
      <c r="A343" s="30">
        <v>36900</v>
      </c>
      <c r="B343" s="31" t="s">
        <v>1663</v>
      </c>
      <c r="C343" s="22" t="s">
        <v>35</v>
      </c>
      <c r="D343" s="23">
        <v>450444</v>
      </c>
    </row>
    <row r="344" spans="1:4" x14ac:dyDescent="0.3">
      <c r="A344" s="30">
        <v>37265</v>
      </c>
      <c r="B344" s="31" t="s">
        <v>1664</v>
      </c>
      <c r="C344" s="24" t="s">
        <v>1282</v>
      </c>
      <c r="D344" s="23">
        <v>473792</v>
      </c>
    </row>
    <row r="345" spans="1:4" x14ac:dyDescent="0.3">
      <c r="A345" s="30">
        <v>37630</v>
      </c>
      <c r="B345" s="31" t="s">
        <v>1665</v>
      </c>
      <c r="C345" s="24" t="s">
        <v>1282</v>
      </c>
      <c r="D345" s="23">
        <v>544453</v>
      </c>
    </row>
    <row r="346" spans="1:4" x14ac:dyDescent="0.3">
      <c r="A346" s="30">
        <v>37995</v>
      </c>
      <c r="B346" s="31" t="s">
        <v>1666</v>
      </c>
      <c r="C346" s="24" t="s">
        <v>1282</v>
      </c>
      <c r="D346" s="23">
        <v>581935</v>
      </c>
    </row>
    <row r="347" spans="1:4" x14ac:dyDescent="0.3">
      <c r="A347" s="30">
        <v>38361</v>
      </c>
      <c r="B347" s="31" t="s">
        <v>1667</v>
      </c>
      <c r="C347" s="24" t="s">
        <v>1282</v>
      </c>
      <c r="D347" s="23">
        <v>759659</v>
      </c>
    </row>
    <row r="348" spans="1:4" x14ac:dyDescent="0.3">
      <c r="A348" s="30">
        <v>38726</v>
      </c>
      <c r="B348" s="31" t="s">
        <v>1668</v>
      </c>
      <c r="C348" s="24" t="s">
        <v>1282</v>
      </c>
      <c r="D348" s="23">
        <v>1032930</v>
      </c>
    </row>
    <row r="349" spans="1:4" x14ac:dyDescent="0.3">
      <c r="A349" s="30">
        <v>39091</v>
      </c>
      <c r="B349" s="31" t="s">
        <v>1669</v>
      </c>
      <c r="C349" s="24" t="s">
        <v>1282</v>
      </c>
      <c r="D349" s="23">
        <v>791263</v>
      </c>
    </row>
    <row r="350" spans="1:4" x14ac:dyDescent="0.3">
      <c r="A350" s="30">
        <v>39456</v>
      </c>
      <c r="B350" s="31" t="s">
        <v>1670</v>
      </c>
      <c r="C350" s="24" t="s">
        <v>1282</v>
      </c>
      <c r="D350" s="23">
        <v>253841</v>
      </c>
    </row>
    <row r="351" spans="1:4" ht="14.4" customHeight="1" x14ac:dyDescent="0.3">
      <c r="A351" s="26">
        <v>39822</v>
      </c>
      <c r="B351" s="27" t="s">
        <v>1671</v>
      </c>
      <c r="C351" s="32" t="s">
        <v>1282</v>
      </c>
      <c r="D351" s="29">
        <v>379773</v>
      </c>
    </row>
    <row r="352" spans="1:4" x14ac:dyDescent="0.3">
      <c r="A352" s="30">
        <v>40187</v>
      </c>
      <c r="B352" s="31" t="s">
        <v>1672</v>
      </c>
      <c r="C352" s="24" t="s">
        <v>1282</v>
      </c>
      <c r="D352" s="23">
        <v>149136</v>
      </c>
    </row>
    <row r="353" spans="1:4" x14ac:dyDescent="0.3">
      <c r="A353" s="30">
        <v>40552</v>
      </c>
      <c r="B353" s="31" t="s">
        <v>1673</v>
      </c>
      <c r="C353" s="24" t="s">
        <v>1282</v>
      </c>
      <c r="D353" s="23">
        <v>172110</v>
      </c>
    </row>
    <row r="354" spans="1:4" x14ac:dyDescent="0.3">
      <c r="A354" s="30">
        <v>40917</v>
      </c>
      <c r="B354" s="31" t="s">
        <v>1674</v>
      </c>
      <c r="C354" s="22" t="s">
        <v>35</v>
      </c>
      <c r="D354" s="23">
        <v>160000</v>
      </c>
    </row>
    <row r="355" spans="1:4" x14ac:dyDescent="0.3">
      <c r="A355" s="30">
        <v>41283</v>
      </c>
      <c r="B355" s="20" t="s">
        <v>1675</v>
      </c>
      <c r="C355" s="22" t="s">
        <v>35</v>
      </c>
      <c r="D355" s="23">
        <v>399878</v>
      </c>
    </row>
    <row r="356" spans="1:4" x14ac:dyDescent="0.3">
      <c r="A356" s="30">
        <v>41648</v>
      </c>
      <c r="B356" s="31" t="s">
        <v>1676</v>
      </c>
      <c r="C356" s="22" t="s">
        <v>35</v>
      </c>
      <c r="D356" s="23">
        <v>354967</v>
      </c>
    </row>
    <row r="357" spans="1:4" x14ac:dyDescent="0.3">
      <c r="A357" s="30">
        <v>42013</v>
      </c>
      <c r="B357" s="31" t="s">
        <v>1677</v>
      </c>
      <c r="C357" s="22" t="s">
        <v>35</v>
      </c>
      <c r="D357" s="23">
        <v>312114</v>
      </c>
    </row>
    <row r="358" spans="1:4" x14ac:dyDescent="0.3">
      <c r="A358" s="30">
        <v>42378</v>
      </c>
      <c r="B358" s="31" t="s">
        <v>1678</v>
      </c>
      <c r="C358" s="22" t="s">
        <v>35</v>
      </c>
      <c r="D358" s="23">
        <v>293936</v>
      </c>
    </row>
    <row r="359" spans="1:4" x14ac:dyDescent="0.3">
      <c r="A359" s="30">
        <v>42744</v>
      </c>
      <c r="B359" s="20" t="s">
        <v>1679</v>
      </c>
      <c r="C359" s="22" t="s">
        <v>35</v>
      </c>
      <c r="D359" s="23">
        <v>66187</v>
      </c>
    </row>
    <row r="360" spans="1:4" x14ac:dyDescent="0.3">
      <c r="A360" s="30">
        <v>43109</v>
      </c>
      <c r="B360" s="20" t="s">
        <v>1680</v>
      </c>
      <c r="C360" s="22" t="s">
        <v>35</v>
      </c>
      <c r="D360" s="23">
        <v>33646</v>
      </c>
    </row>
    <row r="361" spans="1:4" x14ac:dyDescent="0.3">
      <c r="A361" s="30">
        <v>43474</v>
      </c>
      <c r="B361" s="31" t="s">
        <v>1681</v>
      </c>
      <c r="C361" s="22" t="s">
        <v>35</v>
      </c>
      <c r="D361" s="23">
        <v>446973</v>
      </c>
    </row>
    <row r="362" spans="1:4" x14ac:dyDescent="0.3">
      <c r="A362" s="30">
        <v>43839</v>
      </c>
      <c r="B362" s="31" t="s">
        <v>1682</v>
      </c>
      <c r="C362" s="24" t="s">
        <v>1287</v>
      </c>
      <c r="D362" s="23">
        <v>17340</v>
      </c>
    </row>
    <row r="363" spans="1:4" x14ac:dyDescent="0.3">
      <c r="A363" s="30">
        <v>44205</v>
      </c>
      <c r="B363" s="20" t="s">
        <v>1683</v>
      </c>
      <c r="C363" s="22" t="s">
        <v>35</v>
      </c>
      <c r="D363" s="23">
        <v>248740</v>
      </c>
    </row>
    <row r="364" spans="1:4" x14ac:dyDescent="0.3">
      <c r="A364" s="30">
        <v>44570</v>
      </c>
      <c r="B364" s="31" t="s">
        <v>1684</v>
      </c>
      <c r="C364" s="22" t="s">
        <v>35</v>
      </c>
      <c r="D364" s="23">
        <v>180401</v>
      </c>
    </row>
    <row r="365" spans="1:4" x14ac:dyDescent="0.3">
      <c r="A365" s="30">
        <v>44935</v>
      </c>
      <c r="B365" s="20" t="s">
        <v>1685</v>
      </c>
      <c r="C365" s="24" t="s">
        <v>1304</v>
      </c>
      <c r="D365" s="23">
        <v>162587</v>
      </c>
    </row>
    <row r="366" spans="1:4" x14ac:dyDescent="0.3">
      <c r="A366" s="30">
        <v>45300</v>
      </c>
      <c r="B366" s="20" t="s">
        <v>1686</v>
      </c>
      <c r="C366" s="24" t="s">
        <v>1282</v>
      </c>
      <c r="D366" s="23">
        <v>905387</v>
      </c>
    </row>
    <row r="367" spans="1:4" x14ac:dyDescent="0.3">
      <c r="A367" s="30">
        <v>45666</v>
      </c>
      <c r="B367" s="20" t="s">
        <v>1687</v>
      </c>
      <c r="C367" s="24" t="s">
        <v>1282</v>
      </c>
      <c r="D367" s="23">
        <v>1178517</v>
      </c>
    </row>
    <row r="368" spans="1:4" x14ac:dyDescent="0.3">
      <c r="A368" s="30">
        <v>46031</v>
      </c>
      <c r="B368" s="20" t="s">
        <v>1688</v>
      </c>
      <c r="C368" s="24" t="s">
        <v>1282</v>
      </c>
      <c r="D368" s="23">
        <v>1702887</v>
      </c>
    </row>
    <row r="369" spans="1:4" x14ac:dyDescent="0.3">
      <c r="A369" s="30">
        <v>46396</v>
      </c>
      <c r="B369" s="20" t="s">
        <v>1689</v>
      </c>
      <c r="C369" s="24" t="s">
        <v>1282</v>
      </c>
      <c r="D369" s="23">
        <v>7522225</v>
      </c>
    </row>
    <row r="370" spans="1:4" x14ac:dyDescent="0.3">
      <c r="A370" s="30">
        <v>46761</v>
      </c>
      <c r="B370" s="20" t="s">
        <v>1690</v>
      </c>
      <c r="C370" s="24" t="s">
        <v>1282</v>
      </c>
      <c r="D370" s="23">
        <v>1747773</v>
      </c>
    </row>
    <row r="371" spans="1:4" x14ac:dyDescent="0.3">
      <c r="A371" s="30">
        <v>47127</v>
      </c>
      <c r="B371" s="20" t="s">
        <v>1691</v>
      </c>
      <c r="C371" s="24" t="s">
        <v>1282</v>
      </c>
      <c r="D371" s="23">
        <v>206078</v>
      </c>
    </row>
    <row r="372" spans="1:4" x14ac:dyDescent="0.3">
      <c r="A372" s="30">
        <v>10967</v>
      </c>
      <c r="B372" s="20" t="s">
        <v>1692</v>
      </c>
      <c r="C372" s="22" t="s">
        <v>35</v>
      </c>
      <c r="D372" s="23">
        <v>73073</v>
      </c>
    </row>
    <row r="373" spans="1:4" x14ac:dyDescent="0.3">
      <c r="A373" s="30">
        <v>11332</v>
      </c>
      <c r="B373" s="20" t="s">
        <v>1693</v>
      </c>
      <c r="C373" s="22" t="s">
        <v>35</v>
      </c>
      <c r="D373" s="23">
        <v>84182</v>
      </c>
    </row>
    <row r="374" spans="1:4" x14ac:dyDescent="0.3">
      <c r="A374" s="25" t="s">
        <v>1694</v>
      </c>
      <c r="B374" s="25"/>
      <c r="C374" s="25"/>
      <c r="D374" s="25"/>
    </row>
    <row r="375" spans="1:4" x14ac:dyDescent="0.3">
      <c r="A375" s="30">
        <v>36901</v>
      </c>
      <c r="B375" s="31" t="s">
        <v>1695</v>
      </c>
      <c r="C375" s="24" t="s">
        <v>1282</v>
      </c>
      <c r="D375" s="23">
        <v>467263</v>
      </c>
    </row>
    <row r="376" spans="1:4" x14ac:dyDescent="0.3">
      <c r="A376" s="30">
        <v>37266</v>
      </c>
      <c r="B376" s="31" t="s">
        <v>1696</v>
      </c>
      <c r="C376" s="24" t="s">
        <v>1282</v>
      </c>
      <c r="D376" s="23">
        <v>147334</v>
      </c>
    </row>
    <row r="377" spans="1:4" x14ac:dyDescent="0.3">
      <c r="A377" s="30">
        <v>37631</v>
      </c>
      <c r="B377" s="20" t="s">
        <v>1697</v>
      </c>
      <c r="C377" s="24" t="s">
        <v>1282</v>
      </c>
      <c r="D377" s="23">
        <v>252524</v>
      </c>
    </row>
    <row r="378" spans="1:4" x14ac:dyDescent="0.3">
      <c r="A378" s="30">
        <v>37996</v>
      </c>
      <c r="B378" s="20" t="s">
        <v>1698</v>
      </c>
      <c r="C378" s="24" t="s">
        <v>1282</v>
      </c>
      <c r="D378" s="23">
        <v>3430021</v>
      </c>
    </row>
    <row r="379" spans="1:4" x14ac:dyDescent="0.3">
      <c r="A379" s="30">
        <v>38362</v>
      </c>
      <c r="B379" s="20" t="s">
        <v>1699</v>
      </c>
      <c r="C379" s="24" t="s">
        <v>1282</v>
      </c>
      <c r="D379" s="23">
        <v>6304817</v>
      </c>
    </row>
    <row r="380" spans="1:4" x14ac:dyDescent="0.3">
      <c r="A380" s="30">
        <v>38727</v>
      </c>
      <c r="B380" s="31" t="s">
        <v>1700</v>
      </c>
      <c r="C380" s="24" t="s">
        <v>1282</v>
      </c>
      <c r="D380" s="23">
        <v>331370</v>
      </c>
    </row>
    <row r="381" spans="1:4" x14ac:dyDescent="0.3">
      <c r="A381" s="35" t="s">
        <v>1701</v>
      </c>
      <c r="B381" s="35"/>
      <c r="C381" s="35"/>
      <c r="D381" s="35"/>
    </row>
    <row r="382" spans="1:4" x14ac:dyDescent="0.3">
      <c r="A382" s="30">
        <v>36902</v>
      </c>
      <c r="B382" s="20" t="s">
        <v>1702</v>
      </c>
      <c r="C382" s="24" t="s">
        <v>1282</v>
      </c>
      <c r="D382" s="23">
        <v>364921</v>
      </c>
    </row>
    <row r="383" spans="1:4" x14ac:dyDescent="0.3">
      <c r="A383" s="30">
        <v>37267</v>
      </c>
      <c r="B383" s="20" t="s">
        <v>1703</v>
      </c>
      <c r="C383" s="24" t="s">
        <v>1282</v>
      </c>
      <c r="D383" s="23">
        <v>413931</v>
      </c>
    </row>
    <row r="384" spans="1:4" ht="14.4" customHeight="1" x14ac:dyDescent="0.3">
      <c r="A384" s="26">
        <v>37632</v>
      </c>
      <c r="B384" s="27" t="s">
        <v>1704</v>
      </c>
      <c r="C384" s="32" t="s">
        <v>1282</v>
      </c>
      <c r="D384" s="29">
        <v>656931</v>
      </c>
    </row>
    <row r="385" spans="1:4" x14ac:dyDescent="0.3">
      <c r="A385" s="30">
        <v>37997</v>
      </c>
      <c r="B385" s="20" t="s">
        <v>1705</v>
      </c>
      <c r="C385" s="24" t="s">
        <v>1282</v>
      </c>
      <c r="D385" s="23">
        <v>272799</v>
      </c>
    </row>
    <row r="386" spans="1:4" x14ac:dyDescent="0.3">
      <c r="A386" s="30">
        <v>38363</v>
      </c>
      <c r="B386" s="20" t="s">
        <v>1706</v>
      </c>
      <c r="C386" s="24" t="s">
        <v>1282</v>
      </c>
      <c r="D386" s="23">
        <v>219470</v>
      </c>
    </row>
    <row r="387" spans="1:4" x14ac:dyDescent="0.3">
      <c r="A387" s="30">
        <v>38728</v>
      </c>
      <c r="B387" s="20" t="s">
        <v>1707</v>
      </c>
      <c r="C387" s="24" t="s">
        <v>1282</v>
      </c>
      <c r="D387" s="23">
        <v>288699</v>
      </c>
    </row>
    <row r="388" spans="1:4" x14ac:dyDescent="0.3">
      <c r="A388" s="30">
        <v>39093</v>
      </c>
      <c r="B388" s="20" t="s">
        <v>1708</v>
      </c>
      <c r="C388" s="24" t="s">
        <v>1282</v>
      </c>
      <c r="D388" s="23">
        <v>363396</v>
      </c>
    </row>
    <row r="389" spans="1:4" x14ac:dyDescent="0.3">
      <c r="A389" s="30">
        <v>39458</v>
      </c>
      <c r="B389" s="20" t="s">
        <v>1709</v>
      </c>
      <c r="C389" s="24" t="s">
        <v>1282</v>
      </c>
      <c r="D389" s="23">
        <v>233470</v>
      </c>
    </row>
    <row r="390" spans="1:4" x14ac:dyDescent="0.3">
      <c r="A390" s="30">
        <v>39824</v>
      </c>
      <c r="B390" s="20" t="s">
        <v>1710</v>
      </c>
      <c r="C390" s="24" t="s">
        <v>1282</v>
      </c>
      <c r="D390" s="23">
        <v>240470</v>
      </c>
    </row>
    <row r="391" spans="1:4" x14ac:dyDescent="0.3">
      <c r="A391" s="30">
        <v>40189</v>
      </c>
      <c r="B391" s="20" t="s">
        <v>1711</v>
      </c>
      <c r="C391" s="24" t="s">
        <v>1282</v>
      </c>
      <c r="D391" s="23">
        <v>1550071</v>
      </c>
    </row>
    <row r="392" spans="1:4" ht="14.4" customHeight="1" x14ac:dyDescent="0.3">
      <c r="A392" s="26">
        <v>40554</v>
      </c>
      <c r="B392" s="27" t="s">
        <v>1712</v>
      </c>
      <c r="C392" s="32" t="s">
        <v>1282</v>
      </c>
      <c r="D392" s="29">
        <v>641699</v>
      </c>
    </row>
    <row r="393" spans="1:4" x14ac:dyDescent="0.3">
      <c r="A393" s="30">
        <v>40919</v>
      </c>
      <c r="B393" s="20" t="s">
        <v>1713</v>
      </c>
      <c r="C393" s="24" t="s">
        <v>1282</v>
      </c>
      <c r="D393" s="23">
        <v>1314999</v>
      </c>
    </row>
    <row r="394" spans="1:4" x14ac:dyDescent="0.3">
      <c r="A394" s="30">
        <v>41285</v>
      </c>
      <c r="B394" s="20" t="s">
        <v>1714</v>
      </c>
      <c r="C394" s="24" t="s">
        <v>1282</v>
      </c>
      <c r="D394" s="23">
        <v>301999</v>
      </c>
    </row>
    <row r="395" spans="1:4" x14ac:dyDescent="0.3">
      <c r="A395" s="30">
        <v>41650</v>
      </c>
      <c r="B395" s="20" t="s">
        <v>1715</v>
      </c>
      <c r="C395" s="24" t="s">
        <v>1282</v>
      </c>
      <c r="D395" s="23">
        <v>381999</v>
      </c>
    </row>
    <row r="396" spans="1:4" x14ac:dyDescent="0.3">
      <c r="A396" s="30">
        <v>42015</v>
      </c>
      <c r="B396" s="20" t="s">
        <v>1716</v>
      </c>
      <c r="C396" s="24" t="s">
        <v>1282</v>
      </c>
      <c r="D396" s="23">
        <v>976299</v>
      </c>
    </row>
    <row r="397" spans="1:4" x14ac:dyDescent="0.3">
      <c r="A397" s="30">
        <v>42380</v>
      </c>
      <c r="B397" s="20" t="s">
        <v>1717</v>
      </c>
      <c r="C397" s="24" t="s">
        <v>1282</v>
      </c>
      <c r="D397" s="23">
        <v>1393491</v>
      </c>
    </row>
    <row r="398" spans="1:4" x14ac:dyDescent="0.3">
      <c r="A398" s="30">
        <v>42746</v>
      </c>
      <c r="B398" s="20" t="s">
        <v>1718</v>
      </c>
      <c r="C398" s="24" t="s">
        <v>1282</v>
      </c>
      <c r="D398" s="23">
        <v>1464022</v>
      </c>
    </row>
    <row r="399" spans="1:4" x14ac:dyDescent="0.3">
      <c r="A399" s="30">
        <v>43111</v>
      </c>
      <c r="B399" s="20" t="s">
        <v>1719</v>
      </c>
      <c r="C399" s="24" t="s">
        <v>1282</v>
      </c>
      <c r="D399" s="23">
        <v>406351</v>
      </c>
    </row>
    <row r="400" spans="1:4" x14ac:dyDescent="0.3">
      <c r="A400" s="30">
        <v>43476</v>
      </c>
      <c r="B400" s="20" t="s">
        <v>1720</v>
      </c>
      <c r="C400" s="24" t="s">
        <v>1282</v>
      </c>
      <c r="D400" s="23">
        <v>331389</v>
      </c>
    </row>
    <row r="401" spans="1:4" x14ac:dyDescent="0.3">
      <c r="A401" s="30">
        <v>43841</v>
      </c>
      <c r="B401" s="31" t="s">
        <v>1721</v>
      </c>
      <c r="C401" s="24" t="s">
        <v>1282</v>
      </c>
      <c r="D401" s="23">
        <v>582089</v>
      </c>
    </row>
    <row r="402" spans="1:4" x14ac:dyDescent="0.3">
      <c r="A402" s="30">
        <v>44207</v>
      </c>
      <c r="B402" s="20" t="s">
        <v>1722</v>
      </c>
      <c r="C402" s="24" t="s">
        <v>1282</v>
      </c>
      <c r="D402" s="23">
        <v>471589</v>
      </c>
    </row>
    <row r="403" spans="1:4" x14ac:dyDescent="0.3">
      <c r="A403" s="30">
        <v>44572</v>
      </c>
      <c r="B403" s="20" t="s">
        <v>1723</v>
      </c>
      <c r="C403" s="24" t="s">
        <v>1282</v>
      </c>
      <c r="D403" s="23">
        <v>118692</v>
      </c>
    </row>
    <row r="404" spans="1:4" x14ac:dyDescent="0.3">
      <c r="A404" s="30">
        <v>44937</v>
      </c>
      <c r="B404" s="20" t="s">
        <v>1724</v>
      </c>
      <c r="C404" s="24" t="s">
        <v>1282</v>
      </c>
      <c r="D404" s="23">
        <v>944200</v>
      </c>
    </row>
    <row r="405" spans="1:4" x14ac:dyDescent="0.3">
      <c r="A405" s="30">
        <v>45302</v>
      </c>
      <c r="B405" s="20" t="s">
        <v>1725</v>
      </c>
      <c r="C405" s="24" t="s">
        <v>1282</v>
      </c>
      <c r="D405" s="23">
        <v>177744</v>
      </c>
    </row>
    <row r="406" spans="1:4" x14ac:dyDescent="0.3">
      <c r="A406" s="30">
        <v>45668</v>
      </c>
      <c r="B406" s="20" t="s">
        <v>1726</v>
      </c>
      <c r="C406" s="24" t="s">
        <v>1282</v>
      </c>
      <c r="D406" s="23">
        <v>608385</v>
      </c>
    </row>
    <row r="407" spans="1:4" x14ac:dyDescent="0.3">
      <c r="A407" s="30">
        <v>46033</v>
      </c>
      <c r="B407" s="20" t="s">
        <v>1727</v>
      </c>
      <c r="C407" s="24" t="s">
        <v>1282</v>
      </c>
      <c r="D407" s="23">
        <v>38175</v>
      </c>
    </row>
    <row r="408" spans="1:4" x14ac:dyDescent="0.3">
      <c r="A408" s="30">
        <v>46398</v>
      </c>
      <c r="B408" s="20" t="s">
        <v>1728</v>
      </c>
      <c r="C408" s="24" t="s">
        <v>1277</v>
      </c>
      <c r="D408" s="23">
        <v>22778</v>
      </c>
    </row>
    <row r="409" spans="1:4" x14ac:dyDescent="0.3">
      <c r="A409" s="30">
        <v>46763</v>
      </c>
      <c r="B409" s="31" t="s">
        <v>1729</v>
      </c>
      <c r="C409" s="24" t="s">
        <v>1282</v>
      </c>
      <c r="D409" s="23">
        <v>35927</v>
      </c>
    </row>
    <row r="410" spans="1:4" x14ac:dyDescent="0.3">
      <c r="A410" s="30">
        <v>47129</v>
      </c>
      <c r="B410" s="31" t="s">
        <v>1730</v>
      </c>
      <c r="C410" s="24" t="s">
        <v>1282</v>
      </c>
      <c r="D410" s="23">
        <v>373066</v>
      </c>
    </row>
    <row r="411" spans="1:4" x14ac:dyDescent="0.3">
      <c r="A411" s="30">
        <v>10969</v>
      </c>
      <c r="B411" s="20" t="s">
        <v>1731</v>
      </c>
      <c r="C411" s="24" t="s">
        <v>1282</v>
      </c>
      <c r="D411" s="23">
        <v>66367</v>
      </c>
    </row>
    <row r="412" spans="1:4" x14ac:dyDescent="0.3">
      <c r="A412" s="30">
        <v>11334</v>
      </c>
      <c r="B412" s="31" t="s">
        <v>1732</v>
      </c>
      <c r="C412" s="24" t="s">
        <v>1282</v>
      </c>
      <c r="D412" s="23">
        <v>34333</v>
      </c>
    </row>
    <row r="413" spans="1:4" x14ac:dyDescent="0.3">
      <c r="A413" s="30">
        <v>11699</v>
      </c>
      <c r="B413" s="20" t="s">
        <v>1733</v>
      </c>
      <c r="C413" s="24" t="s">
        <v>1282</v>
      </c>
      <c r="D413" s="23">
        <v>33233</v>
      </c>
    </row>
    <row r="414" spans="1:4" x14ac:dyDescent="0.3">
      <c r="A414" s="30">
        <v>12065</v>
      </c>
      <c r="B414" s="31" t="s">
        <v>1734</v>
      </c>
      <c r="C414" s="24" t="s">
        <v>1282</v>
      </c>
      <c r="D414" s="23">
        <v>32033</v>
      </c>
    </row>
    <row r="415" spans="1:4" x14ac:dyDescent="0.3">
      <c r="A415" s="30">
        <v>12430</v>
      </c>
      <c r="B415" s="20" t="s">
        <v>1735</v>
      </c>
      <c r="C415" s="24" t="s">
        <v>1282</v>
      </c>
      <c r="D415" s="23">
        <v>49722</v>
      </c>
    </row>
    <row r="416" spans="1:4" x14ac:dyDescent="0.3">
      <c r="A416" s="30">
        <v>12795</v>
      </c>
      <c r="B416" s="31" t="s">
        <v>1736</v>
      </c>
      <c r="C416" s="24" t="s">
        <v>1282</v>
      </c>
      <c r="D416" s="23">
        <v>41833</v>
      </c>
    </row>
    <row r="417" spans="1:4" x14ac:dyDescent="0.3">
      <c r="A417" s="30">
        <v>13160</v>
      </c>
      <c r="B417" s="31" t="s">
        <v>1737</v>
      </c>
      <c r="C417" s="24" t="s">
        <v>1282</v>
      </c>
      <c r="D417" s="23">
        <v>211799</v>
      </c>
    </row>
    <row r="418" spans="1:4" x14ac:dyDescent="0.3">
      <c r="A418" s="30">
        <v>13526</v>
      </c>
      <c r="B418" s="31" t="s">
        <v>1738</v>
      </c>
      <c r="C418" s="24" t="s">
        <v>1282</v>
      </c>
      <c r="D418" s="23">
        <v>275731</v>
      </c>
    </row>
    <row r="419" spans="1:4" x14ac:dyDescent="0.3">
      <c r="A419" s="30">
        <v>13891</v>
      </c>
      <c r="B419" s="31" t="s">
        <v>1739</v>
      </c>
      <c r="C419" s="24" t="s">
        <v>1304</v>
      </c>
      <c r="D419" s="23">
        <v>722142</v>
      </c>
    </row>
    <row r="420" spans="1:4" x14ac:dyDescent="0.3">
      <c r="A420" s="30">
        <v>14256</v>
      </c>
      <c r="B420" s="20" t="s">
        <v>1740</v>
      </c>
      <c r="C420" s="24" t="s">
        <v>1304</v>
      </c>
      <c r="D420" s="23">
        <v>545663</v>
      </c>
    </row>
    <row r="421" spans="1:4" x14ac:dyDescent="0.3">
      <c r="A421" s="30">
        <v>14621</v>
      </c>
      <c r="B421" s="20" t="s">
        <v>1741</v>
      </c>
      <c r="C421" s="24" t="s">
        <v>1282</v>
      </c>
      <c r="D421" s="23">
        <v>60433</v>
      </c>
    </row>
    <row r="422" spans="1:4" x14ac:dyDescent="0.3">
      <c r="A422" s="30">
        <v>14987</v>
      </c>
      <c r="B422" s="31" t="s">
        <v>1742</v>
      </c>
      <c r="C422" s="24" t="s">
        <v>1282</v>
      </c>
      <c r="D422" s="23">
        <v>580687</v>
      </c>
    </row>
    <row r="423" spans="1:4" x14ac:dyDescent="0.3">
      <c r="A423" s="30">
        <v>15352</v>
      </c>
      <c r="B423" s="31" t="s">
        <v>1743</v>
      </c>
      <c r="C423" s="24" t="s">
        <v>1282</v>
      </c>
      <c r="D423" s="23">
        <v>439992</v>
      </c>
    </row>
    <row r="424" spans="1:4" x14ac:dyDescent="0.3">
      <c r="A424" s="30">
        <v>15717</v>
      </c>
      <c r="B424" s="20" t="s">
        <v>1744</v>
      </c>
      <c r="C424" s="24" t="s">
        <v>1282</v>
      </c>
      <c r="D424" s="23">
        <v>7682743</v>
      </c>
    </row>
    <row r="425" spans="1:4" x14ac:dyDescent="0.3">
      <c r="A425" s="30">
        <v>16082</v>
      </c>
      <c r="B425" s="20" t="s">
        <v>1745</v>
      </c>
      <c r="C425" s="24" t="s">
        <v>1282</v>
      </c>
      <c r="D425" s="23">
        <v>17432843</v>
      </c>
    </row>
    <row r="426" spans="1:4" x14ac:dyDescent="0.3">
      <c r="A426" s="30">
        <v>16448</v>
      </c>
      <c r="B426" s="20" t="s">
        <v>1746</v>
      </c>
      <c r="C426" s="24" t="s">
        <v>1282</v>
      </c>
      <c r="D426" s="23">
        <v>341921</v>
      </c>
    </row>
    <row r="427" spans="1:4" x14ac:dyDescent="0.3">
      <c r="A427" s="30">
        <v>16813</v>
      </c>
      <c r="B427" s="20" t="s">
        <v>1747</v>
      </c>
      <c r="C427" s="24" t="s">
        <v>1282</v>
      </c>
      <c r="D427" s="23">
        <v>301370</v>
      </c>
    </row>
    <row r="428" spans="1:4" x14ac:dyDescent="0.3">
      <c r="A428" s="25" t="s">
        <v>1748</v>
      </c>
      <c r="B428" s="25"/>
      <c r="C428" s="25"/>
      <c r="D428" s="25"/>
    </row>
    <row r="429" spans="1:4" x14ac:dyDescent="0.3">
      <c r="A429" s="30">
        <v>36903</v>
      </c>
      <c r="B429" s="20" t="s">
        <v>1749</v>
      </c>
      <c r="C429" s="24" t="s">
        <v>1304</v>
      </c>
      <c r="D429" s="23">
        <v>217151</v>
      </c>
    </row>
    <row r="430" spans="1:4" x14ac:dyDescent="0.3">
      <c r="A430" s="30">
        <v>37268</v>
      </c>
      <c r="B430" s="20" t="s">
        <v>1750</v>
      </c>
      <c r="C430" s="24" t="s">
        <v>1304</v>
      </c>
      <c r="D430" s="23">
        <v>132745</v>
      </c>
    </row>
    <row r="431" spans="1:4" x14ac:dyDescent="0.3">
      <c r="A431" s="30">
        <v>37633</v>
      </c>
      <c r="B431" s="20" t="s">
        <v>1751</v>
      </c>
      <c r="C431" s="24" t="s">
        <v>1304</v>
      </c>
      <c r="D431" s="23">
        <v>67432</v>
      </c>
    </row>
    <row r="432" spans="1:4" x14ac:dyDescent="0.3">
      <c r="A432" s="30">
        <v>37998</v>
      </c>
      <c r="B432" s="20" t="s">
        <v>1752</v>
      </c>
      <c r="C432" s="24" t="s">
        <v>1304</v>
      </c>
      <c r="D432" s="23">
        <v>53050</v>
      </c>
    </row>
    <row r="433" spans="1:4" x14ac:dyDescent="0.3">
      <c r="A433" s="30">
        <v>38364</v>
      </c>
      <c r="B433" s="20" t="s">
        <v>1753</v>
      </c>
      <c r="C433" s="24" t="s">
        <v>1304</v>
      </c>
      <c r="D433" s="23">
        <v>24252</v>
      </c>
    </row>
    <row r="434" spans="1:4" x14ac:dyDescent="0.3">
      <c r="A434" s="30">
        <v>38729</v>
      </c>
      <c r="B434" s="20" t="s">
        <v>1754</v>
      </c>
      <c r="C434" s="24" t="s">
        <v>1282</v>
      </c>
      <c r="D434" s="23">
        <v>37262</v>
      </c>
    </row>
    <row r="435" spans="1:4" x14ac:dyDescent="0.3">
      <c r="A435" s="30">
        <v>39094</v>
      </c>
      <c r="B435" s="20" t="s">
        <v>1755</v>
      </c>
      <c r="C435" s="24" t="s">
        <v>1282</v>
      </c>
      <c r="D435" s="23">
        <v>36795</v>
      </c>
    </row>
    <row r="436" spans="1:4" x14ac:dyDescent="0.3">
      <c r="A436" s="30">
        <v>39459</v>
      </c>
      <c r="B436" s="20" t="s">
        <v>1756</v>
      </c>
      <c r="C436" s="24" t="s">
        <v>1282</v>
      </c>
      <c r="D436" s="23">
        <v>36795</v>
      </c>
    </row>
    <row r="437" spans="1:4" x14ac:dyDescent="0.3">
      <c r="A437" s="30">
        <v>39825</v>
      </c>
      <c r="B437" s="20" t="s">
        <v>1757</v>
      </c>
      <c r="C437" s="24" t="s">
        <v>1282</v>
      </c>
      <c r="D437" s="23">
        <v>28827</v>
      </c>
    </row>
    <row r="438" spans="1:4" x14ac:dyDescent="0.3">
      <c r="A438" s="30">
        <v>40190</v>
      </c>
      <c r="B438" s="20" t="s">
        <v>1758</v>
      </c>
      <c r="C438" s="24" t="s">
        <v>1282</v>
      </c>
      <c r="D438" s="23">
        <v>426523</v>
      </c>
    </row>
    <row r="439" spans="1:4" x14ac:dyDescent="0.3">
      <c r="A439" s="30">
        <v>40555</v>
      </c>
      <c r="B439" s="20" t="s">
        <v>1759</v>
      </c>
      <c r="C439" s="24" t="s">
        <v>1282</v>
      </c>
      <c r="D439" s="23">
        <v>237814</v>
      </c>
    </row>
    <row r="440" spans="1:4" ht="14.4" customHeight="1" x14ac:dyDescent="0.3">
      <c r="A440" s="26">
        <v>40920</v>
      </c>
      <c r="B440" s="27" t="s">
        <v>1760</v>
      </c>
      <c r="C440" s="32" t="s">
        <v>1282</v>
      </c>
      <c r="D440" s="29">
        <v>108050</v>
      </c>
    </row>
    <row r="441" spans="1:4" x14ac:dyDescent="0.3">
      <c r="A441" s="30">
        <v>41286</v>
      </c>
      <c r="B441" s="20" t="s">
        <v>1761</v>
      </c>
      <c r="C441" s="24" t="s">
        <v>1282</v>
      </c>
      <c r="D441" s="23">
        <v>72208</v>
      </c>
    </row>
    <row r="442" spans="1:4" x14ac:dyDescent="0.3">
      <c r="A442" s="30">
        <v>41651</v>
      </c>
      <c r="B442" s="20" t="s">
        <v>1762</v>
      </c>
      <c r="C442" s="24" t="s">
        <v>1282</v>
      </c>
      <c r="D442" s="23">
        <v>57994</v>
      </c>
    </row>
    <row r="443" spans="1:4" x14ac:dyDescent="0.3">
      <c r="A443" s="30">
        <v>42016</v>
      </c>
      <c r="B443" s="20" t="s">
        <v>1763</v>
      </c>
      <c r="C443" s="24" t="s">
        <v>1282</v>
      </c>
      <c r="D443" s="23">
        <v>49090</v>
      </c>
    </row>
    <row r="444" spans="1:4" x14ac:dyDescent="0.3">
      <c r="A444" s="30">
        <v>42381</v>
      </c>
      <c r="B444" s="20" t="s">
        <v>1764</v>
      </c>
      <c r="C444" s="24" t="s">
        <v>1304</v>
      </c>
      <c r="D444" s="23">
        <v>12324</v>
      </c>
    </row>
    <row r="445" spans="1:4" x14ac:dyDescent="0.3">
      <c r="A445" s="30">
        <v>42747</v>
      </c>
      <c r="B445" s="20" t="s">
        <v>1765</v>
      </c>
      <c r="C445" s="24" t="s">
        <v>1304</v>
      </c>
      <c r="D445" s="23">
        <v>10453</v>
      </c>
    </row>
    <row r="446" spans="1:4" x14ac:dyDescent="0.3">
      <c r="A446" s="30">
        <v>43112</v>
      </c>
      <c r="B446" s="20" t="s">
        <v>1766</v>
      </c>
      <c r="C446" s="24" t="s">
        <v>1304</v>
      </c>
      <c r="D446" s="23">
        <v>10307</v>
      </c>
    </row>
    <row r="447" spans="1:4" x14ac:dyDescent="0.3">
      <c r="A447" s="30">
        <v>43477</v>
      </c>
      <c r="B447" s="20" t="s">
        <v>1767</v>
      </c>
      <c r="C447" s="24" t="s">
        <v>1282</v>
      </c>
      <c r="D447" s="23">
        <v>100884</v>
      </c>
    </row>
    <row r="448" spans="1:4" x14ac:dyDescent="0.3">
      <c r="A448" s="30">
        <v>43842</v>
      </c>
      <c r="B448" s="20" t="s">
        <v>1768</v>
      </c>
      <c r="C448" s="24" t="s">
        <v>1304</v>
      </c>
      <c r="D448" s="23">
        <v>6512</v>
      </c>
    </row>
    <row r="449" spans="1:4" x14ac:dyDescent="0.3">
      <c r="A449" s="30">
        <v>44208</v>
      </c>
      <c r="B449" s="20" t="s">
        <v>1769</v>
      </c>
      <c r="C449" s="24" t="s">
        <v>1282</v>
      </c>
      <c r="D449" s="23">
        <v>789780</v>
      </c>
    </row>
    <row r="450" spans="1:4" x14ac:dyDescent="0.3">
      <c r="A450" s="30">
        <v>44573</v>
      </c>
      <c r="B450" s="20" t="s">
        <v>1770</v>
      </c>
      <c r="C450" s="24" t="s">
        <v>1282</v>
      </c>
      <c r="D450" s="23">
        <v>374356</v>
      </c>
    </row>
    <row r="451" spans="1:4" x14ac:dyDescent="0.3">
      <c r="A451" s="30">
        <v>44938</v>
      </c>
      <c r="B451" s="20" t="s">
        <v>1771</v>
      </c>
      <c r="C451" s="24" t="s">
        <v>1282</v>
      </c>
      <c r="D451" s="23">
        <v>160034</v>
      </c>
    </row>
    <row r="452" spans="1:4" x14ac:dyDescent="0.3">
      <c r="A452" s="30">
        <v>45303</v>
      </c>
      <c r="B452" s="20" t="s">
        <v>1772</v>
      </c>
      <c r="C452" s="24" t="s">
        <v>1282</v>
      </c>
      <c r="D452" s="23">
        <v>41676</v>
      </c>
    </row>
    <row r="453" spans="1:4" x14ac:dyDescent="0.3">
      <c r="A453" s="30">
        <v>45669</v>
      </c>
      <c r="B453" s="20" t="s">
        <v>1773</v>
      </c>
      <c r="C453" s="24" t="s">
        <v>1304</v>
      </c>
      <c r="D453" s="23">
        <v>34585</v>
      </c>
    </row>
    <row r="454" spans="1:4" x14ac:dyDescent="0.3">
      <c r="A454" s="30">
        <v>46034</v>
      </c>
      <c r="B454" s="20" t="s">
        <v>1774</v>
      </c>
      <c r="C454" s="24" t="s">
        <v>1304</v>
      </c>
      <c r="D454" s="23">
        <v>23890</v>
      </c>
    </row>
    <row r="455" spans="1:4" x14ac:dyDescent="0.3">
      <c r="A455" s="30">
        <v>46399</v>
      </c>
      <c r="B455" s="20" t="s">
        <v>1775</v>
      </c>
      <c r="C455" s="24" t="s">
        <v>1304</v>
      </c>
      <c r="D455" s="23">
        <v>19601</v>
      </c>
    </row>
    <row r="456" spans="1:4" x14ac:dyDescent="0.3">
      <c r="A456" s="30">
        <v>46764</v>
      </c>
      <c r="B456" s="20" t="s">
        <v>1776</v>
      </c>
      <c r="C456" s="24" t="s">
        <v>1304</v>
      </c>
      <c r="D456" s="23">
        <v>13514</v>
      </c>
    </row>
    <row r="457" spans="1:4" x14ac:dyDescent="0.3">
      <c r="A457" s="30">
        <v>47130</v>
      </c>
      <c r="B457" s="20" t="s">
        <v>1777</v>
      </c>
      <c r="C457" s="24" t="s">
        <v>1304</v>
      </c>
      <c r="D457" s="23">
        <v>11132</v>
      </c>
    </row>
    <row r="458" spans="1:4" x14ac:dyDescent="0.3">
      <c r="A458" s="30">
        <v>10970</v>
      </c>
      <c r="B458" s="20" t="s">
        <v>1778</v>
      </c>
      <c r="C458" s="24" t="s">
        <v>1304</v>
      </c>
      <c r="D458" s="23">
        <v>11497</v>
      </c>
    </row>
    <row r="459" spans="1:4" x14ac:dyDescent="0.3">
      <c r="A459" s="30">
        <v>11335</v>
      </c>
      <c r="B459" s="20" t="s">
        <v>1779</v>
      </c>
      <c r="C459" s="24" t="s">
        <v>1304</v>
      </c>
      <c r="D459" s="23">
        <v>65584</v>
      </c>
    </row>
    <row r="460" spans="1:4" x14ac:dyDescent="0.3">
      <c r="A460" s="30">
        <v>11700</v>
      </c>
      <c r="B460" s="20" t="s">
        <v>1780</v>
      </c>
      <c r="C460" s="24" t="s">
        <v>1282</v>
      </c>
      <c r="D460" s="23">
        <v>255582</v>
      </c>
    </row>
    <row r="461" spans="1:4" x14ac:dyDescent="0.3">
      <c r="A461" s="30">
        <v>12066</v>
      </c>
      <c r="B461" s="31" t="s">
        <v>1781</v>
      </c>
      <c r="C461" s="24" t="s">
        <v>1282</v>
      </c>
      <c r="D461" s="23">
        <v>245888</v>
      </c>
    </row>
    <row r="462" spans="1:4" x14ac:dyDescent="0.3">
      <c r="A462" s="30">
        <v>12431</v>
      </c>
      <c r="B462" s="20" t="s">
        <v>1782</v>
      </c>
      <c r="C462" s="24" t="s">
        <v>1282</v>
      </c>
      <c r="D462" s="23">
        <v>167183</v>
      </c>
    </row>
    <row r="463" spans="1:4" x14ac:dyDescent="0.3">
      <c r="A463" s="30">
        <v>12796</v>
      </c>
      <c r="B463" s="31" t="s">
        <v>1783</v>
      </c>
      <c r="C463" s="24" t="s">
        <v>1282</v>
      </c>
      <c r="D463" s="23">
        <v>158458</v>
      </c>
    </row>
    <row r="464" spans="1:4" x14ac:dyDescent="0.3">
      <c r="A464" s="30">
        <v>13161</v>
      </c>
      <c r="B464" s="20" t="s">
        <v>1784</v>
      </c>
      <c r="C464" s="24" t="s">
        <v>1282</v>
      </c>
      <c r="D464" s="23">
        <v>122251</v>
      </c>
    </row>
    <row r="465" spans="1:4" x14ac:dyDescent="0.3">
      <c r="A465" s="30">
        <v>13527</v>
      </c>
      <c r="B465" s="20" t="s">
        <v>1785</v>
      </c>
      <c r="C465" s="24" t="s">
        <v>1282</v>
      </c>
      <c r="D465" s="23">
        <v>114980</v>
      </c>
    </row>
    <row r="466" spans="1:4" x14ac:dyDescent="0.3">
      <c r="A466" s="30">
        <v>13892</v>
      </c>
      <c r="B466" s="31" t="s">
        <v>1786</v>
      </c>
      <c r="C466" s="24" t="s">
        <v>1282</v>
      </c>
      <c r="D466" s="23">
        <v>95046</v>
      </c>
    </row>
    <row r="467" spans="1:4" x14ac:dyDescent="0.3">
      <c r="A467" s="30">
        <v>14257</v>
      </c>
      <c r="B467" s="31" t="s">
        <v>1787</v>
      </c>
      <c r="C467" s="24" t="s">
        <v>1282</v>
      </c>
      <c r="D467" s="23">
        <v>89230</v>
      </c>
    </row>
    <row r="468" spans="1:4" x14ac:dyDescent="0.3">
      <c r="A468" s="30">
        <v>14622</v>
      </c>
      <c r="B468" s="31" t="s">
        <v>1788</v>
      </c>
      <c r="C468" s="24" t="s">
        <v>1282</v>
      </c>
      <c r="D468" s="23">
        <v>89475</v>
      </c>
    </row>
    <row r="469" spans="1:4" x14ac:dyDescent="0.3">
      <c r="A469" s="30">
        <v>14988</v>
      </c>
      <c r="B469" s="31" t="s">
        <v>1789</v>
      </c>
      <c r="C469" s="24" t="s">
        <v>1282</v>
      </c>
      <c r="D469" s="23">
        <v>83659</v>
      </c>
    </row>
    <row r="470" spans="1:4" x14ac:dyDescent="0.3">
      <c r="A470" s="30">
        <v>15353</v>
      </c>
      <c r="B470" s="31" t="s">
        <v>1790</v>
      </c>
      <c r="C470" s="24" t="s">
        <v>1282</v>
      </c>
      <c r="D470" s="23">
        <v>69045</v>
      </c>
    </row>
    <row r="471" spans="1:4" x14ac:dyDescent="0.3">
      <c r="A471" s="30">
        <v>15718</v>
      </c>
      <c r="B471" s="31" t="s">
        <v>1791</v>
      </c>
      <c r="C471" s="24" t="s">
        <v>1282</v>
      </c>
      <c r="D471" s="23">
        <v>63228</v>
      </c>
    </row>
    <row r="472" spans="1:4" x14ac:dyDescent="0.3">
      <c r="A472" s="30">
        <v>16083</v>
      </c>
      <c r="B472" s="31" t="s">
        <v>1792</v>
      </c>
      <c r="C472" s="24" t="s">
        <v>1282</v>
      </c>
      <c r="D472" s="23">
        <v>61715</v>
      </c>
    </row>
    <row r="473" spans="1:4" x14ac:dyDescent="0.3">
      <c r="A473" s="30">
        <v>16449</v>
      </c>
      <c r="B473" s="31" t="s">
        <v>1793</v>
      </c>
      <c r="C473" s="24" t="s">
        <v>1282</v>
      </c>
      <c r="D473" s="23">
        <v>59776</v>
      </c>
    </row>
    <row r="474" spans="1:4" x14ac:dyDescent="0.3">
      <c r="A474" s="30">
        <v>16814</v>
      </c>
      <c r="B474" s="31" t="s">
        <v>1794</v>
      </c>
      <c r="C474" s="24" t="s">
        <v>1282</v>
      </c>
      <c r="D474" s="23">
        <v>275435</v>
      </c>
    </row>
    <row r="475" spans="1:4" x14ac:dyDescent="0.3">
      <c r="A475" s="30">
        <v>17179</v>
      </c>
      <c r="B475" s="31" t="s">
        <v>1795</v>
      </c>
      <c r="C475" s="24" t="s">
        <v>1282</v>
      </c>
      <c r="D475" s="23">
        <v>269619</v>
      </c>
    </row>
    <row r="476" spans="1:4" x14ac:dyDescent="0.3">
      <c r="A476" s="30">
        <v>17544</v>
      </c>
      <c r="B476" s="20" t="s">
        <v>1796</v>
      </c>
      <c r="C476" s="24" t="s">
        <v>1282</v>
      </c>
      <c r="D476" s="23">
        <v>306822</v>
      </c>
    </row>
    <row r="477" spans="1:4" x14ac:dyDescent="0.3">
      <c r="A477" s="30">
        <v>17910</v>
      </c>
      <c r="B477" s="20" t="s">
        <v>1797</v>
      </c>
      <c r="C477" s="24" t="s">
        <v>1282</v>
      </c>
      <c r="D477" s="23">
        <v>117959</v>
      </c>
    </row>
    <row r="478" spans="1:4" x14ac:dyDescent="0.3">
      <c r="A478" s="30">
        <v>18275</v>
      </c>
      <c r="B478" s="20" t="s">
        <v>1798</v>
      </c>
      <c r="C478" s="24" t="s">
        <v>1282</v>
      </c>
      <c r="D478" s="23">
        <v>80189</v>
      </c>
    </row>
    <row r="479" spans="1:4" x14ac:dyDescent="0.3">
      <c r="A479" s="30">
        <v>18640</v>
      </c>
      <c r="B479" s="20" t="s">
        <v>1799</v>
      </c>
      <c r="C479" s="24" t="s">
        <v>1282</v>
      </c>
      <c r="D479" s="23">
        <v>461899</v>
      </c>
    </row>
    <row r="480" spans="1:4" x14ac:dyDescent="0.3">
      <c r="A480" s="30">
        <v>19005</v>
      </c>
      <c r="B480" s="20" t="s">
        <v>1800</v>
      </c>
      <c r="C480" s="24" t="s">
        <v>1282</v>
      </c>
      <c r="D480" s="23">
        <v>427282</v>
      </c>
    </row>
    <row r="481" spans="1:4" x14ac:dyDescent="0.3">
      <c r="A481" s="30">
        <v>19371</v>
      </c>
      <c r="B481" s="20" t="s">
        <v>1801</v>
      </c>
      <c r="C481" s="24" t="s">
        <v>1282</v>
      </c>
      <c r="D481" s="23">
        <v>343993</v>
      </c>
    </row>
    <row r="482" spans="1:4" x14ac:dyDescent="0.3">
      <c r="A482" s="30">
        <v>19736</v>
      </c>
      <c r="B482" s="20" t="s">
        <v>1802</v>
      </c>
      <c r="C482" s="24" t="s">
        <v>1282</v>
      </c>
      <c r="D482" s="23">
        <v>235585</v>
      </c>
    </row>
    <row r="483" spans="1:4" x14ac:dyDescent="0.3">
      <c r="A483" s="30">
        <v>20101</v>
      </c>
      <c r="B483" s="20" t="s">
        <v>1803</v>
      </c>
      <c r="C483" s="24" t="s">
        <v>1282</v>
      </c>
      <c r="D483" s="23">
        <v>161116</v>
      </c>
    </row>
    <row r="484" spans="1:4" x14ac:dyDescent="0.3">
      <c r="A484" s="30">
        <v>20466</v>
      </c>
      <c r="B484" s="20" t="s">
        <v>1804</v>
      </c>
      <c r="C484" s="24" t="s">
        <v>1282</v>
      </c>
      <c r="D484" s="23">
        <v>33991</v>
      </c>
    </row>
    <row r="485" spans="1:4" x14ac:dyDescent="0.3">
      <c r="A485" s="30">
        <v>20832</v>
      </c>
      <c r="B485" s="20" t="s">
        <v>706</v>
      </c>
      <c r="C485" s="24" t="s">
        <v>1282</v>
      </c>
      <c r="D485" s="23">
        <v>38769</v>
      </c>
    </row>
    <row r="486" spans="1:4" x14ac:dyDescent="0.3">
      <c r="A486" s="30">
        <v>21197</v>
      </c>
      <c r="B486" s="20" t="s">
        <v>1805</v>
      </c>
      <c r="C486" s="24" t="s">
        <v>1282</v>
      </c>
      <c r="D486" s="23">
        <v>57769</v>
      </c>
    </row>
    <row r="487" spans="1:4" x14ac:dyDescent="0.3">
      <c r="A487" s="30">
        <v>25580</v>
      </c>
      <c r="B487" s="20" t="s">
        <v>1806</v>
      </c>
      <c r="C487" s="24" t="s">
        <v>1304</v>
      </c>
      <c r="D487" s="23">
        <v>17004</v>
      </c>
    </row>
    <row r="488" spans="1:4" x14ac:dyDescent="0.3">
      <c r="A488" s="30">
        <v>25945</v>
      </c>
      <c r="B488" s="20" t="s">
        <v>1807</v>
      </c>
      <c r="C488" s="24" t="s">
        <v>1304</v>
      </c>
      <c r="D488" s="23">
        <v>21414</v>
      </c>
    </row>
    <row r="489" spans="1:4" x14ac:dyDescent="0.3">
      <c r="A489" s="30">
        <v>26310</v>
      </c>
      <c r="B489" s="20" t="s">
        <v>1808</v>
      </c>
      <c r="C489" s="24" t="s">
        <v>1304</v>
      </c>
      <c r="D489" s="23">
        <v>35169</v>
      </c>
    </row>
    <row r="490" spans="1:4" x14ac:dyDescent="0.3">
      <c r="A490" s="30">
        <v>26676</v>
      </c>
      <c r="B490" s="20" t="s">
        <v>1809</v>
      </c>
      <c r="C490" s="24" t="s">
        <v>1304</v>
      </c>
      <c r="D490" s="23">
        <v>31753</v>
      </c>
    </row>
    <row r="491" spans="1:4" x14ac:dyDescent="0.3">
      <c r="A491" s="30">
        <v>27041</v>
      </c>
      <c r="B491" s="20" t="s">
        <v>1810</v>
      </c>
      <c r="C491" s="24" t="s">
        <v>1304</v>
      </c>
      <c r="D491" s="23">
        <v>45172</v>
      </c>
    </row>
    <row r="492" spans="1:4" x14ac:dyDescent="0.3">
      <c r="A492" s="30">
        <v>27406</v>
      </c>
      <c r="B492" s="20" t="s">
        <v>1811</v>
      </c>
      <c r="C492" s="24" t="s">
        <v>1304</v>
      </c>
      <c r="D492" s="23">
        <v>55878</v>
      </c>
    </row>
    <row r="493" spans="1:4" x14ac:dyDescent="0.3">
      <c r="A493" s="30">
        <v>27771</v>
      </c>
      <c r="B493" s="20" t="s">
        <v>1812</v>
      </c>
      <c r="C493" s="24" t="s">
        <v>1304</v>
      </c>
      <c r="D493" s="23">
        <v>61227</v>
      </c>
    </row>
    <row r="494" spans="1:4" x14ac:dyDescent="0.3">
      <c r="A494" s="30">
        <v>28137</v>
      </c>
      <c r="B494" s="20" t="s">
        <v>1813</v>
      </c>
      <c r="C494" s="24" t="s">
        <v>1304</v>
      </c>
      <c r="D494" s="23">
        <v>34088</v>
      </c>
    </row>
    <row r="495" spans="1:4" x14ac:dyDescent="0.3">
      <c r="A495" s="30">
        <v>28502</v>
      </c>
      <c r="B495" s="20" t="s">
        <v>1814</v>
      </c>
      <c r="C495" s="24" t="s">
        <v>1304</v>
      </c>
      <c r="D495" s="23">
        <v>44801</v>
      </c>
    </row>
    <row r="496" spans="1:4" x14ac:dyDescent="0.3">
      <c r="A496" s="30">
        <v>28867</v>
      </c>
      <c r="B496" s="20" t="s">
        <v>1815</v>
      </c>
      <c r="C496" s="24" t="s">
        <v>1304</v>
      </c>
      <c r="D496" s="23">
        <v>29334</v>
      </c>
    </row>
    <row r="497" spans="1:4" x14ac:dyDescent="0.3">
      <c r="A497" s="30">
        <v>29232</v>
      </c>
      <c r="B497" s="20" t="s">
        <v>1816</v>
      </c>
      <c r="C497" s="24" t="s">
        <v>1304</v>
      </c>
      <c r="D497" s="23">
        <v>39447</v>
      </c>
    </row>
    <row r="498" spans="1:4" x14ac:dyDescent="0.3">
      <c r="A498" s="30">
        <v>29598</v>
      </c>
      <c r="B498" s="20" t="s">
        <v>1817</v>
      </c>
      <c r="C498" s="24" t="s">
        <v>1304</v>
      </c>
      <c r="D498" s="23">
        <v>52598</v>
      </c>
    </row>
    <row r="499" spans="1:4" x14ac:dyDescent="0.3">
      <c r="A499" s="30">
        <v>29963</v>
      </c>
      <c r="B499" s="20" t="s">
        <v>1818</v>
      </c>
      <c r="C499" s="24" t="s">
        <v>1304</v>
      </c>
      <c r="D499" s="23">
        <v>98547</v>
      </c>
    </row>
    <row r="500" spans="1:4" x14ac:dyDescent="0.3">
      <c r="A500" s="30">
        <v>30328</v>
      </c>
      <c r="B500" s="20" t="s">
        <v>1819</v>
      </c>
      <c r="C500" s="24" t="s">
        <v>1282</v>
      </c>
      <c r="D500" s="23">
        <v>114443</v>
      </c>
    </row>
    <row r="501" spans="1:4" x14ac:dyDescent="0.3">
      <c r="A501" s="30">
        <v>30693</v>
      </c>
      <c r="B501" s="20" t="s">
        <v>1820</v>
      </c>
      <c r="C501" s="24" t="s">
        <v>1282</v>
      </c>
      <c r="D501" s="23">
        <v>112504</v>
      </c>
    </row>
    <row r="502" spans="1:4" x14ac:dyDescent="0.3">
      <c r="A502" s="30">
        <v>31059</v>
      </c>
      <c r="B502" s="20" t="s">
        <v>1821</v>
      </c>
      <c r="C502" s="24" t="s">
        <v>1282</v>
      </c>
      <c r="D502" s="23">
        <v>169929</v>
      </c>
    </row>
    <row r="503" spans="1:4" x14ac:dyDescent="0.3">
      <c r="A503" s="25" t="s">
        <v>1822</v>
      </c>
      <c r="B503" s="25"/>
      <c r="C503" s="25"/>
      <c r="D503" s="25"/>
    </row>
    <row r="504" spans="1:4" x14ac:dyDescent="0.3">
      <c r="A504" s="25" t="s">
        <v>1823</v>
      </c>
      <c r="B504" s="25"/>
      <c r="C504" s="25"/>
      <c r="D504" s="25"/>
    </row>
    <row r="505" spans="1:4" x14ac:dyDescent="0.3">
      <c r="A505" s="30">
        <v>36923</v>
      </c>
      <c r="B505" s="31" t="s">
        <v>1824</v>
      </c>
      <c r="C505" s="24" t="s">
        <v>1304</v>
      </c>
      <c r="D505" s="23">
        <v>4711</v>
      </c>
    </row>
    <row r="506" spans="1:4" x14ac:dyDescent="0.3">
      <c r="A506" s="30">
        <v>37288</v>
      </c>
      <c r="B506" s="20" t="s">
        <v>1825</v>
      </c>
      <c r="C506" s="22" t="s">
        <v>1284</v>
      </c>
      <c r="D506" s="23">
        <v>10365</v>
      </c>
    </row>
    <row r="507" spans="1:4" x14ac:dyDescent="0.3">
      <c r="A507" s="30">
        <v>37653</v>
      </c>
      <c r="B507" s="31" t="s">
        <v>1826</v>
      </c>
      <c r="C507" s="24" t="s">
        <v>1312</v>
      </c>
      <c r="D507" s="23">
        <v>1500293</v>
      </c>
    </row>
    <row r="508" spans="1:4" x14ac:dyDescent="0.3">
      <c r="A508" s="30">
        <v>38018</v>
      </c>
      <c r="B508" s="31" t="s">
        <v>1827</v>
      </c>
      <c r="C508" s="24" t="s">
        <v>1312</v>
      </c>
      <c r="D508" s="23">
        <v>1006181</v>
      </c>
    </row>
    <row r="509" spans="1:4" x14ac:dyDescent="0.3">
      <c r="A509" s="30">
        <v>38384</v>
      </c>
      <c r="B509" s="20" t="s">
        <v>1828</v>
      </c>
      <c r="C509" s="24" t="s">
        <v>1315</v>
      </c>
      <c r="D509" s="23">
        <v>2760327</v>
      </c>
    </row>
    <row r="510" spans="1:4" x14ac:dyDescent="0.3">
      <c r="A510" s="30">
        <v>38749</v>
      </c>
      <c r="B510" s="20" t="s">
        <v>1829</v>
      </c>
      <c r="C510" s="24" t="s">
        <v>1315</v>
      </c>
      <c r="D510" s="23">
        <v>112768</v>
      </c>
    </row>
    <row r="511" spans="1:4" x14ac:dyDescent="0.3">
      <c r="A511" s="30">
        <v>39114</v>
      </c>
      <c r="B511" s="20" t="s">
        <v>1830</v>
      </c>
      <c r="C511" s="24" t="s">
        <v>1304</v>
      </c>
      <c r="D511" s="23">
        <v>6160</v>
      </c>
    </row>
    <row r="512" spans="1:4" x14ac:dyDescent="0.3">
      <c r="A512" s="30">
        <v>39479</v>
      </c>
      <c r="B512" s="20" t="s">
        <v>1831</v>
      </c>
      <c r="C512" s="24" t="s">
        <v>1304</v>
      </c>
      <c r="D512" s="23">
        <v>4337</v>
      </c>
    </row>
    <row r="513" spans="1:4" x14ac:dyDescent="0.3">
      <c r="A513" s="30">
        <v>39845</v>
      </c>
      <c r="B513" s="20" t="s">
        <v>1832</v>
      </c>
      <c r="C513" s="24" t="s">
        <v>1282</v>
      </c>
      <c r="D513" s="23">
        <v>131219</v>
      </c>
    </row>
    <row r="514" spans="1:4" x14ac:dyDescent="0.3">
      <c r="A514" s="30">
        <v>40210</v>
      </c>
      <c r="B514" s="20" t="s">
        <v>1833</v>
      </c>
      <c r="C514" s="24" t="s">
        <v>1304</v>
      </c>
      <c r="D514" s="23">
        <v>156212</v>
      </c>
    </row>
    <row r="515" spans="1:4" x14ac:dyDescent="0.3">
      <c r="A515" s="30">
        <v>40575</v>
      </c>
      <c r="B515" s="20" t="s">
        <v>1834</v>
      </c>
      <c r="C515" s="24" t="s">
        <v>1304</v>
      </c>
      <c r="D515" s="23">
        <v>4831</v>
      </c>
    </row>
    <row r="516" spans="1:4" x14ac:dyDescent="0.3">
      <c r="A516" s="30">
        <v>40940</v>
      </c>
      <c r="B516" s="20" t="s">
        <v>1835</v>
      </c>
      <c r="C516" s="24" t="s">
        <v>1282</v>
      </c>
      <c r="D516" s="23">
        <v>116079</v>
      </c>
    </row>
    <row r="517" spans="1:4" ht="14.4" customHeight="1" x14ac:dyDescent="0.3">
      <c r="A517" s="26">
        <v>41306</v>
      </c>
      <c r="B517" s="27" t="s">
        <v>1836</v>
      </c>
      <c r="C517" s="28" t="s">
        <v>35</v>
      </c>
      <c r="D517" s="29">
        <v>6460</v>
      </c>
    </row>
    <row r="518" spans="1:4" ht="14.4" customHeight="1" x14ac:dyDescent="0.3">
      <c r="A518" s="26">
        <v>41671</v>
      </c>
      <c r="B518" s="27" t="s">
        <v>1837</v>
      </c>
      <c r="C518" s="28" t="s">
        <v>35</v>
      </c>
      <c r="D518" s="29">
        <v>12016</v>
      </c>
    </row>
    <row r="519" spans="1:4" x14ac:dyDescent="0.3">
      <c r="A519" s="30">
        <v>42036</v>
      </c>
      <c r="B519" s="20" t="s">
        <v>1838</v>
      </c>
      <c r="C519" s="22" t="s">
        <v>1284</v>
      </c>
      <c r="D519" s="23">
        <v>35616</v>
      </c>
    </row>
    <row r="520" spans="1:4" x14ac:dyDescent="0.3">
      <c r="A520" s="30">
        <v>42401</v>
      </c>
      <c r="B520" s="31" t="s">
        <v>1839</v>
      </c>
      <c r="C520" s="24" t="s">
        <v>1282</v>
      </c>
      <c r="D520" s="23">
        <v>115357</v>
      </c>
    </row>
    <row r="521" spans="1:4" x14ac:dyDescent="0.3">
      <c r="A521" s="30">
        <v>42767</v>
      </c>
      <c r="B521" s="20" t="s">
        <v>1840</v>
      </c>
      <c r="C521" s="24" t="s">
        <v>1304</v>
      </c>
      <c r="D521" s="23">
        <v>3461</v>
      </c>
    </row>
    <row r="522" spans="1:4" x14ac:dyDescent="0.3">
      <c r="A522" s="30">
        <v>43132</v>
      </c>
      <c r="B522" s="20" t="s">
        <v>1397</v>
      </c>
      <c r="C522" s="24" t="s">
        <v>1304</v>
      </c>
      <c r="D522" s="23">
        <v>8201</v>
      </c>
    </row>
    <row r="523" spans="1:4" x14ac:dyDescent="0.3">
      <c r="A523" s="30">
        <v>43497</v>
      </c>
      <c r="B523" s="20" t="s">
        <v>1841</v>
      </c>
      <c r="C523" s="24" t="s">
        <v>1304</v>
      </c>
      <c r="D523" s="23">
        <v>52583</v>
      </c>
    </row>
    <row r="524" spans="1:4" x14ac:dyDescent="0.3">
      <c r="A524" s="30">
        <v>43862</v>
      </c>
      <c r="B524" s="20" t="s">
        <v>1842</v>
      </c>
      <c r="C524" s="22" t="s">
        <v>35</v>
      </c>
      <c r="D524" s="23">
        <v>3918</v>
      </c>
    </row>
    <row r="525" spans="1:4" x14ac:dyDescent="0.3">
      <c r="A525" s="30">
        <v>44228</v>
      </c>
      <c r="B525" s="20" t="s">
        <v>1843</v>
      </c>
      <c r="C525" s="22" t="s">
        <v>1284</v>
      </c>
      <c r="D525" s="23">
        <v>23071</v>
      </c>
    </row>
    <row r="526" spans="1:4" x14ac:dyDescent="0.3">
      <c r="A526" s="25" t="s">
        <v>1844</v>
      </c>
      <c r="B526" s="25"/>
      <c r="C526" s="25"/>
      <c r="D526" s="25"/>
    </row>
    <row r="527" spans="1:4" x14ac:dyDescent="0.3">
      <c r="A527" s="30">
        <v>36924</v>
      </c>
      <c r="B527" s="20" t="s">
        <v>1845</v>
      </c>
      <c r="C527" s="22" t="s">
        <v>1284</v>
      </c>
      <c r="D527" s="23">
        <v>14784</v>
      </c>
    </row>
    <row r="528" spans="1:4" x14ac:dyDescent="0.3">
      <c r="A528" s="30">
        <v>37289</v>
      </c>
      <c r="B528" s="20" t="s">
        <v>1846</v>
      </c>
      <c r="C528" s="22" t="s">
        <v>1284</v>
      </c>
      <c r="D528" s="23">
        <v>12254</v>
      </c>
    </row>
    <row r="529" spans="1:4" x14ac:dyDescent="0.3">
      <c r="A529" s="30">
        <v>37654</v>
      </c>
      <c r="B529" s="20" t="s">
        <v>1847</v>
      </c>
      <c r="C529" s="22" t="s">
        <v>1284</v>
      </c>
      <c r="D529" s="23">
        <v>19028</v>
      </c>
    </row>
    <row r="530" spans="1:4" x14ac:dyDescent="0.3">
      <c r="A530" s="30">
        <v>38019</v>
      </c>
      <c r="B530" s="20" t="s">
        <v>1848</v>
      </c>
      <c r="C530" s="22" t="s">
        <v>1284</v>
      </c>
      <c r="D530" s="23">
        <v>34590</v>
      </c>
    </row>
    <row r="531" spans="1:4" x14ac:dyDescent="0.3">
      <c r="A531" s="30">
        <v>38385</v>
      </c>
      <c r="B531" s="20" t="s">
        <v>1849</v>
      </c>
      <c r="C531" s="22" t="s">
        <v>1284</v>
      </c>
      <c r="D531" s="23">
        <v>18351</v>
      </c>
    </row>
    <row r="532" spans="1:4" x14ac:dyDescent="0.3">
      <c r="A532" s="30">
        <v>38750</v>
      </c>
      <c r="B532" s="20" t="s">
        <v>1850</v>
      </c>
      <c r="C532" s="22" t="s">
        <v>1284</v>
      </c>
      <c r="D532" s="23">
        <v>69631</v>
      </c>
    </row>
    <row r="533" spans="1:4" x14ac:dyDescent="0.3">
      <c r="A533" s="30">
        <v>39115</v>
      </c>
      <c r="B533" s="20" t="s">
        <v>1851</v>
      </c>
      <c r="C533" s="22" t="s">
        <v>1284</v>
      </c>
      <c r="D533" s="23">
        <v>136344</v>
      </c>
    </row>
    <row r="534" spans="1:4" x14ac:dyDescent="0.3">
      <c r="A534" s="30">
        <v>39480</v>
      </c>
      <c r="B534" s="20" t="s">
        <v>1852</v>
      </c>
      <c r="C534" s="22" t="s">
        <v>1284</v>
      </c>
      <c r="D534" s="23">
        <v>151610</v>
      </c>
    </row>
    <row r="535" spans="1:4" x14ac:dyDescent="0.3">
      <c r="A535" s="30">
        <v>39846</v>
      </c>
      <c r="B535" s="20" t="s">
        <v>1853</v>
      </c>
      <c r="C535" s="22" t="s">
        <v>1284</v>
      </c>
      <c r="D535" s="23">
        <v>98577</v>
      </c>
    </row>
    <row r="536" spans="1:4" x14ac:dyDescent="0.3">
      <c r="A536" s="30">
        <v>40211</v>
      </c>
      <c r="B536" s="20" t="s">
        <v>1854</v>
      </c>
      <c r="C536" s="22" t="s">
        <v>35</v>
      </c>
      <c r="D536" s="23">
        <v>25563</v>
      </c>
    </row>
    <row r="537" spans="1:4" x14ac:dyDescent="0.3">
      <c r="A537" s="30">
        <v>40576</v>
      </c>
      <c r="B537" s="31" t="s">
        <v>1855</v>
      </c>
      <c r="C537" s="22" t="s">
        <v>35</v>
      </c>
      <c r="D537" s="23">
        <v>75846</v>
      </c>
    </row>
    <row r="538" spans="1:4" x14ac:dyDescent="0.3">
      <c r="A538" s="30">
        <v>41307</v>
      </c>
      <c r="B538" s="31" t="s">
        <v>1856</v>
      </c>
      <c r="C538" s="22" t="s">
        <v>1284</v>
      </c>
      <c r="D538" s="23">
        <v>27181</v>
      </c>
    </row>
    <row r="539" spans="1:4" x14ac:dyDescent="0.3">
      <c r="A539" s="25" t="s">
        <v>1857</v>
      </c>
      <c r="B539" s="25"/>
      <c r="C539" s="25"/>
      <c r="D539" s="25"/>
    </row>
    <row r="540" spans="1:4" x14ac:dyDescent="0.3">
      <c r="A540" s="30">
        <v>36925</v>
      </c>
      <c r="B540" s="20" t="s">
        <v>1858</v>
      </c>
      <c r="C540" s="22" t="s">
        <v>1284</v>
      </c>
      <c r="D540" s="23">
        <v>183508</v>
      </c>
    </row>
    <row r="541" spans="1:4" ht="14.4" customHeight="1" x14ac:dyDescent="0.3">
      <c r="A541" s="26">
        <v>37290</v>
      </c>
      <c r="B541" s="27" t="s">
        <v>1859</v>
      </c>
      <c r="C541" s="28" t="s">
        <v>1284</v>
      </c>
      <c r="D541" s="29">
        <v>108850</v>
      </c>
    </row>
    <row r="542" spans="1:4" x14ac:dyDescent="0.3">
      <c r="A542" s="30">
        <v>37655</v>
      </c>
      <c r="B542" s="20" t="s">
        <v>1860</v>
      </c>
      <c r="C542" s="22" t="s">
        <v>1284</v>
      </c>
      <c r="D542" s="23">
        <v>111864</v>
      </c>
    </row>
    <row r="543" spans="1:4" x14ac:dyDescent="0.3">
      <c r="A543" s="30">
        <v>38020</v>
      </c>
      <c r="B543" s="20" t="s">
        <v>1861</v>
      </c>
      <c r="C543" s="22" t="s">
        <v>1284</v>
      </c>
      <c r="D543" s="23">
        <v>60789</v>
      </c>
    </row>
    <row r="544" spans="1:4" x14ac:dyDescent="0.3">
      <c r="A544" s="30">
        <v>38386</v>
      </c>
      <c r="B544" s="31" t="s">
        <v>1862</v>
      </c>
      <c r="C544" s="22" t="s">
        <v>1284</v>
      </c>
      <c r="D544" s="23">
        <v>63039</v>
      </c>
    </row>
    <row r="545" spans="1:4" x14ac:dyDescent="0.3">
      <c r="A545" s="30">
        <v>38751</v>
      </c>
      <c r="B545" s="20" t="s">
        <v>1863</v>
      </c>
      <c r="C545" s="22" t="s">
        <v>35</v>
      </c>
      <c r="D545" s="23">
        <v>23885</v>
      </c>
    </row>
    <row r="546" spans="1:4" x14ac:dyDescent="0.3">
      <c r="A546" s="30">
        <v>39116</v>
      </c>
      <c r="B546" s="20" t="s">
        <v>1864</v>
      </c>
      <c r="C546" s="24" t="s">
        <v>1312</v>
      </c>
      <c r="D546" s="23">
        <v>2344197</v>
      </c>
    </row>
    <row r="547" spans="1:4" x14ac:dyDescent="0.3">
      <c r="A547" s="25" t="s">
        <v>1865</v>
      </c>
      <c r="B547" s="25"/>
      <c r="C547" s="25"/>
      <c r="D547" s="25"/>
    </row>
    <row r="548" spans="1:4" x14ac:dyDescent="0.3">
      <c r="A548" s="30">
        <v>36926</v>
      </c>
      <c r="B548" s="20" t="s">
        <v>1866</v>
      </c>
      <c r="C548" s="22" t="s">
        <v>35</v>
      </c>
      <c r="D548" s="23">
        <v>78772</v>
      </c>
    </row>
    <row r="549" spans="1:4" x14ac:dyDescent="0.3">
      <c r="A549" s="30">
        <v>37291</v>
      </c>
      <c r="B549" s="20" t="s">
        <v>1867</v>
      </c>
      <c r="C549" s="22" t="s">
        <v>1284</v>
      </c>
      <c r="D549" s="23">
        <v>887670</v>
      </c>
    </row>
    <row r="550" spans="1:4" x14ac:dyDescent="0.3">
      <c r="A550" s="30">
        <v>37656</v>
      </c>
      <c r="B550" s="20" t="s">
        <v>1868</v>
      </c>
      <c r="C550" s="22" t="s">
        <v>1284</v>
      </c>
      <c r="D550" s="23">
        <v>904565</v>
      </c>
    </row>
    <row r="551" spans="1:4" x14ac:dyDescent="0.3">
      <c r="A551" s="30">
        <v>38021</v>
      </c>
      <c r="B551" s="20" t="s">
        <v>1869</v>
      </c>
      <c r="C551" s="22" t="s">
        <v>1284</v>
      </c>
      <c r="D551" s="23">
        <v>964107</v>
      </c>
    </row>
    <row r="552" spans="1:4" x14ac:dyDescent="0.3">
      <c r="A552" s="30">
        <v>38387</v>
      </c>
      <c r="B552" s="20" t="s">
        <v>1870</v>
      </c>
      <c r="C552" s="22" t="s">
        <v>35</v>
      </c>
      <c r="D552" s="23">
        <v>101420</v>
      </c>
    </row>
    <row r="553" spans="1:4" x14ac:dyDescent="0.3">
      <c r="A553" s="30">
        <v>38752</v>
      </c>
      <c r="B553" s="20" t="s">
        <v>1871</v>
      </c>
      <c r="C553" s="22" t="s">
        <v>35</v>
      </c>
      <c r="D553" s="23">
        <v>9061</v>
      </c>
    </row>
    <row r="554" spans="1:4" x14ac:dyDescent="0.3">
      <c r="A554" s="30">
        <v>39117</v>
      </c>
      <c r="B554" s="20" t="s">
        <v>1872</v>
      </c>
      <c r="C554" s="22" t="s">
        <v>35</v>
      </c>
      <c r="D554" s="23">
        <v>2673</v>
      </c>
    </row>
    <row r="555" spans="1:4" x14ac:dyDescent="0.3">
      <c r="A555" s="30">
        <v>39482</v>
      </c>
      <c r="B555" s="20" t="s">
        <v>1873</v>
      </c>
      <c r="C555" s="22" t="s">
        <v>35</v>
      </c>
      <c r="D555" s="23">
        <v>1502</v>
      </c>
    </row>
    <row r="556" spans="1:4" ht="14.4" customHeight="1" x14ac:dyDescent="0.3">
      <c r="A556" s="14" t="s">
        <v>1874</v>
      </c>
      <c r="B556" s="15"/>
      <c r="C556" s="15"/>
      <c r="D556" s="16"/>
    </row>
    <row r="557" spans="1:4" x14ac:dyDescent="0.3">
      <c r="A557" s="30">
        <v>36927</v>
      </c>
      <c r="B557" s="31" t="s">
        <v>1875</v>
      </c>
      <c r="C557" s="22" t="s">
        <v>35</v>
      </c>
      <c r="D557" s="23">
        <v>121565</v>
      </c>
    </row>
    <row r="558" spans="1:4" x14ac:dyDescent="0.3">
      <c r="A558" s="30">
        <v>37292</v>
      </c>
      <c r="B558" s="31" t="s">
        <v>1876</v>
      </c>
      <c r="C558" s="22" t="s">
        <v>35</v>
      </c>
      <c r="D558" s="23">
        <v>134379</v>
      </c>
    </row>
    <row r="559" spans="1:4" x14ac:dyDescent="0.3">
      <c r="A559" s="30">
        <v>37657</v>
      </c>
      <c r="B559" s="31" t="s">
        <v>1877</v>
      </c>
      <c r="C559" s="22" t="s">
        <v>35</v>
      </c>
      <c r="D559" s="23">
        <v>137847</v>
      </c>
    </row>
    <row r="560" spans="1:4" x14ac:dyDescent="0.3">
      <c r="A560" s="30">
        <v>38022</v>
      </c>
      <c r="B560" s="31" t="s">
        <v>1878</v>
      </c>
      <c r="C560" s="22" t="s">
        <v>35</v>
      </c>
      <c r="D560" s="23">
        <v>160175</v>
      </c>
    </row>
    <row r="561" spans="1:4" x14ac:dyDescent="0.3">
      <c r="A561" s="30">
        <v>38388</v>
      </c>
      <c r="B561" s="31" t="s">
        <v>1879</v>
      </c>
      <c r="C561" s="22" t="s">
        <v>35</v>
      </c>
      <c r="D561" s="23">
        <v>126470</v>
      </c>
    </row>
    <row r="562" spans="1:4" x14ac:dyDescent="0.3">
      <c r="A562" s="30">
        <v>38753</v>
      </c>
      <c r="B562" s="31" t="s">
        <v>1880</v>
      </c>
      <c r="C562" s="22" t="s">
        <v>35</v>
      </c>
      <c r="D562" s="23">
        <v>130997</v>
      </c>
    </row>
    <row r="563" spans="1:4" x14ac:dyDescent="0.3">
      <c r="A563" s="30">
        <v>39118</v>
      </c>
      <c r="B563" s="31" t="s">
        <v>1881</v>
      </c>
      <c r="C563" s="22" t="s">
        <v>35</v>
      </c>
      <c r="D563" s="23">
        <v>127729</v>
      </c>
    </row>
    <row r="564" spans="1:4" x14ac:dyDescent="0.3">
      <c r="A564" s="30">
        <v>39483</v>
      </c>
      <c r="B564" s="31" t="s">
        <v>1882</v>
      </c>
      <c r="C564" s="22" t="s">
        <v>35</v>
      </c>
      <c r="D564" s="23">
        <v>137785</v>
      </c>
    </row>
    <row r="565" spans="1:4" ht="14.4" customHeight="1" x14ac:dyDescent="0.3">
      <c r="A565" s="26">
        <v>39849</v>
      </c>
      <c r="B565" s="33" t="s">
        <v>1883</v>
      </c>
      <c r="C565" s="28" t="s">
        <v>35</v>
      </c>
      <c r="D565" s="29">
        <v>152335</v>
      </c>
    </row>
    <row r="566" spans="1:4" x14ac:dyDescent="0.3">
      <c r="A566" s="30">
        <v>40214</v>
      </c>
      <c r="B566" s="20" t="s">
        <v>1884</v>
      </c>
      <c r="C566" s="24" t="s">
        <v>1304</v>
      </c>
      <c r="D566" s="23">
        <v>6065</v>
      </c>
    </row>
    <row r="567" spans="1:4" x14ac:dyDescent="0.3">
      <c r="A567" s="30">
        <v>40579</v>
      </c>
      <c r="B567" s="31" t="s">
        <v>1885</v>
      </c>
      <c r="C567" s="24" t="s">
        <v>1304</v>
      </c>
      <c r="D567" s="23">
        <v>13070</v>
      </c>
    </row>
    <row r="568" spans="1:4" x14ac:dyDescent="0.3">
      <c r="A568" s="30">
        <v>40944</v>
      </c>
      <c r="B568" s="31" t="s">
        <v>1886</v>
      </c>
      <c r="C568" s="22" t="s">
        <v>35</v>
      </c>
      <c r="D568" s="23">
        <v>138160</v>
      </c>
    </row>
    <row r="569" spans="1:4" x14ac:dyDescent="0.3">
      <c r="A569" s="30">
        <v>41310</v>
      </c>
      <c r="B569" s="20" t="s">
        <v>1887</v>
      </c>
      <c r="C569" s="22" t="s">
        <v>35</v>
      </c>
      <c r="D569" s="23">
        <v>73316</v>
      </c>
    </row>
    <row r="570" spans="1:4" x14ac:dyDescent="0.3">
      <c r="A570" s="30">
        <v>41675</v>
      </c>
      <c r="B570" s="31" t="s">
        <v>1888</v>
      </c>
      <c r="C570" s="24" t="s">
        <v>1304</v>
      </c>
      <c r="D570" s="23">
        <v>79717</v>
      </c>
    </row>
    <row r="571" spans="1:4" x14ac:dyDescent="0.3">
      <c r="A571" s="30">
        <v>42040</v>
      </c>
      <c r="B571" s="20" t="s">
        <v>1545</v>
      </c>
      <c r="C571" s="22" t="s">
        <v>35</v>
      </c>
      <c r="D571" s="23">
        <v>101188</v>
      </c>
    </row>
    <row r="572" spans="1:4" x14ac:dyDescent="0.3">
      <c r="A572" s="30">
        <v>42405</v>
      </c>
      <c r="B572" s="20" t="s">
        <v>1546</v>
      </c>
      <c r="C572" s="22" t="s">
        <v>35</v>
      </c>
      <c r="D572" s="23">
        <v>98438</v>
      </c>
    </row>
    <row r="573" spans="1:4" x14ac:dyDescent="0.3">
      <c r="A573" s="30">
        <v>42771</v>
      </c>
      <c r="B573" s="20" t="s">
        <v>1889</v>
      </c>
      <c r="C573" s="22" t="s">
        <v>35</v>
      </c>
      <c r="D573" s="23">
        <v>61651</v>
      </c>
    </row>
    <row r="574" spans="1:4" x14ac:dyDescent="0.3">
      <c r="A574" s="30">
        <v>43136</v>
      </c>
      <c r="B574" s="20" t="s">
        <v>1484</v>
      </c>
      <c r="C574" s="22" t="s">
        <v>35</v>
      </c>
      <c r="D574" s="23">
        <v>73864</v>
      </c>
    </row>
    <row r="575" spans="1:4" ht="14.4" customHeight="1" x14ac:dyDescent="0.3">
      <c r="A575" s="26">
        <v>43501</v>
      </c>
      <c r="B575" s="33" t="s">
        <v>1890</v>
      </c>
      <c r="C575" s="32" t="s">
        <v>1304</v>
      </c>
      <c r="D575" s="29">
        <v>50796</v>
      </c>
    </row>
    <row r="576" spans="1:4" x14ac:dyDescent="0.3">
      <c r="A576" s="30">
        <v>43866</v>
      </c>
      <c r="B576" s="31" t="s">
        <v>1891</v>
      </c>
      <c r="C576" s="24" t="s">
        <v>1304</v>
      </c>
      <c r="D576" s="23">
        <v>47137</v>
      </c>
    </row>
    <row r="577" spans="1:4" x14ac:dyDescent="0.3">
      <c r="A577" s="30">
        <v>44232</v>
      </c>
      <c r="B577" s="20" t="s">
        <v>1892</v>
      </c>
      <c r="C577" s="24" t="s">
        <v>1304</v>
      </c>
      <c r="D577" s="23">
        <v>65040</v>
      </c>
    </row>
    <row r="578" spans="1:4" x14ac:dyDescent="0.3">
      <c r="A578" s="30">
        <v>44597</v>
      </c>
      <c r="B578" s="31" t="s">
        <v>1893</v>
      </c>
      <c r="C578" s="24" t="s">
        <v>1304</v>
      </c>
      <c r="D578" s="23">
        <v>86823</v>
      </c>
    </row>
    <row r="579" spans="1:4" x14ac:dyDescent="0.3">
      <c r="A579" s="30">
        <v>44962</v>
      </c>
      <c r="B579" s="20" t="s">
        <v>1894</v>
      </c>
      <c r="C579" s="24" t="s">
        <v>1304</v>
      </c>
      <c r="D579" s="23">
        <v>54274</v>
      </c>
    </row>
    <row r="580" spans="1:4" x14ac:dyDescent="0.3">
      <c r="A580" s="25" t="s">
        <v>1895</v>
      </c>
      <c r="B580" s="25"/>
      <c r="C580" s="25"/>
      <c r="D580" s="25"/>
    </row>
    <row r="581" spans="1:4" x14ac:dyDescent="0.3">
      <c r="A581" s="30">
        <v>36928</v>
      </c>
      <c r="B581" s="31" t="s">
        <v>1896</v>
      </c>
      <c r="C581" s="22" t="s">
        <v>1284</v>
      </c>
      <c r="D581" s="23">
        <v>805163</v>
      </c>
    </row>
    <row r="582" spans="1:4" x14ac:dyDescent="0.3">
      <c r="A582" s="30">
        <v>37293</v>
      </c>
      <c r="B582" s="31" t="s">
        <v>1897</v>
      </c>
      <c r="C582" s="22" t="s">
        <v>1284</v>
      </c>
      <c r="D582" s="23">
        <v>882963</v>
      </c>
    </row>
    <row r="583" spans="1:4" x14ac:dyDescent="0.3">
      <c r="A583" s="30">
        <v>37658</v>
      </c>
      <c r="B583" s="20" t="s">
        <v>1320</v>
      </c>
      <c r="C583" s="22" t="s">
        <v>1284</v>
      </c>
      <c r="D583" s="23">
        <v>482158</v>
      </c>
    </row>
    <row r="584" spans="1:4" x14ac:dyDescent="0.3">
      <c r="A584" s="30">
        <v>38023</v>
      </c>
      <c r="B584" s="20" t="s">
        <v>1898</v>
      </c>
      <c r="C584" s="22" t="s">
        <v>1284</v>
      </c>
      <c r="D584" s="23">
        <v>421434</v>
      </c>
    </row>
    <row r="585" spans="1:4" x14ac:dyDescent="0.3">
      <c r="A585" s="30">
        <v>38389</v>
      </c>
      <c r="B585" s="31" t="s">
        <v>1899</v>
      </c>
      <c r="C585" s="22" t="s">
        <v>1284</v>
      </c>
      <c r="D585" s="23">
        <v>226221</v>
      </c>
    </row>
    <row r="586" spans="1:4" x14ac:dyDescent="0.3">
      <c r="A586" s="30">
        <v>38754</v>
      </c>
      <c r="B586" s="31" t="s">
        <v>1900</v>
      </c>
      <c r="C586" s="22" t="s">
        <v>1284</v>
      </c>
      <c r="D586" s="23">
        <v>160706</v>
      </c>
    </row>
    <row r="587" spans="1:4" x14ac:dyDescent="0.3">
      <c r="A587" s="30">
        <v>39119</v>
      </c>
      <c r="B587" s="31" t="s">
        <v>1901</v>
      </c>
      <c r="C587" s="22" t="s">
        <v>1284</v>
      </c>
      <c r="D587" s="23">
        <v>193987</v>
      </c>
    </row>
    <row r="588" spans="1:4" x14ac:dyDescent="0.3">
      <c r="A588" s="30">
        <v>39484</v>
      </c>
      <c r="B588" s="31" t="s">
        <v>1902</v>
      </c>
      <c r="C588" s="24" t="s">
        <v>1282</v>
      </c>
      <c r="D588" s="23">
        <v>449551</v>
      </c>
    </row>
    <row r="589" spans="1:4" x14ac:dyDescent="0.3">
      <c r="A589" s="30">
        <v>39850</v>
      </c>
      <c r="B589" s="31" t="s">
        <v>1903</v>
      </c>
      <c r="C589" s="24" t="s">
        <v>1304</v>
      </c>
      <c r="D589" s="23">
        <v>590351</v>
      </c>
    </row>
    <row r="590" spans="1:4" x14ac:dyDescent="0.3">
      <c r="A590" s="30">
        <v>40215</v>
      </c>
      <c r="B590" s="31" t="s">
        <v>1904</v>
      </c>
      <c r="C590" s="24" t="s">
        <v>1282</v>
      </c>
      <c r="D590" s="23">
        <v>459466</v>
      </c>
    </row>
    <row r="591" spans="1:4" x14ac:dyDescent="0.3">
      <c r="A591" s="30">
        <v>40580</v>
      </c>
      <c r="B591" s="20" t="s">
        <v>1905</v>
      </c>
      <c r="C591" s="24" t="s">
        <v>1282</v>
      </c>
      <c r="D591" s="23">
        <v>1144078</v>
      </c>
    </row>
    <row r="592" spans="1:4" x14ac:dyDescent="0.3">
      <c r="A592" s="30">
        <v>40945</v>
      </c>
      <c r="B592" s="31" t="s">
        <v>1906</v>
      </c>
      <c r="C592" s="24" t="s">
        <v>1282</v>
      </c>
      <c r="D592" s="23">
        <v>801740</v>
      </c>
    </row>
    <row r="593" spans="1:4" x14ac:dyDescent="0.3">
      <c r="A593" s="30">
        <v>41311</v>
      </c>
      <c r="B593" s="31" t="s">
        <v>1907</v>
      </c>
      <c r="C593" s="24" t="s">
        <v>1282</v>
      </c>
      <c r="D593" s="23">
        <v>1622841</v>
      </c>
    </row>
    <row r="594" spans="1:4" x14ac:dyDescent="0.3">
      <c r="A594" s="30">
        <v>41676</v>
      </c>
      <c r="B594" s="31" t="s">
        <v>1908</v>
      </c>
      <c r="C594" s="24" t="s">
        <v>1304</v>
      </c>
      <c r="D594" s="23">
        <v>125585</v>
      </c>
    </row>
    <row r="595" spans="1:4" x14ac:dyDescent="0.3">
      <c r="A595" s="30">
        <v>42041</v>
      </c>
      <c r="B595" s="31" t="s">
        <v>1909</v>
      </c>
      <c r="C595" s="24" t="s">
        <v>1304</v>
      </c>
      <c r="D595" s="23">
        <v>101737</v>
      </c>
    </row>
    <row r="596" spans="1:4" x14ac:dyDescent="0.3">
      <c r="A596" s="30">
        <v>42406</v>
      </c>
      <c r="B596" s="31" t="s">
        <v>1910</v>
      </c>
      <c r="C596" s="24" t="s">
        <v>1304</v>
      </c>
      <c r="D596" s="23">
        <v>157981</v>
      </c>
    </row>
    <row r="597" spans="1:4" x14ac:dyDescent="0.3">
      <c r="A597" s="30">
        <v>42772</v>
      </c>
      <c r="B597" s="31" t="s">
        <v>1911</v>
      </c>
      <c r="C597" s="24" t="s">
        <v>1304</v>
      </c>
      <c r="D597" s="23">
        <v>183853</v>
      </c>
    </row>
    <row r="598" spans="1:4" x14ac:dyDescent="0.3">
      <c r="A598" s="30">
        <v>43137</v>
      </c>
      <c r="B598" s="31" t="s">
        <v>1912</v>
      </c>
      <c r="C598" s="24" t="s">
        <v>1304</v>
      </c>
      <c r="D598" s="23">
        <v>129286</v>
      </c>
    </row>
    <row r="599" spans="1:4" x14ac:dyDescent="0.3">
      <c r="A599" s="30">
        <v>43502</v>
      </c>
      <c r="B599" s="20" t="s">
        <v>1913</v>
      </c>
      <c r="C599" s="22" t="s">
        <v>1284</v>
      </c>
      <c r="D599" s="23">
        <v>1275544</v>
      </c>
    </row>
    <row r="600" spans="1:4" ht="14.4" customHeight="1" x14ac:dyDescent="0.3">
      <c r="A600" s="26">
        <v>43867</v>
      </c>
      <c r="B600" s="33" t="s">
        <v>1914</v>
      </c>
      <c r="C600" s="28" t="s">
        <v>1284</v>
      </c>
      <c r="D600" s="29">
        <v>789208</v>
      </c>
    </row>
    <row r="601" spans="1:4" x14ac:dyDescent="0.3">
      <c r="A601" s="30">
        <v>44233</v>
      </c>
      <c r="B601" s="20" t="s">
        <v>1915</v>
      </c>
      <c r="C601" s="22" t="s">
        <v>1284</v>
      </c>
      <c r="D601" s="23">
        <v>1005385</v>
      </c>
    </row>
    <row r="602" spans="1:4" x14ac:dyDescent="0.3">
      <c r="A602" s="30">
        <v>44598</v>
      </c>
      <c r="B602" s="31" t="s">
        <v>1916</v>
      </c>
      <c r="C602" s="22" t="s">
        <v>1284</v>
      </c>
      <c r="D602" s="23">
        <v>922824</v>
      </c>
    </row>
    <row r="603" spans="1:4" x14ac:dyDescent="0.3">
      <c r="A603" s="30">
        <v>44963</v>
      </c>
      <c r="B603" s="31" t="s">
        <v>1917</v>
      </c>
      <c r="C603" s="22" t="s">
        <v>1284</v>
      </c>
      <c r="D603" s="23">
        <v>724355</v>
      </c>
    </row>
    <row r="604" spans="1:4" x14ac:dyDescent="0.3">
      <c r="A604" s="30">
        <v>45328</v>
      </c>
      <c r="B604" s="20" t="s">
        <v>1918</v>
      </c>
      <c r="C604" s="22" t="s">
        <v>1284</v>
      </c>
      <c r="D604" s="23">
        <v>699460</v>
      </c>
    </row>
    <row r="605" spans="1:4" x14ac:dyDescent="0.3">
      <c r="A605" s="30">
        <v>45694</v>
      </c>
      <c r="B605" s="20" t="s">
        <v>1919</v>
      </c>
      <c r="C605" s="22" t="s">
        <v>1284</v>
      </c>
      <c r="D605" s="23">
        <v>818126</v>
      </c>
    </row>
    <row r="606" spans="1:4" x14ac:dyDescent="0.3">
      <c r="A606" s="30">
        <v>46059</v>
      </c>
      <c r="B606" s="20" t="s">
        <v>1920</v>
      </c>
      <c r="C606" s="22" t="s">
        <v>1284</v>
      </c>
      <c r="D606" s="23">
        <v>776617</v>
      </c>
    </row>
    <row r="607" spans="1:4" x14ac:dyDescent="0.3">
      <c r="A607" s="30">
        <v>46424</v>
      </c>
      <c r="B607" s="20" t="s">
        <v>1921</v>
      </c>
      <c r="C607" s="22" t="s">
        <v>1284</v>
      </c>
      <c r="D607" s="23">
        <v>620588</v>
      </c>
    </row>
    <row r="608" spans="1:4" x14ac:dyDescent="0.3">
      <c r="A608" s="30">
        <v>46789</v>
      </c>
      <c r="B608" s="20" t="s">
        <v>1922</v>
      </c>
      <c r="C608" s="22" t="s">
        <v>1284</v>
      </c>
      <c r="D608" s="23">
        <v>1606248</v>
      </c>
    </row>
    <row r="609" spans="1:4" x14ac:dyDescent="0.3">
      <c r="A609" s="30">
        <v>47155</v>
      </c>
      <c r="B609" s="31" t="s">
        <v>1923</v>
      </c>
      <c r="C609" s="22" t="s">
        <v>35</v>
      </c>
      <c r="D609" s="23">
        <v>275770</v>
      </c>
    </row>
    <row r="610" spans="1:4" x14ac:dyDescent="0.3">
      <c r="A610" s="30">
        <v>10995</v>
      </c>
      <c r="B610" s="20" t="s">
        <v>1924</v>
      </c>
      <c r="C610" s="22" t="s">
        <v>35</v>
      </c>
      <c r="D610" s="23">
        <v>109021</v>
      </c>
    </row>
    <row r="611" spans="1:4" x14ac:dyDescent="0.3">
      <c r="A611" s="30">
        <v>11360</v>
      </c>
      <c r="B611" s="31" t="s">
        <v>1925</v>
      </c>
      <c r="C611" s="22" t="s">
        <v>35</v>
      </c>
      <c r="D611" s="23">
        <v>85819</v>
      </c>
    </row>
    <row r="612" spans="1:4" x14ac:dyDescent="0.3">
      <c r="A612" s="30">
        <v>11725</v>
      </c>
      <c r="B612" s="31" t="s">
        <v>1926</v>
      </c>
      <c r="C612" s="24" t="s">
        <v>1304</v>
      </c>
      <c r="D612" s="23">
        <v>32018</v>
      </c>
    </row>
    <row r="613" spans="1:4" x14ac:dyDescent="0.3">
      <c r="A613" s="30">
        <v>12091</v>
      </c>
      <c r="B613" s="31" t="s">
        <v>1927</v>
      </c>
      <c r="C613" s="24" t="s">
        <v>1282</v>
      </c>
      <c r="D613" s="23">
        <v>97589</v>
      </c>
    </row>
    <row r="614" spans="1:4" x14ac:dyDescent="0.3">
      <c r="A614" s="30">
        <v>12456</v>
      </c>
      <c r="B614" s="31" t="s">
        <v>1928</v>
      </c>
      <c r="C614" s="24" t="s">
        <v>1304</v>
      </c>
      <c r="D614" s="23">
        <v>101815</v>
      </c>
    </row>
    <row r="615" spans="1:4" x14ac:dyDescent="0.3">
      <c r="A615" s="30">
        <v>12821</v>
      </c>
      <c r="B615" s="31" t="s">
        <v>1929</v>
      </c>
      <c r="C615" s="22" t="s">
        <v>35</v>
      </c>
      <c r="D615" s="23">
        <v>98797</v>
      </c>
    </row>
    <row r="616" spans="1:4" x14ac:dyDescent="0.3">
      <c r="A616" s="30">
        <v>13186</v>
      </c>
      <c r="B616" s="31" t="s">
        <v>1930</v>
      </c>
      <c r="C616" s="22" t="s">
        <v>35</v>
      </c>
      <c r="D616" s="23">
        <v>110131</v>
      </c>
    </row>
    <row r="617" spans="1:4" x14ac:dyDescent="0.3">
      <c r="A617" s="30">
        <v>13552</v>
      </c>
      <c r="B617" s="31" t="s">
        <v>1931</v>
      </c>
      <c r="C617" s="24" t="s">
        <v>1282</v>
      </c>
      <c r="D617" s="23">
        <v>605920</v>
      </c>
    </row>
    <row r="618" spans="1:4" x14ac:dyDescent="0.3">
      <c r="A618" s="30">
        <v>13917</v>
      </c>
      <c r="B618" s="31" t="s">
        <v>1932</v>
      </c>
      <c r="C618" s="24" t="s">
        <v>1282</v>
      </c>
      <c r="D618" s="23">
        <v>681054</v>
      </c>
    </row>
    <row r="619" spans="1:4" x14ac:dyDescent="0.3">
      <c r="A619" s="30">
        <v>14282</v>
      </c>
      <c r="B619" s="20" t="s">
        <v>1933</v>
      </c>
      <c r="C619" s="24" t="s">
        <v>1304</v>
      </c>
      <c r="D619" s="23">
        <v>31499</v>
      </c>
    </row>
    <row r="620" spans="1:4" x14ac:dyDescent="0.3">
      <c r="A620" s="30">
        <v>14647</v>
      </c>
      <c r="B620" s="20" t="s">
        <v>1934</v>
      </c>
      <c r="C620" s="24" t="s">
        <v>1304</v>
      </c>
      <c r="D620" s="23">
        <v>332554</v>
      </c>
    </row>
    <row r="621" spans="1:4" x14ac:dyDescent="0.3">
      <c r="A621" s="30">
        <v>15013</v>
      </c>
      <c r="B621" s="20" t="s">
        <v>1935</v>
      </c>
      <c r="C621" s="24" t="s">
        <v>1304</v>
      </c>
      <c r="D621" s="23">
        <v>408256</v>
      </c>
    </row>
    <row r="622" spans="1:4" x14ac:dyDescent="0.3">
      <c r="A622" s="30">
        <v>15378</v>
      </c>
      <c r="B622" s="20" t="s">
        <v>1936</v>
      </c>
      <c r="C622" s="24" t="s">
        <v>1282</v>
      </c>
      <c r="D622" s="23">
        <v>666204</v>
      </c>
    </row>
    <row r="623" spans="1:4" x14ac:dyDescent="0.3">
      <c r="A623" s="30">
        <v>15743</v>
      </c>
      <c r="B623" s="20" t="s">
        <v>1937</v>
      </c>
      <c r="C623" s="24" t="s">
        <v>1304</v>
      </c>
      <c r="D623" s="23">
        <v>29988</v>
      </c>
    </row>
    <row r="624" spans="1:4" x14ac:dyDescent="0.3">
      <c r="A624" s="30">
        <v>16108</v>
      </c>
      <c r="B624" s="31" t="s">
        <v>1938</v>
      </c>
      <c r="C624" s="24" t="s">
        <v>1304</v>
      </c>
      <c r="D624" s="23">
        <v>2191451</v>
      </c>
    </row>
    <row r="625" spans="1:4" x14ac:dyDescent="0.3">
      <c r="A625" s="30">
        <v>16474</v>
      </c>
      <c r="B625" s="31" t="s">
        <v>1939</v>
      </c>
      <c r="C625" s="24" t="s">
        <v>1304</v>
      </c>
      <c r="D625" s="23">
        <v>311525</v>
      </c>
    </row>
    <row r="626" spans="1:4" x14ac:dyDescent="0.3">
      <c r="A626" s="30">
        <v>16839</v>
      </c>
      <c r="B626" s="20" t="s">
        <v>1940</v>
      </c>
      <c r="C626" s="22"/>
      <c r="D626" s="22"/>
    </row>
    <row r="627" spans="1:4" x14ac:dyDescent="0.3">
      <c r="A627" s="25" t="s">
        <v>1941</v>
      </c>
      <c r="B627" s="25"/>
      <c r="C627" s="25"/>
      <c r="D627" s="25"/>
    </row>
    <row r="628" spans="1:4" x14ac:dyDescent="0.3">
      <c r="A628" s="30">
        <v>36929</v>
      </c>
      <c r="B628" s="20" t="s">
        <v>1942</v>
      </c>
      <c r="C628" s="24" t="s">
        <v>1304</v>
      </c>
      <c r="D628" s="23">
        <v>228705</v>
      </c>
    </row>
    <row r="629" spans="1:4" x14ac:dyDescent="0.3">
      <c r="A629" s="30">
        <v>37294</v>
      </c>
      <c r="B629" s="20" t="s">
        <v>1943</v>
      </c>
      <c r="C629" s="24" t="s">
        <v>1282</v>
      </c>
      <c r="D629" s="23">
        <v>2463746</v>
      </c>
    </row>
    <row r="630" spans="1:4" x14ac:dyDescent="0.3">
      <c r="A630" s="30">
        <v>37659</v>
      </c>
      <c r="B630" s="31" t="s">
        <v>1944</v>
      </c>
      <c r="C630" s="24" t="s">
        <v>1282</v>
      </c>
      <c r="D630" s="23">
        <v>452346</v>
      </c>
    </row>
    <row r="631" spans="1:4" x14ac:dyDescent="0.3">
      <c r="A631" s="30">
        <v>38024</v>
      </c>
      <c r="B631" s="20" t="s">
        <v>1945</v>
      </c>
      <c r="C631" s="24" t="s">
        <v>1282</v>
      </c>
      <c r="D631" s="23">
        <v>305746</v>
      </c>
    </row>
    <row r="632" spans="1:4" x14ac:dyDescent="0.3">
      <c r="A632" s="30">
        <v>38390</v>
      </c>
      <c r="B632" s="20" t="s">
        <v>1946</v>
      </c>
      <c r="C632" s="24" t="s">
        <v>1304</v>
      </c>
      <c r="D632" s="23">
        <v>3644</v>
      </c>
    </row>
    <row r="633" spans="1:4" x14ac:dyDescent="0.3">
      <c r="A633" s="30">
        <v>38755</v>
      </c>
      <c r="B633" s="20" t="s">
        <v>1947</v>
      </c>
      <c r="C633" s="22" t="s">
        <v>35</v>
      </c>
      <c r="D633" s="23">
        <v>45475</v>
      </c>
    </row>
    <row r="634" spans="1:4" x14ac:dyDescent="0.3">
      <c r="A634" s="30">
        <v>39120</v>
      </c>
      <c r="B634" s="20" t="s">
        <v>1948</v>
      </c>
      <c r="C634" s="24" t="s">
        <v>1318</v>
      </c>
      <c r="D634" s="23">
        <v>75668</v>
      </c>
    </row>
    <row r="635" spans="1:4" x14ac:dyDescent="0.3">
      <c r="A635" s="30">
        <v>39485</v>
      </c>
      <c r="B635" s="20" t="s">
        <v>1949</v>
      </c>
      <c r="C635" s="24" t="s">
        <v>1282</v>
      </c>
      <c r="D635" s="23">
        <v>18853</v>
      </c>
    </row>
    <row r="636" spans="1:4" x14ac:dyDescent="0.3">
      <c r="A636" s="30">
        <v>39851</v>
      </c>
      <c r="B636" s="31" t="s">
        <v>1950</v>
      </c>
      <c r="C636" s="24" t="s">
        <v>1282</v>
      </c>
      <c r="D636" s="23">
        <v>49960</v>
      </c>
    </row>
    <row r="637" spans="1:4" x14ac:dyDescent="0.3">
      <c r="A637" s="30">
        <v>40216</v>
      </c>
      <c r="B637" s="31" t="s">
        <v>1951</v>
      </c>
      <c r="C637" s="24" t="s">
        <v>1282</v>
      </c>
      <c r="D637" s="23">
        <v>16616</v>
      </c>
    </row>
    <row r="638" spans="1:4" x14ac:dyDescent="0.3">
      <c r="A638" s="30">
        <v>40581</v>
      </c>
      <c r="B638" s="31" t="s">
        <v>1952</v>
      </c>
      <c r="C638" s="24" t="s">
        <v>1304</v>
      </c>
      <c r="D638" s="23">
        <v>10225</v>
      </c>
    </row>
    <row r="639" spans="1:4" x14ac:dyDescent="0.3">
      <c r="A639" s="25" t="s">
        <v>1953</v>
      </c>
      <c r="B639" s="25"/>
      <c r="C639" s="25"/>
      <c r="D639" s="25"/>
    </row>
    <row r="640" spans="1:4" x14ac:dyDescent="0.3">
      <c r="A640" s="30">
        <v>36930</v>
      </c>
      <c r="B640" s="20" t="s">
        <v>1954</v>
      </c>
      <c r="C640" s="22" t="s">
        <v>35</v>
      </c>
      <c r="D640" s="23">
        <v>30344</v>
      </c>
    </row>
    <row r="641" spans="1:4" x14ac:dyDescent="0.3">
      <c r="A641" s="30">
        <v>37295</v>
      </c>
      <c r="B641" s="20" t="s">
        <v>1955</v>
      </c>
      <c r="C641" s="22" t="s">
        <v>35</v>
      </c>
      <c r="D641" s="23">
        <v>27360</v>
      </c>
    </row>
    <row r="642" spans="1:4" x14ac:dyDescent="0.3">
      <c r="A642" s="30">
        <v>37660</v>
      </c>
      <c r="B642" s="20" t="s">
        <v>1956</v>
      </c>
      <c r="C642" s="22" t="s">
        <v>35</v>
      </c>
      <c r="D642" s="23">
        <v>34749</v>
      </c>
    </row>
    <row r="643" spans="1:4" x14ac:dyDescent="0.3">
      <c r="A643" s="30">
        <v>38025</v>
      </c>
      <c r="B643" s="31" t="s">
        <v>1957</v>
      </c>
      <c r="C643" s="24" t="s">
        <v>1282</v>
      </c>
      <c r="D643" s="23">
        <v>805272</v>
      </c>
    </row>
    <row r="644" spans="1:4" x14ac:dyDescent="0.3">
      <c r="A644" s="30">
        <v>38391</v>
      </c>
      <c r="B644" s="31" t="s">
        <v>1486</v>
      </c>
      <c r="C644" s="22" t="s">
        <v>35</v>
      </c>
      <c r="D644" s="23">
        <v>81885</v>
      </c>
    </row>
    <row r="645" spans="1:4" x14ac:dyDescent="0.3">
      <c r="A645" s="30">
        <v>38756</v>
      </c>
      <c r="B645" s="20" t="s">
        <v>1958</v>
      </c>
      <c r="C645" s="24" t="s">
        <v>1282</v>
      </c>
      <c r="D645" s="23">
        <v>120693</v>
      </c>
    </row>
    <row r="646" spans="1:4" x14ac:dyDescent="0.3">
      <c r="A646" s="30">
        <v>39121</v>
      </c>
      <c r="B646" s="20" t="s">
        <v>1959</v>
      </c>
      <c r="C646" s="22" t="s">
        <v>35</v>
      </c>
      <c r="D646" s="23">
        <v>15522</v>
      </c>
    </row>
    <row r="647" spans="1:4" x14ac:dyDescent="0.3">
      <c r="A647" s="36">
        <v>39852</v>
      </c>
      <c r="B647" s="37" t="s">
        <v>1960</v>
      </c>
      <c r="C647" s="38" t="s">
        <v>1321</v>
      </c>
      <c r="D647" s="39">
        <v>29871</v>
      </c>
    </row>
    <row r="648" spans="1:4" ht="14.4" customHeight="1" x14ac:dyDescent="0.3">
      <c r="A648" s="26">
        <v>40217</v>
      </c>
      <c r="B648" s="33" t="s">
        <v>1961</v>
      </c>
      <c r="C648" s="32" t="s">
        <v>1321</v>
      </c>
      <c r="D648" s="29">
        <v>7077</v>
      </c>
    </row>
    <row r="649" spans="1:4" x14ac:dyDescent="0.3">
      <c r="A649" s="25" t="s">
        <v>1962</v>
      </c>
      <c r="B649" s="25"/>
      <c r="C649" s="25"/>
      <c r="D649" s="25"/>
    </row>
    <row r="650" spans="1:4" x14ac:dyDescent="0.3">
      <c r="A650" s="30">
        <v>36931</v>
      </c>
      <c r="B650" s="20" t="s">
        <v>1963</v>
      </c>
      <c r="C650" s="24" t="s">
        <v>1324</v>
      </c>
      <c r="D650" s="23">
        <v>4998</v>
      </c>
    </row>
    <row r="651" spans="1:4" x14ac:dyDescent="0.3">
      <c r="A651" s="25" t="s">
        <v>1964</v>
      </c>
      <c r="B651" s="25"/>
      <c r="C651" s="25"/>
      <c r="D651" s="25"/>
    </row>
    <row r="652" spans="1:4" x14ac:dyDescent="0.3">
      <c r="A652" s="25" t="s">
        <v>1965</v>
      </c>
      <c r="B652" s="25"/>
      <c r="C652" s="25"/>
      <c r="D652" s="25"/>
    </row>
    <row r="653" spans="1:4" x14ac:dyDescent="0.3">
      <c r="A653" s="30">
        <v>36951</v>
      </c>
      <c r="B653" s="31" t="s">
        <v>1966</v>
      </c>
      <c r="C653" s="24" t="s">
        <v>1282</v>
      </c>
      <c r="D653" s="23">
        <v>10114750</v>
      </c>
    </row>
    <row r="654" spans="1:4" x14ac:dyDescent="0.3">
      <c r="A654" s="30">
        <v>37316</v>
      </c>
      <c r="B654" s="31" t="s">
        <v>1967</v>
      </c>
      <c r="C654" s="24" t="s">
        <v>1282</v>
      </c>
      <c r="D654" s="23">
        <v>4544466</v>
      </c>
    </row>
    <row r="655" spans="1:4" x14ac:dyDescent="0.3">
      <c r="A655" s="30">
        <v>37681</v>
      </c>
      <c r="B655" s="31" t="s">
        <v>1968</v>
      </c>
      <c r="C655" s="24" t="s">
        <v>1282</v>
      </c>
      <c r="D655" s="23">
        <v>4687220</v>
      </c>
    </row>
    <row r="656" spans="1:4" x14ac:dyDescent="0.3">
      <c r="A656" s="30">
        <v>38047</v>
      </c>
      <c r="B656" s="31" t="s">
        <v>1969</v>
      </c>
      <c r="C656" s="24" t="s">
        <v>1282</v>
      </c>
      <c r="D656" s="23">
        <v>3298067</v>
      </c>
    </row>
    <row r="657" spans="1:4" x14ac:dyDescent="0.3">
      <c r="A657" s="30">
        <v>38412</v>
      </c>
      <c r="B657" s="31" t="s">
        <v>1970</v>
      </c>
      <c r="C657" s="24" t="s">
        <v>1304</v>
      </c>
      <c r="D657" s="23">
        <v>35809</v>
      </c>
    </row>
    <row r="658" spans="1:4" x14ac:dyDescent="0.3">
      <c r="A658" s="30">
        <v>38777</v>
      </c>
      <c r="B658" s="31" t="s">
        <v>1971</v>
      </c>
      <c r="C658" s="24" t="s">
        <v>1282</v>
      </c>
      <c r="D658" s="23">
        <v>20298202</v>
      </c>
    </row>
    <row r="659" spans="1:4" x14ac:dyDescent="0.3">
      <c r="A659" s="30">
        <v>39142</v>
      </c>
      <c r="B659" s="20" t="s">
        <v>1972</v>
      </c>
      <c r="C659" s="24" t="s">
        <v>1282</v>
      </c>
      <c r="D659" s="23">
        <v>10127544</v>
      </c>
    </row>
    <row r="660" spans="1:4" x14ac:dyDescent="0.3">
      <c r="A660" s="30">
        <v>39508</v>
      </c>
      <c r="B660" s="31" t="s">
        <v>1973</v>
      </c>
      <c r="C660" s="24" t="s">
        <v>1282</v>
      </c>
      <c r="D660" s="23">
        <v>7413772</v>
      </c>
    </row>
    <row r="661" spans="1:4" ht="14.4" customHeight="1" x14ac:dyDescent="0.3">
      <c r="A661" s="14" t="s">
        <v>1974</v>
      </c>
      <c r="B661" s="15"/>
      <c r="C661" s="15"/>
      <c r="D661" s="16"/>
    </row>
    <row r="662" spans="1:4" x14ac:dyDescent="0.3">
      <c r="A662" s="30">
        <v>36952</v>
      </c>
      <c r="B662" s="31" t="s">
        <v>1975</v>
      </c>
      <c r="C662" s="24" t="s">
        <v>1304</v>
      </c>
      <c r="D662" s="23">
        <v>120311</v>
      </c>
    </row>
    <row r="663" spans="1:4" x14ac:dyDescent="0.3">
      <c r="A663" s="30">
        <v>37317</v>
      </c>
      <c r="B663" s="31" t="s">
        <v>1976</v>
      </c>
      <c r="C663" s="24" t="s">
        <v>1304</v>
      </c>
      <c r="D663" s="23">
        <v>165544</v>
      </c>
    </row>
    <row r="664" spans="1:4" x14ac:dyDescent="0.3">
      <c r="A664" s="30">
        <v>37682</v>
      </c>
      <c r="B664" s="31" t="s">
        <v>1977</v>
      </c>
      <c r="C664" s="24" t="s">
        <v>1304</v>
      </c>
      <c r="D664" s="23">
        <v>77707</v>
      </c>
    </row>
    <row r="665" spans="1:4" x14ac:dyDescent="0.3">
      <c r="A665" s="30">
        <v>38048</v>
      </c>
      <c r="B665" s="20" t="s">
        <v>1978</v>
      </c>
      <c r="C665" s="24" t="s">
        <v>1282</v>
      </c>
      <c r="D665" s="23">
        <v>2590145</v>
      </c>
    </row>
    <row r="666" spans="1:4" x14ac:dyDescent="0.3">
      <c r="A666" s="30">
        <v>38413</v>
      </c>
      <c r="B666" s="20" t="s">
        <v>1979</v>
      </c>
      <c r="C666" s="24" t="s">
        <v>1304</v>
      </c>
      <c r="D666" s="23">
        <v>72869</v>
      </c>
    </row>
    <row r="667" spans="1:4" x14ac:dyDescent="0.3">
      <c r="A667" s="30">
        <v>38778</v>
      </c>
      <c r="B667" s="31" t="s">
        <v>1980</v>
      </c>
      <c r="C667" s="24" t="s">
        <v>1304</v>
      </c>
      <c r="D667" s="23">
        <v>179120</v>
      </c>
    </row>
    <row r="668" spans="1:4" x14ac:dyDescent="0.3">
      <c r="A668" s="30">
        <v>39143</v>
      </c>
      <c r="B668" s="31" t="s">
        <v>1981</v>
      </c>
      <c r="C668" s="24" t="s">
        <v>1304</v>
      </c>
      <c r="D668" s="23">
        <v>88443</v>
      </c>
    </row>
    <row r="669" spans="1:4" x14ac:dyDescent="0.3">
      <c r="A669" s="30">
        <v>39509</v>
      </c>
      <c r="B669" s="31" t="s">
        <v>1982</v>
      </c>
      <c r="C669" s="24" t="s">
        <v>1304</v>
      </c>
      <c r="D669" s="23">
        <v>143777</v>
      </c>
    </row>
    <row r="670" spans="1:4" x14ac:dyDescent="0.3">
      <c r="A670" s="30">
        <v>39874</v>
      </c>
      <c r="B670" s="31" t="s">
        <v>1983</v>
      </c>
      <c r="C670" s="24" t="s">
        <v>1304</v>
      </c>
      <c r="D670" s="23">
        <v>122122</v>
      </c>
    </row>
    <row r="671" spans="1:4" x14ac:dyDescent="0.3">
      <c r="A671" s="30">
        <v>40239</v>
      </c>
      <c r="B671" s="31" t="s">
        <v>1984</v>
      </c>
      <c r="C671" s="24" t="s">
        <v>1304</v>
      </c>
      <c r="D671" s="23">
        <v>138993</v>
      </c>
    </row>
    <row r="672" spans="1:4" ht="14.4" customHeight="1" x14ac:dyDescent="0.3">
      <c r="A672" s="26">
        <v>40604</v>
      </c>
      <c r="B672" s="33" t="s">
        <v>1985</v>
      </c>
      <c r="C672" s="32" t="s">
        <v>1304</v>
      </c>
      <c r="D672" s="29">
        <v>732194</v>
      </c>
    </row>
    <row r="673" spans="1:4" x14ac:dyDescent="0.3">
      <c r="A673" s="30">
        <v>40970</v>
      </c>
      <c r="B673" s="31" t="s">
        <v>1986</v>
      </c>
      <c r="C673" s="24" t="s">
        <v>1304</v>
      </c>
      <c r="D673" s="23">
        <v>54157</v>
      </c>
    </row>
    <row r="674" spans="1:4" x14ac:dyDescent="0.3">
      <c r="A674" s="30">
        <v>41335</v>
      </c>
      <c r="B674" s="31" t="s">
        <v>1987</v>
      </c>
      <c r="C674" s="24" t="s">
        <v>1282</v>
      </c>
      <c r="D674" s="23">
        <v>2288314</v>
      </c>
    </row>
    <row r="675" spans="1:4" ht="14.4" customHeight="1" x14ac:dyDescent="0.3">
      <c r="A675" s="26">
        <v>41700</v>
      </c>
      <c r="B675" s="33" t="s">
        <v>1988</v>
      </c>
      <c r="C675" s="32" t="s">
        <v>1304</v>
      </c>
      <c r="D675" s="29">
        <v>55101</v>
      </c>
    </row>
    <row r="676" spans="1:4" ht="14.4" customHeight="1" x14ac:dyDescent="0.3">
      <c r="A676" s="26">
        <v>42065</v>
      </c>
      <c r="B676" s="33" t="s">
        <v>1989</v>
      </c>
      <c r="C676" s="32" t="s">
        <v>1304</v>
      </c>
      <c r="D676" s="29">
        <v>64084</v>
      </c>
    </row>
    <row r="677" spans="1:4" x14ac:dyDescent="0.3">
      <c r="A677" s="30">
        <v>42431</v>
      </c>
      <c r="B677" s="31" t="s">
        <v>1990</v>
      </c>
      <c r="C677" s="24" t="s">
        <v>1304</v>
      </c>
      <c r="D677" s="23">
        <v>246247</v>
      </c>
    </row>
    <row r="678" spans="1:4" x14ac:dyDescent="0.3">
      <c r="A678" s="30">
        <v>42796</v>
      </c>
      <c r="B678" s="20" t="s">
        <v>1979</v>
      </c>
      <c r="C678" s="24" t="s">
        <v>1304</v>
      </c>
      <c r="D678" s="23">
        <v>85068</v>
      </c>
    </row>
    <row r="679" spans="1:4" x14ac:dyDescent="0.3">
      <c r="A679" s="30">
        <v>43161</v>
      </c>
      <c r="B679" s="31" t="s">
        <v>1991</v>
      </c>
      <c r="C679" s="24" t="s">
        <v>1304</v>
      </c>
      <c r="D679" s="23">
        <v>218452</v>
      </c>
    </row>
    <row r="680" spans="1:4" x14ac:dyDescent="0.3">
      <c r="A680" s="30">
        <v>43526</v>
      </c>
      <c r="B680" s="20" t="s">
        <v>1992</v>
      </c>
      <c r="C680" s="24" t="s">
        <v>1304</v>
      </c>
      <c r="D680" s="23">
        <v>163493</v>
      </c>
    </row>
    <row r="681" spans="1:4" x14ac:dyDescent="0.3">
      <c r="A681" s="30">
        <v>43892</v>
      </c>
      <c r="B681" s="20" t="s">
        <v>1993</v>
      </c>
      <c r="C681" s="24" t="s">
        <v>1304</v>
      </c>
      <c r="D681" s="23">
        <v>111999</v>
      </c>
    </row>
    <row r="682" spans="1:4" x14ac:dyDescent="0.3">
      <c r="A682" s="30">
        <v>44257</v>
      </c>
      <c r="B682" s="31" t="s">
        <v>1994</v>
      </c>
      <c r="C682" s="24" t="s">
        <v>1304</v>
      </c>
      <c r="D682" s="23">
        <v>218452</v>
      </c>
    </row>
    <row r="683" spans="1:4" x14ac:dyDescent="0.3">
      <c r="A683" s="30">
        <v>44622</v>
      </c>
      <c r="B683" s="20" t="s">
        <v>1995</v>
      </c>
      <c r="C683" s="24" t="s">
        <v>1304</v>
      </c>
      <c r="D683" s="23">
        <v>16356</v>
      </c>
    </row>
    <row r="684" spans="1:4" x14ac:dyDescent="0.3">
      <c r="A684" s="30">
        <v>44987</v>
      </c>
      <c r="B684" s="31" t="s">
        <v>1996</v>
      </c>
      <c r="C684" s="24" t="s">
        <v>1304</v>
      </c>
      <c r="D684" s="23">
        <v>1387933</v>
      </c>
    </row>
    <row r="685" spans="1:4" x14ac:dyDescent="0.3">
      <c r="A685" s="30">
        <v>45353</v>
      </c>
      <c r="B685" s="20" t="s">
        <v>1997</v>
      </c>
      <c r="C685" s="24" t="s">
        <v>1304</v>
      </c>
      <c r="D685" s="23">
        <v>218452</v>
      </c>
    </row>
    <row r="686" spans="1:4" ht="14.4" customHeight="1" x14ac:dyDescent="0.3">
      <c r="A686" s="26">
        <v>45718</v>
      </c>
      <c r="B686" s="27" t="s">
        <v>1998</v>
      </c>
      <c r="C686" s="32" t="s">
        <v>1304</v>
      </c>
      <c r="D686" s="29">
        <v>13200</v>
      </c>
    </row>
    <row r="687" spans="1:4" x14ac:dyDescent="0.3">
      <c r="A687" s="30">
        <v>46083</v>
      </c>
      <c r="B687" s="20" t="s">
        <v>1997</v>
      </c>
      <c r="C687" s="24" t="s">
        <v>1304</v>
      </c>
      <c r="D687" s="23">
        <v>218452</v>
      </c>
    </row>
    <row r="688" spans="1:4" x14ac:dyDescent="0.3">
      <c r="A688" s="30">
        <v>46448</v>
      </c>
      <c r="B688" s="31" t="s">
        <v>1999</v>
      </c>
      <c r="C688" s="24" t="s">
        <v>1304</v>
      </c>
      <c r="D688" s="23">
        <v>159820</v>
      </c>
    </row>
    <row r="689" spans="1:4" x14ac:dyDescent="0.3">
      <c r="A689" s="30">
        <v>46814</v>
      </c>
      <c r="B689" s="31" t="s">
        <v>2000</v>
      </c>
      <c r="C689" s="24" t="s">
        <v>1304</v>
      </c>
      <c r="D689" s="23">
        <v>134450</v>
      </c>
    </row>
    <row r="690" spans="1:4" x14ac:dyDescent="0.3">
      <c r="A690" s="30">
        <v>47179</v>
      </c>
      <c r="B690" s="31" t="s">
        <v>2001</v>
      </c>
      <c r="C690" s="24" t="s">
        <v>1304</v>
      </c>
      <c r="D690" s="23">
        <v>72233</v>
      </c>
    </row>
    <row r="691" spans="1:4" x14ac:dyDescent="0.3">
      <c r="A691" s="30">
        <v>11019</v>
      </c>
      <c r="B691" s="31" t="s">
        <v>2002</v>
      </c>
      <c r="C691" s="24" t="s">
        <v>1304</v>
      </c>
      <c r="D691" s="23">
        <v>178021</v>
      </c>
    </row>
    <row r="692" spans="1:4" x14ac:dyDescent="0.3">
      <c r="A692" s="30">
        <v>11384</v>
      </c>
      <c r="B692" s="20" t="s">
        <v>2003</v>
      </c>
      <c r="C692" s="24" t="s">
        <v>1304</v>
      </c>
      <c r="D692" s="23">
        <v>74142</v>
      </c>
    </row>
    <row r="693" spans="1:4" x14ac:dyDescent="0.3">
      <c r="A693" s="25" t="s">
        <v>2004</v>
      </c>
      <c r="B693" s="25"/>
      <c r="C693" s="25"/>
      <c r="D693" s="25"/>
    </row>
    <row r="694" spans="1:4" x14ac:dyDescent="0.3">
      <c r="A694" s="30">
        <v>36953</v>
      </c>
      <c r="B694" s="31" t="s">
        <v>2005</v>
      </c>
      <c r="C694" s="24" t="s">
        <v>1282</v>
      </c>
      <c r="D694" s="23">
        <v>461888</v>
      </c>
    </row>
    <row r="695" spans="1:4" x14ac:dyDescent="0.3">
      <c r="A695" s="30">
        <v>37318</v>
      </c>
      <c r="B695" s="31" t="s">
        <v>2006</v>
      </c>
      <c r="C695" s="24" t="s">
        <v>1282</v>
      </c>
      <c r="D695" s="23">
        <v>772894</v>
      </c>
    </row>
    <row r="696" spans="1:4" x14ac:dyDescent="0.3">
      <c r="A696" s="30">
        <v>37683</v>
      </c>
      <c r="B696" s="31" t="s">
        <v>2007</v>
      </c>
      <c r="C696" s="24" t="s">
        <v>1282</v>
      </c>
      <c r="D696" s="23">
        <v>1480744</v>
      </c>
    </row>
    <row r="697" spans="1:4" x14ac:dyDescent="0.3">
      <c r="A697" s="30">
        <v>38049</v>
      </c>
      <c r="B697" s="31" t="s">
        <v>2008</v>
      </c>
      <c r="C697" s="24" t="s">
        <v>1282</v>
      </c>
      <c r="D697" s="23">
        <v>1513677</v>
      </c>
    </row>
    <row r="698" spans="1:4" x14ac:dyDescent="0.3">
      <c r="A698" s="30">
        <v>38414</v>
      </c>
      <c r="B698" s="31" t="s">
        <v>2009</v>
      </c>
      <c r="C698" s="24" t="s">
        <v>1282</v>
      </c>
      <c r="D698" s="23">
        <v>1601345</v>
      </c>
    </row>
    <row r="699" spans="1:4" x14ac:dyDescent="0.3">
      <c r="A699" s="30">
        <v>38779</v>
      </c>
      <c r="B699" s="31" t="s">
        <v>2010</v>
      </c>
      <c r="C699" s="24" t="s">
        <v>1282</v>
      </c>
      <c r="D699" s="23">
        <v>1262862</v>
      </c>
    </row>
    <row r="700" spans="1:4" x14ac:dyDescent="0.3">
      <c r="A700" s="30">
        <v>39144</v>
      </c>
      <c r="B700" s="20" t="s">
        <v>2011</v>
      </c>
      <c r="C700" s="24" t="s">
        <v>1282</v>
      </c>
      <c r="D700" s="23">
        <v>66954</v>
      </c>
    </row>
    <row r="701" spans="1:4" x14ac:dyDescent="0.3">
      <c r="A701" s="30">
        <v>39510</v>
      </c>
      <c r="B701" s="20" t="s">
        <v>2012</v>
      </c>
      <c r="C701" s="24" t="s">
        <v>1282</v>
      </c>
      <c r="D701" s="23">
        <v>376645</v>
      </c>
    </row>
    <row r="702" spans="1:4" x14ac:dyDescent="0.3">
      <c r="A702" s="30">
        <v>39875</v>
      </c>
      <c r="B702" s="20" t="s">
        <v>2013</v>
      </c>
      <c r="C702" s="24" t="s">
        <v>1282</v>
      </c>
      <c r="D702" s="23">
        <v>367645</v>
      </c>
    </row>
    <row r="703" spans="1:4" x14ac:dyDescent="0.3">
      <c r="A703" s="30">
        <v>40240</v>
      </c>
      <c r="B703" s="31" t="s">
        <v>2014</v>
      </c>
      <c r="C703" s="24" t="s">
        <v>1282</v>
      </c>
      <c r="D703" s="23">
        <v>137314</v>
      </c>
    </row>
    <row r="704" spans="1:4" x14ac:dyDescent="0.3">
      <c r="A704" s="30">
        <v>40605</v>
      </c>
      <c r="B704" s="20" t="s">
        <v>2015</v>
      </c>
      <c r="C704" s="24" t="s">
        <v>1282</v>
      </c>
      <c r="D704" s="23">
        <v>357545</v>
      </c>
    </row>
    <row r="705" spans="1:4" x14ac:dyDescent="0.3">
      <c r="A705" s="30">
        <v>40971</v>
      </c>
      <c r="B705" s="20" t="s">
        <v>2016</v>
      </c>
      <c r="C705" s="24" t="s">
        <v>1282</v>
      </c>
      <c r="D705" s="23">
        <v>196860</v>
      </c>
    </row>
    <row r="706" spans="1:4" x14ac:dyDescent="0.3">
      <c r="A706" s="30">
        <v>41336</v>
      </c>
      <c r="B706" s="31" t="s">
        <v>2017</v>
      </c>
      <c r="C706" s="24" t="s">
        <v>1282</v>
      </c>
      <c r="D706" s="23">
        <v>205166</v>
      </c>
    </row>
    <row r="707" spans="1:4" x14ac:dyDescent="0.3">
      <c r="A707" s="30">
        <v>41701</v>
      </c>
      <c r="B707" s="31" t="s">
        <v>2018</v>
      </c>
      <c r="C707" s="24" t="s">
        <v>1282</v>
      </c>
      <c r="D707" s="23">
        <v>350390</v>
      </c>
    </row>
    <row r="708" spans="1:4" x14ac:dyDescent="0.3">
      <c r="A708" s="30">
        <v>42066</v>
      </c>
      <c r="B708" s="31" t="s">
        <v>2019</v>
      </c>
      <c r="C708" s="24" t="s">
        <v>1282</v>
      </c>
      <c r="D708" s="23">
        <v>25040052</v>
      </c>
    </row>
    <row r="709" spans="1:4" x14ac:dyDescent="0.3">
      <c r="A709" s="30">
        <v>42432</v>
      </c>
      <c r="B709" s="20" t="s">
        <v>2020</v>
      </c>
      <c r="C709" s="24" t="s">
        <v>1282</v>
      </c>
      <c r="D709" s="23">
        <v>11809338</v>
      </c>
    </row>
    <row r="710" spans="1:4" x14ac:dyDescent="0.3">
      <c r="A710" s="30">
        <v>42797</v>
      </c>
      <c r="B710" s="20" t="s">
        <v>2021</v>
      </c>
      <c r="C710" s="24" t="s">
        <v>1282</v>
      </c>
      <c r="D710" s="23">
        <v>4211674</v>
      </c>
    </row>
    <row r="711" spans="1:4" x14ac:dyDescent="0.3">
      <c r="A711" s="30">
        <v>43162</v>
      </c>
      <c r="B711" s="31" t="s">
        <v>2022</v>
      </c>
      <c r="C711" s="24" t="s">
        <v>1282</v>
      </c>
      <c r="D711" s="23">
        <v>24518463</v>
      </c>
    </row>
    <row r="712" spans="1:4" x14ac:dyDescent="0.3">
      <c r="A712" s="30">
        <v>43527</v>
      </c>
      <c r="B712" s="20" t="s">
        <v>2023</v>
      </c>
      <c r="C712" s="24" t="s">
        <v>1282</v>
      </c>
      <c r="D712" s="23">
        <v>24949989</v>
      </c>
    </row>
    <row r="713" spans="1:4" x14ac:dyDescent="0.3">
      <c r="A713" s="25" t="s">
        <v>2024</v>
      </c>
      <c r="B713" s="25"/>
      <c r="C713" s="25"/>
      <c r="D713" s="25"/>
    </row>
    <row r="714" spans="1:4" x14ac:dyDescent="0.3">
      <c r="A714" s="30">
        <v>36954</v>
      </c>
      <c r="B714" s="31" t="s">
        <v>2025</v>
      </c>
      <c r="C714" s="24" t="s">
        <v>1282</v>
      </c>
      <c r="D714" s="23">
        <v>360958</v>
      </c>
    </row>
    <row r="715" spans="1:4" x14ac:dyDescent="0.3">
      <c r="A715" s="30">
        <v>37319</v>
      </c>
      <c r="B715" s="31" t="s">
        <v>2026</v>
      </c>
      <c r="C715" s="24" t="s">
        <v>1282</v>
      </c>
      <c r="D715" s="23">
        <v>350225</v>
      </c>
    </row>
    <row r="716" spans="1:4" x14ac:dyDescent="0.3">
      <c r="A716" s="30">
        <v>37684</v>
      </c>
      <c r="B716" s="31" t="s">
        <v>2027</v>
      </c>
      <c r="C716" s="24" t="s">
        <v>1282</v>
      </c>
      <c r="D716" s="23">
        <v>344434</v>
      </c>
    </row>
    <row r="717" spans="1:4" x14ac:dyDescent="0.3">
      <c r="A717" s="30">
        <v>38050</v>
      </c>
      <c r="B717" s="20" t="s">
        <v>2028</v>
      </c>
      <c r="C717" s="24" t="s">
        <v>1282</v>
      </c>
      <c r="D717" s="23">
        <v>299679</v>
      </c>
    </row>
    <row r="718" spans="1:4" x14ac:dyDescent="0.3">
      <c r="A718" s="30">
        <v>38415</v>
      </c>
      <c r="B718" s="31" t="s">
        <v>2029</v>
      </c>
      <c r="C718" s="24" t="s">
        <v>1282</v>
      </c>
      <c r="D718" s="23">
        <v>360958</v>
      </c>
    </row>
    <row r="719" spans="1:4" ht="14.4" customHeight="1" x14ac:dyDescent="0.3">
      <c r="A719" s="26">
        <v>38780</v>
      </c>
      <c r="B719" s="33" t="s">
        <v>2030</v>
      </c>
      <c r="C719" s="32" t="s">
        <v>1282</v>
      </c>
      <c r="D719" s="29">
        <v>371077</v>
      </c>
    </row>
    <row r="720" spans="1:4" x14ac:dyDescent="0.3">
      <c r="A720" s="30">
        <v>39145</v>
      </c>
      <c r="B720" s="20" t="s">
        <v>2031</v>
      </c>
      <c r="C720" s="24" t="s">
        <v>1282</v>
      </c>
      <c r="D720" s="23">
        <v>331439</v>
      </c>
    </row>
    <row r="721" spans="1:4" x14ac:dyDescent="0.3">
      <c r="A721" s="30">
        <v>39511</v>
      </c>
      <c r="B721" s="31" t="s">
        <v>2032</v>
      </c>
      <c r="C721" s="24" t="s">
        <v>1282</v>
      </c>
      <c r="D721" s="23">
        <v>331580</v>
      </c>
    </row>
    <row r="722" spans="1:4" x14ac:dyDescent="0.3">
      <c r="A722" s="30">
        <v>39876</v>
      </c>
      <c r="B722" s="31" t="s">
        <v>2033</v>
      </c>
      <c r="C722" s="24" t="s">
        <v>1282</v>
      </c>
      <c r="D722" s="23">
        <v>159130</v>
      </c>
    </row>
    <row r="723" spans="1:4" x14ac:dyDescent="0.3">
      <c r="A723" s="30">
        <v>40241</v>
      </c>
      <c r="B723" s="20" t="s">
        <v>2034</v>
      </c>
      <c r="C723" s="24" t="s">
        <v>1282</v>
      </c>
      <c r="D723" s="23">
        <v>316605</v>
      </c>
    </row>
    <row r="724" spans="1:4" x14ac:dyDescent="0.3">
      <c r="A724" s="30">
        <v>40606</v>
      </c>
      <c r="B724" s="31" t="s">
        <v>2035</v>
      </c>
      <c r="C724" s="24" t="s">
        <v>1282</v>
      </c>
      <c r="D724" s="23">
        <v>401259</v>
      </c>
    </row>
    <row r="725" spans="1:4" x14ac:dyDescent="0.3">
      <c r="A725" s="30">
        <v>40972</v>
      </c>
      <c r="B725" s="31" t="s">
        <v>2036</v>
      </c>
      <c r="C725" s="24" t="s">
        <v>1282</v>
      </c>
      <c r="D725" s="23">
        <v>308614</v>
      </c>
    </row>
    <row r="726" spans="1:4" x14ac:dyDescent="0.3">
      <c r="A726" s="30">
        <v>41337</v>
      </c>
      <c r="B726" s="31" t="s">
        <v>2037</v>
      </c>
      <c r="C726" s="24" t="s">
        <v>1304</v>
      </c>
      <c r="D726" s="23">
        <v>71027</v>
      </c>
    </row>
    <row r="727" spans="1:4" x14ac:dyDescent="0.3">
      <c r="A727" s="25" t="s">
        <v>2038</v>
      </c>
      <c r="B727" s="25"/>
      <c r="C727" s="25"/>
      <c r="D727" s="25"/>
    </row>
    <row r="728" spans="1:4" x14ac:dyDescent="0.3">
      <c r="A728" s="30">
        <v>36955</v>
      </c>
      <c r="B728" s="31" t="s">
        <v>2039</v>
      </c>
      <c r="C728" s="24" t="s">
        <v>1282</v>
      </c>
      <c r="D728" s="23">
        <v>577653</v>
      </c>
    </row>
    <row r="729" spans="1:4" x14ac:dyDescent="0.3">
      <c r="A729" s="30">
        <v>37320</v>
      </c>
      <c r="B729" s="31" t="s">
        <v>2040</v>
      </c>
      <c r="C729" s="24" t="s">
        <v>1282</v>
      </c>
      <c r="D729" s="23">
        <v>1312866</v>
      </c>
    </row>
    <row r="730" spans="1:4" x14ac:dyDescent="0.3">
      <c r="A730" s="30">
        <v>37685</v>
      </c>
      <c r="B730" s="31" t="s">
        <v>2041</v>
      </c>
      <c r="C730" s="24" t="s">
        <v>1282</v>
      </c>
      <c r="D730" s="23">
        <v>649866</v>
      </c>
    </row>
    <row r="731" spans="1:4" x14ac:dyDescent="0.3">
      <c r="A731" s="30">
        <v>38051</v>
      </c>
      <c r="B731" s="31" t="s">
        <v>2042</v>
      </c>
      <c r="C731" s="24" t="s">
        <v>1282</v>
      </c>
      <c r="D731" s="23">
        <v>150653</v>
      </c>
    </row>
    <row r="732" spans="1:4" x14ac:dyDescent="0.3">
      <c r="A732" s="30">
        <v>38416</v>
      </c>
      <c r="B732" s="31" t="s">
        <v>2043</v>
      </c>
      <c r="C732" s="24" t="s">
        <v>1282</v>
      </c>
      <c r="D732" s="23">
        <v>1922666</v>
      </c>
    </row>
    <row r="733" spans="1:4" x14ac:dyDescent="0.3">
      <c r="A733" s="20" t="s">
        <v>2044</v>
      </c>
      <c r="B733" s="31" t="s">
        <v>2045</v>
      </c>
      <c r="C733" s="24" t="s">
        <v>1282</v>
      </c>
      <c r="D733" s="23">
        <v>476566</v>
      </c>
    </row>
    <row r="734" spans="1:4" x14ac:dyDescent="0.3">
      <c r="A734" s="30">
        <v>39146</v>
      </c>
      <c r="B734" s="31" t="s">
        <v>2046</v>
      </c>
      <c r="C734" s="24" t="s">
        <v>1282</v>
      </c>
      <c r="D734" s="23">
        <v>317833</v>
      </c>
    </row>
    <row r="735" spans="1:4" x14ac:dyDescent="0.3">
      <c r="A735" s="30">
        <v>39512</v>
      </c>
      <c r="B735" s="31" t="s">
        <v>2047</v>
      </c>
      <c r="C735" s="24" t="s">
        <v>1282</v>
      </c>
      <c r="D735" s="23">
        <v>262333</v>
      </c>
    </row>
    <row r="736" spans="1:4" x14ac:dyDescent="0.3">
      <c r="A736" s="30">
        <v>39877</v>
      </c>
      <c r="B736" s="31" t="s">
        <v>2048</v>
      </c>
      <c r="C736" s="24" t="s">
        <v>1282</v>
      </c>
      <c r="D736" s="23">
        <v>350799</v>
      </c>
    </row>
    <row r="737" spans="1:4" x14ac:dyDescent="0.3">
      <c r="A737" s="30">
        <v>40242</v>
      </c>
      <c r="B737" s="31" t="s">
        <v>2049</v>
      </c>
      <c r="C737" s="24" t="s">
        <v>1282</v>
      </c>
      <c r="D737" s="23">
        <v>2209666</v>
      </c>
    </row>
    <row r="738" spans="1:4" x14ac:dyDescent="0.3">
      <c r="A738" s="30">
        <v>40607</v>
      </c>
      <c r="B738" s="31" t="s">
        <v>2050</v>
      </c>
      <c r="C738" s="24" t="s">
        <v>1282</v>
      </c>
      <c r="D738" s="23">
        <v>2422866</v>
      </c>
    </row>
    <row r="739" spans="1:4" x14ac:dyDescent="0.3">
      <c r="A739" s="30">
        <v>40973</v>
      </c>
      <c r="B739" s="31" t="s">
        <v>2051</v>
      </c>
      <c r="C739" s="24" t="s">
        <v>1282</v>
      </c>
      <c r="D739" s="23">
        <v>430933</v>
      </c>
    </row>
    <row r="740" spans="1:4" ht="14.4" customHeight="1" x14ac:dyDescent="0.3">
      <c r="A740" s="26">
        <v>41338</v>
      </c>
      <c r="B740" s="33" t="s">
        <v>2052</v>
      </c>
      <c r="C740" s="32" t="s">
        <v>1282</v>
      </c>
      <c r="D740" s="29">
        <v>2212866</v>
      </c>
    </row>
    <row r="741" spans="1:4" x14ac:dyDescent="0.3">
      <c r="A741" s="30">
        <v>41703</v>
      </c>
      <c r="B741" s="31" t="s">
        <v>2053</v>
      </c>
      <c r="C741" s="24" t="s">
        <v>1282</v>
      </c>
      <c r="D741" s="23">
        <v>464533</v>
      </c>
    </row>
    <row r="742" spans="1:4" x14ac:dyDescent="0.3">
      <c r="A742" s="30">
        <v>42068</v>
      </c>
      <c r="B742" s="31" t="s">
        <v>2054</v>
      </c>
      <c r="C742" s="24" t="s">
        <v>1282</v>
      </c>
      <c r="D742" s="23">
        <v>1432266</v>
      </c>
    </row>
    <row r="743" spans="1:4" x14ac:dyDescent="0.3">
      <c r="A743" s="30">
        <v>42434</v>
      </c>
      <c r="B743" s="31" t="s">
        <v>2055</v>
      </c>
      <c r="C743" s="24" t="s">
        <v>1282</v>
      </c>
      <c r="D743" s="23">
        <v>853866</v>
      </c>
    </row>
    <row r="744" spans="1:4" x14ac:dyDescent="0.3">
      <c r="A744" s="30">
        <v>42799</v>
      </c>
      <c r="B744" s="31" t="s">
        <v>2056</v>
      </c>
      <c r="C744" s="24" t="s">
        <v>1282</v>
      </c>
      <c r="D744" s="23">
        <v>3839532</v>
      </c>
    </row>
    <row r="745" spans="1:4" x14ac:dyDescent="0.3">
      <c r="A745" s="25" t="s">
        <v>2057</v>
      </c>
      <c r="B745" s="25"/>
      <c r="C745" s="25"/>
      <c r="D745" s="25"/>
    </row>
    <row r="746" spans="1:4" x14ac:dyDescent="0.3">
      <c r="A746" s="30">
        <v>36956</v>
      </c>
      <c r="B746" s="31" t="s">
        <v>2058</v>
      </c>
      <c r="C746" s="24" t="s">
        <v>1282</v>
      </c>
      <c r="D746" s="23">
        <v>384743</v>
      </c>
    </row>
    <row r="747" spans="1:4" x14ac:dyDescent="0.3">
      <c r="A747" s="30">
        <v>37321</v>
      </c>
      <c r="B747" s="20" t="s">
        <v>2059</v>
      </c>
      <c r="C747" s="24" t="s">
        <v>1282</v>
      </c>
      <c r="D747" s="23">
        <v>328054</v>
      </c>
    </row>
    <row r="748" spans="1:4" x14ac:dyDescent="0.3">
      <c r="A748" s="30">
        <v>37686</v>
      </c>
      <c r="B748" s="31" t="s">
        <v>2060</v>
      </c>
      <c r="C748" s="24" t="s">
        <v>1282</v>
      </c>
      <c r="D748" s="23">
        <v>405683</v>
      </c>
    </row>
    <row r="749" spans="1:4" x14ac:dyDescent="0.3">
      <c r="A749" s="30">
        <v>38052</v>
      </c>
      <c r="B749" s="31" t="s">
        <v>2061</v>
      </c>
      <c r="C749" s="24" t="s">
        <v>1282</v>
      </c>
      <c r="D749" s="23">
        <v>456849</v>
      </c>
    </row>
    <row r="750" spans="1:4" x14ac:dyDescent="0.3">
      <c r="A750" s="30">
        <v>38417</v>
      </c>
      <c r="B750" s="31" t="s">
        <v>2062</v>
      </c>
      <c r="C750" s="24" t="s">
        <v>1282</v>
      </c>
      <c r="D750" s="23">
        <v>387479</v>
      </c>
    </row>
    <row r="751" spans="1:4" x14ac:dyDescent="0.3">
      <c r="A751" s="30">
        <v>38782</v>
      </c>
      <c r="B751" s="31" t="s">
        <v>2063</v>
      </c>
      <c r="C751" s="24" t="s">
        <v>1282</v>
      </c>
      <c r="D751" s="23">
        <v>719683</v>
      </c>
    </row>
    <row r="752" spans="1:4" x14ac:dyDescent="0.3">
      <c r="A752" s="30">
        <v>39147</v>
      </c>
      <c r="B752" s="31" t="s">
        <v>2064</v>
      </c>
      <c r="C752" s="24" t="s">
        <v>1282</v>
      </c>
      <c r="D752" s="23">
        <v>456861</v>
      </c>
    </row>
    <row r="753" spans="1:4" x14ac:dyDescent="0.3">
      <c r="A753" s="30">
        <v>39513</v>
      </c>
      <c r="B753" s="31" t="s">
        <v>2065</v>
      </c>
      <c r="C753" s="24" t="s">
        <v>1282</v>
      </c>
      <c r="D753" s="23">
        <v>347037</v>
      </c>
    </row>
    <row r="754" spans="1:4" x14ac:dyDescent="0.3">
      <c r="A754" s="30">
        <v>39878</v>
      </c>
      <c r="B754" s="31" t="s">
        <v>2066</v>
      </c>
      <c r="C754" s="24" t="s">
        <v>1282</v>
      </c>
      <c r="D754" s="23">
        <v>683112</v>
      </c>
    </row>
    <row r="755" spans="1:4" ht="14.4" customHeight="1" x14ac:dyDescent="0.3">
      <c r="A755" s="26">
        <v>40243</v>
      </c>
      <c r="B755" s="33" t="s">
        <v>2067</v>
      </c>
      <c r="C755" s="32" t="s">
        <v>1304</v>
      </c>
      <c r="D755" s="29">
        <v>245760</v>
      </c>
    </row>
    <row r="756" spans="1:4" x14ac:dyDescent="0.3">
      <c r="A756" s="25" t="s">
        <v>2068</v>
      </c>
      <c r="B756" s="25"/>
      <c r="C756" s="25"/>
      <c r="D756" s="25"/>
    </row>
    <row r="757" spans="1:4" x14ac:dyDescent="0.3">
      <c r="A757" s="30">
        <v>36957</v>
      </c>
      <c r="B757" s="31" t="s">
        <v>2069</v>
      </c>
      <c r="C757" s="24" t="s">
        <v>1282</v>
      </c>
      <c r="D757" s="23">
        <v>566398</v>
      </c>
    </row>
    <row r="758" spans="1:4" x14ac:dyDescent="0.3">
      <c r="A758" s="25" t="s">
        <v>2070</v>
      </c>
      <c r="B758" s="25"/>
      <c r="C758" s="25"/>
      <c r="D758" s="25"/>
    </row>
    <row r="759" spans="1:4" x14ac:dyDescent="0.3">
      <c r="A759" s="30">
        <v>36958</v>
      </c>
      <c r="B759" s="31" t="s">
        <v>2071</v>
      </c>
      <c r="C759" s="24" t="s">
        <v>1282</v>
      </c>
      <c r="D759" s="23">
        <v>287880</v>
      </c>
    </row>
    <row r="760" spans="1:4" x14ac:dyDescent="0.3">
      <c r="A760" s="30">
        <v>37323</v>
      </c>
      <c r="B760" s="20" t="s">
        <v>2072</v>
      </c>
      <c r="C760" s="24" t="s">
        <v>1304</v>
      </c>
      <c r="D760" s="23">
        <v>12352</v>
      </c>
    </row>
    <row r="761" spans="1:4" x14ac:dyDescent="0.3">
      <c r="A761" s="30">
        <v>37688</v>
      </c>
      <c r="B761" s="31" t="s">
        <v>2073</v>
      </c>
      <c r="C761" s="24" t="s">
        <v>1282</v>
      </c>
      <c r="D761" s="23">
        <v>4865602</v>
      </c>
    </row>
    <row r="762" spans="1:4" x14ac:dyDescent="0.3">
      <c r="A762" s="30">
        <v>38054</v>
      </c>
      <c r="B762" s="20" t="s">
        <v>2074</v>
      </c>
      <c r="C762" s="24" t="s">
        <v>1282</v>
      </c>
      <c r="D762" s="23">
        <v>778178</v>
      </c>
    </row>
    <row r="763" spans="1:4" x14ac:dyDescent="0.3">
      <c r="A763" s="30">
        <v>38419</v>
      </c>
      <c r="B763" s="20" t="s">
        <v>2075</v>
      </c>
      <c r="C763" s="24" t="s">
        <v>1282</v>
      </c>
      <c r="D763" s="23">
        <v>111114</v>
      </c>
    </row>
    <row r="764" spans="1:4" x14ac:dyDescent="0.3">
      <c r="A764" s="30">
        <v>38784</v>
      </c>
      <c r="B764" s="20" t="s">
        <v>2076</v>
      </c>
      <c r="C764" s="24" t="s">
        <v>1282</v>
      </c>
      <c r="D764" s="23">
        <v>109355</v>
      </c>
    </row>
    <row r="765" spans="1:4" x14ac:dyDescent="0.3">
      <c r="A765" s="30">
        <v>39149</v>
      </c>
      <c r="B765" s="20" t="s">
        <v>2077</v>
      </c>
      <c r="C765" s="24" t="s">
        <v>1282</v>
      </c>
      <c r="D765" s="23">
        <v>19000</v>
      </c>
    </row>
    <row r="766" spans="1:4" x14ac:dyDescent="0.3">
      <c r="A766" s="25" t="s">
        <v>2078</v>
      </c>
      <c r="B766" s="25"/>
      <c r="C766" s="25"/>
      <c r="D766" s="25"/>
    </row>
    <row r="767" spans="1:4" x14ac:dyDescent="0.3">
      <c r="A767" s="30">
        <v>36959</v>
      </c>
      <c r="B767" s="20" t="s">
        <v>2079</v>
      </c>
      <c r="C767" s="24" t="s">
        <v>1282</v>
      </c>
      <c r="D767" s="23">
        <v>628332</v>
      </c>
    </row>
    <row r="768" spans="1:4" x14ac:dyDescent="0.3">
      <c r="A768" s="30">
        <v>37324</v>
      </c>
      <c r="B768" s="20" t="s">
        <v>2080</v>
      </c>
      <c r="C768" s="24" t="s">
        <v>1282</v>
      </c>
      <c r="D768" s="23">
        <v>596122</v>
      </c>
    </row>
    <row r="769" spans="1:4" x14ac:dyDescent="0.3">
      <c r="A769" s="25" t="s">
        <v>2081</v>
      </c>
      <c r="B769" s="25"/>
      <c r="C769" s="25"/>
      <c r="D769" s="25"/>
    </row>
    <row r="770" spans="1:4" x14ac:dyDescent="0.3">
      <c r="A770" s="30">
        <v>36960</v>
      </c>
      <c r="B770" s="31" t="s">
        <v>2082</v>
      </c>
      <c r="C770" s="24" t="s">
        <v>1282</v>
      </c>
      <c r="D770" s="23">
        <v>1568806</v>
      </c>
    </row>
    <row r="771" spans="1:4" x14ac:dyDescent="0.3">
      <c r="A771" s="30">
        <v>37325</v>
      </c>
      <c r="B771" s="20" t="s">
        <v>2083</v>
      </c>
      <c r="C771" s="24" t="s">
        <v>1282</v>
      </c>
      <c r="D771" s="23">
        <v>1391726</v>
      </c>
    </row>
    <row r="772" spans="1:4" x14ac:dyDescent="0.3">
      <c r="A772" s="30">
        <v>37690</v>
      </c>
      <c r="B772" s="31" t="s">
        <v>2084</v>
      </c>
      <c r="C772" s="24" t="s">
        <v>1282</v>
      </c>
      <c r="D772" s="23">
        <v>3160680</v>
      </c>
    </row>
    <row r="773" spans="1:4" x14ac:dyDescent="0.3">
      <c r="A773" s="30">
        <v>38056</v>
      </c>
      <c r="B773" s="31" t="s">
        <v>2085</v>
      </c>
      <c r="C773" s="24" t="s">
        <v>1282</v>
      </c>
      <c r="D773" s="23">
        <v>484770</v>
      </c>
    </row>
    <row r="774" spans="1:4" ht="14.4" customHeight="1" x14ac:dyDescent="0.3">
      <c r="A774" s="14" t="s">
        <v>2086</v>
      </c>
      <c r="B774" s="15"/>
      <c r="C774" s="15"/>
      <c r="D774" s="16"/>
    </row>
    <row r="775" spans="1:4" x14ac:dyDescent="0.3">
      <c r="A775" s="30">
        <v>36961</v>
      </c>
      <c r="B775" s="31" t="s">
        <v>2087</v>
      </c>
      <c r="C775" s="24" t="s">
        <v>1304</v>
      </c>
      <c r="D775" s="23">
        <v>354244</v>
      </c>
    </row>
    <row r="776" spans="1:4" x14ac:dyDescent="0.3">
      <c r="A776" s="30">
        <v>37326</v>
      </c>
      <c r="B776" s="31" t="s">
        <v>2088</v>
      </c>
      <c r="C776" s="24" t="s">
        <v>1282</v>
      </c>
      <c r="D776" s="23">
        <v>46519</v>
      </c>
    </row>
    <row r="777" spans="1:4" x14ac:dyDescent="0.3">
      <c r="A777" s="25" t="s">
        <v>2089</v>
      </c>
      <c r="B777" s="25"/>
      <c r="C777" s="25"/>
      <c r="D777" s="25"/>
    </row>
    <row r="778" spans="1:4" x14ac:dyDescent="0.3">
      <c r="A778" s="30">
        <v>36962</v>
      </c>
      <c r="B778" s="31" t="s">
        <v>2090</v>
      </c>
      <c r="C778" s="24" t="s">
        <v>1282</v>
      </c>
      <c r="D778" s="23">
        <v>6554847</v>
      </c>
    </row>
    <row r="779" spans="1:4" x14ac:dyDescent="0.3">
      <c r="A779" s="25" t="s">
        <v>2091</v>
      </c>
      <c r="B779" s="25"/>
      <c r="C779" s="25"/>
      <c r="D779" s="25"/>
    </row>
    <row r="780" spans="1:4" x14ac:dyDescent="0.3">
      <c r="A780" s="30">
        <v>36963</v>
      </c>
      <c r="B780" s="31" t="s">
        <v>2092</v>
      </c>
      <c r="C780" s="24" t="s">
        <v>1282</v>
      </c>
      <c r="D780" s="23">
        <v>180813094</v>
      </c>
    </row>
    <row r="781" spans="1:4" x14ac:dyDescent="0.3">
      <c r="A781" s="25" t="s">
        <v>2093</v>
      </c>
      <c r="B781" s="25"/>
      <c r="C781" s="25"/>
      <c r="D781" s="25"/>
    </row>
    <row r="782" spans="1:4" x14ac:dyDescent="0.3">
      <c r="A782" s="30">
        <v>36964</v>
      </c>
      <c r="B782" s="20" t="s">
        <v>2094</v>
      </c>
      <c r="C782" s="24" t="s">
        <v>1282</v>
      </c>
      <c r="D782" s="23">
        <v>296607</v>
      </c>
    </row>
    <row r="783" spans="1:4" x14ac:dyDescent="0.3">
      <c r="A783" s="30">
        <v>37329</v>
      </c>
      <c r="B783" s="31" t="s">
        <v>2095</v>
      </c>
      <c r="C783" s="24" t="s">
        <v>1282</v>
      </c>
      <c r="D783" s="23">
        <v>2750088</v>
      </c>
    </row>
    <row r="784" spans="1:4" x14ac:dyDescent="0.3">
      <c r="A784" s="30">
        <v>37694</v>
      </c>
      <c r="B784" s="31" t="s">
        <v>2096</v>
      </c>
      <c r="C784" s="24" t="s">
        <v>1282</v>
      </c>
      <c r="D784" s="23">
        <v>3132065</v>
      </c>
    </row>
    <row r="785" spans="1:4" x14ac:dyDescent="0.3">
      <c r="A785" s="25" t="s">
        <v>2097</v>
      </c>
      <c r="B785" s="25"/>
      <c r="C785" s="25"/>
      <c r="D785" s="25"/>
    </row>
    <row r="786" spans="1:4" ht="14.4" customHeight="1" x14ac:dyDescent="0.3">
      <c r="A786" s="26">
        <v>36965</v>
      </c>
      <c r="B786" s="27" t="s">
        <v>2098</v>
      </c>
      <c r="C786" s="32" t="s">
        <v>1304</v>
      </c>
      <c r="D786" s="29">
        <v>14292</v>
      </c>
    </row>
    <row r="787" spans="1:4" x14ac:dyDescent="0.3">
      <c r="A787" s="30">
        <v>37330</v>
      </c>
      <c r="B787" s="31" t="s">
        <v>2099</v>
      </c>
      <c r="C787" s="24" t="s">
        <v>1282</v>
      </c>
      <c r="D787" s="23">
        <v>56020</v>
      </c>
    </row>
    <row r="788" spans="1:4" x14ac:dyDescent="0.3">
      <c r="A788" s="30">
        <v>37695</v>
      </c>
      <c r="B788" s="20" t="s">
        <v>2100</v>
      </c>
      <c r="C788" s="24" t="s">
        <v>1282</v>
      </c>
      <c r="D788" s="23">
        <v>347168</v>
      </c>
    </row>
    <row r="789" spans="1:4" ht="14.4" customHeight="1" x14ac:dyDescent="0.3">
      <c r="A789" s="26">
        <v>38061</v>
      </c>
      <c r="B789" s="27" t="s">
        <v>2101</v>
      </c>
      <c r="C789" s="32" t="s">
        <v>1282</v>
      </c>
      <c r="D789" s="29">
        <v>1154118</v>
      </c>
    </row>
    <row r="790" spans="1:4" x14ac:dyDescent="0.3">
      <c r="A790" s="30">
        <v>38426</v>
      </c>
      <c r="B790" s="20" t="s">
        <v>2102</v>
      </c>
      <c r="C790" s="24" t="s">
        <v>1282</v>
      </c>
      <c r="D790" s="23">
        <v>83817</v>
      </c>
    </row>
    <row r="791" spans="1:4" x14ac:dyDescent="0.3">
      <c r="A791" s="30">
        <v>38791</v>
      </c>
      <c r="B791" s="31" t="s">
        <v>2103</v>
      </c>
      <c r="C791" s="24" t="s">
        <v>1282</v>
      </c>
      <c r="D791" s="23">
        <v>1384791</v>
      </c>
    </row>
    <row r="792" spans="1:4" x14ac:dyDescent="0.3">
      <c r="A792" s="25" t="s">
        <v>2104</v>
      </c>
      <c r="B792" s="25"/>
      <c r="C792" s="25"/>
      <c r="D792" s="25"/>
    </row>
    <row r="793" spans="1:4" x14ac:dyDescent="0.3">
      <c r="A793" s="30">
        <v>36966</v>
      </c>
      <c r="B793" s="31" t="s">
        <v>2105</v>
      </c>
      <c r="C793" s="24" t="s">
        <v>1304</v>
      </c>
      <c r="D793" s="23">
        <v>22027495</v>
      </c>
    </row>
    <row r="794" spans="1:4" x14ac:dyDescent="0.3">
      <c r="A794" s="25" t="s">
        <v>2106</v>
      </c>
      <c r="B794" s="25"/>
      <c r="C794" s="25"/>
      <c r="D794" s="25"/>
    </row>
    <row r="795" spans="1:4" x14ac:dyDescent="0.3">
      <c r="A795" s="30">
        <v>36967</v>
      </c>
      <c r="B795" s="31" t="s">
        <v>2107</v>
      </c>
      <c r="C795" s="24" t="s">
        <v>1327</v>
      </c>
      <c r="D795" s="23">
        <v>1672099</v>
      </c>
    </row>
    <row r="796" spans="1:4" x14ac:dyDescent="0.3">
      <c r="A796" s="30">
        <v>37332</v>
      </c>
      <c r="B796" s="20" t="s">
        <v>2108</v>
      </c>
      <c r="C796" s="24" t="s">
        <v>1327</v>
      </c>
      <c r="D796" s="23">
        <v>6866513</v>
      </c>
    </row>
    <row r="797" spans="1:4" x14ac:dyDescent="0.3">
      <c r="A797" s="40" t="s">
        <v>2109</v>
      </c>
      <c r="B797" s="40"/>
      <c r="C797" s="40"/>
      <c r="D797" s="40"/>
    </row>
    <row r="798" spans="1:4" ht="14.4" customHeight="1" x14ac:dyDescent="0.3">
      <c r="A798" s="26">
        <v>36968</v>
      </c>
      <c r="B798" s="33" t="s">
        <v>2110</v>
      </c>
      <c r="C798" s="32" t="s">
        <v>1282</v>
      </c>
      <c r="D798" s="29">
        <v>215667</v>
      </c>
    </row>
    <row r="799" spans="1:4" x14ac:dyDescent="0.3">
      <c r="A799" s="30">
        <v>37333</v>
      </c>
      <c r="B799" s="31" t="s">
        <v>2111</v>
      </c>
      <c r="C799" s="24" t="s">
        <v>1282</v>
      </c>
      <c r="D799" s="23">
        <v>310754</v>
      </c>
    </row>
    <row r="800" spans="1:4" x14ac:dyDescent="0.3">
      <c r="A800" s="30">
        <v>37698</v>
      </c>
      <c r="B800" s="31" t="s">
        <v>2112</v>
      </c>
      <c r="C800" s="24" t="s">
        <v>1282</v>
      </c>
      <c r="D800" s="23">
        <v>380324</v>
      </c>
    </row>
    <row r="801" spans="1:4" x14ac:dyDescent="0.3">
      <c r="A801" s="30">
        <v>38064</v>
      </c>
      <c r="B801" s="31" t="s">
        <v>2113</v>
      </c>
      <c r="C801" s="24" t="s">
        <v>1282</v>
      </c>
      <c r="D801" s="23">
        <v>633273</v>
      </c>
    </row>
    <row r="802" spans="1:4" ht="14.4" customHeight="1" x14ac:dyDescent="0.3">
      <c r="A802" s="26">
        <v>38429</v>
      </c>
      <c r="B802" s="33" t="s">
        <v>2114</v>
      </c>
      <c r="C802" s="32" t="s">
        <v>1282</v>
      </c>
      <c r="D802" s="29">
        <v>724307</v>
      </c>
    </row>
    <row r="803" spans="1:4" x14ac:dyDescent="0.3">
      <c r="A803" s="30">
        <v>38794</v>
      </c>
      <c r="B803" s="20" t="s">
        <v>2115</v>
      </c>
      <c r="C803" s="24" t="s">
        <v>1282</v>
      </c>
      <c r="D803" s="23">
        <v>835128</v>
      </c>
    </row>
    <row r="804" spans="1:4" x14ac:dyDescent="0.3">
      <c r="A804" s="30">
        <v>39159</v>
      </c>
      <c r="B804" s="31" t="s">
        <v>2116</v>
      </c>
      <c r="C804" s="24" t="s">
        <v>1282</v>
      </c>
      <c r="D804" s="23">
        <v>151935</v>
      </c>
    </row>
    <row r="805" spans="1:4" x14ac:dyDescent="0.3">
      <c r="A805" s="30">
        <v>39525</v>
      </c>
      <c r="B805" s="31" t="s">
        <v>2117</v>
      </c>
      <c r="C805" s="24" t="s">
        <v>1282</v>
      </c>
      <c r="D805" s="23">
        <v>154366</v>
      </c>
    </row>
    <row r="806" spans="1:4" x14ac:dyDescent="0.3">
      <c r="A806" s="30">
        <v>39890</v>
      </c>
      <c r="B806" s="20" t="s">
        <v>2118</v>
      </c>
      <c r="C806" s="24" t="s">
        <v>1282</v>
      </c>
      <c r="D806" s="23">
        <v>230000</v>
      </c>
    </row>
    <row r="807" spans="1:4" x14ac:dyDescent="0.3">
      <c r="A807" s="30">
        <v>40255</v>
      </c>
      <c r="B807" s="31" t="s">
        <v>2119</v>
      </c>
      <c r="C807" s="24" t="s">
        <v>1282</v>
      </c>
      <c r="D807" s="23">
        <v>199814</v>
      </c>
    </row>
    <row r="808" spans="1:4" ht="14.4" customHeight="1" x14ac:dyDescent="0.3">
      <c r="A808" s="26">
        <v>40620</v>
      </c>
      <c r="B808" s="27" t="s">
        <v>2120</v>
      </c>
      <c r="C808" s="32" t="s">
        <v>1282</v>
      </c>
      <c r="D808" s="41">
        <v>180783</v>
      </c>
    </row>
    <row r="809" spans="1:4" x14ac:dyDescent="0.3">
      <c r="A809" s="30">
        <v>40986</v>
      </c>
      <c r="B809" s="20" t="s">
        <v>2121</v>
      </c>
      <c r="C809" s="24" t="s">
        <v>1282</v>
      </c>
      <c r="D809" s="23">
        <v>185388</v>
      </c>
    </row>
    <row r="810" spans="1:4" x14ac:dyDescent="0.3">
      <c r="A810" s="30">
        <v>41351</v>
      </c>
      <c r="B810" s="31" t="s">
        <v>2122</v>
      </c>
      <c r="C810" s="24" t="s">
        <v>1282</v>
      </c>
      <c r="D810" s="23">
        <v>191894</v>
      </c>
    </row>
    <row r="811" spans="1:4" x14ac:dyDescent="0.3">
      <c r="A811" s="30">
        <v>41716</v>
      </c>
      <c r="B811" s="31" t="s">
        <v>2123</v>
      </c>
      <c r="C811" s="24" t="s">
        <v>1282</v>
      </c>
      <c r="D811" s="23">
        <v>219271</v>
      </c>
    </row>
    <row r="812" spans="1:4" ht="14.4" customHeight="1" x14ac:dyDescent="0.3">
      <c r="A812" s="26">
        <v>42081</v>
      </c>
      <c r="B812" s="33" t="s">
        <v>2124</v>
      </c>
      <c r="C812" s="32" t="s">
        <v>1282</v>
      </c>
      <c r="D812" s="29">
        <v>354974</v>
      </c>
    </row>
    <row r="813" spans="1:4" x14ac:dyDescent="0.3">
      <c r="A813" s="30">
        <v>42447</v>
      </c>
      <c r="B813" s="31" t="s">
        <v>2125</v>
      </c>
      <c r="C813" s="24" t="s">
        <v>1282</v>
      </c>
      <c r="D813" s="23">
        <v>253449</v>
      </c>
    </row>
    <row r="814" spans="1:4" x14ac:dyDescent="0.3">
      <c r="A814" s="30">
        <v>42812</v>
      </c>
      <c r="B814" s="20" t="s">
        <v>2126</v>
      </c>
      <c r="C814" s="24" t="s">
        <v>1282</v>
      </c>
      <c r="D814" s="23">
        <v>155749</v>
      </c>
    </row>
    <row r="815" spans="1:4" ht="14.4" customHeight="1" x14ac:dyDescent="0.3">
      <c r="A815" s="26">
        <v>43177</v>
      </c>
      <c r="B815" s="27" t="s">
        <v>2127</v>
      </c>
      <c r="C815" s="32" t="s">
        <v>1282</v>
      </c>
      <c r="D815" s="29">
        <v>351336</v>
      </c>
    </row>
    <row r="816" spans="1:4" x14ac:dyDescent="0.3">
      <c r="A816" s="30">
        <v>43542</v>
      </c>
      <c r="B816" s="31" t="s">
        <v>2128</v>
      </c>
      <c r="C816" s="24" t="s">
        <v>1304</v>
      </c>
      <c r="D816" s="23">
        <v>17565</v>
      </c>
    </row>
    <row r="817" spans="1:4" x14ac:dyDescent="0.3">
      <c r="A817" s="30">
        <v>43908</v>
      </c>
      <c r="B817" s="20" t="s">
        <v>2129</v>
      </c>
      <c r="C817" s="24" t="s">
        <v>1282</v>
      </c>
      <c r="D817" s="23">
        <v>118417</v>
      </c>
    </row>
    <row r="818" spans="1:4" ht="14.4" customHeight="1" x14ac:dyDescent="0.3">
      <c r="A818" s="26">
        <v>44273</v>
      </c>
      <c r="B818" s="33" t="s">
        <v>2130</v>
      </c>
      <c r="C818" s="32" t="s">
        <v>1304</v>
      </c>
      <c r="D818" s="29">
        <v>57816</v>
      </c>
    </row>
    <row r="819" spans="1:4" x14ac:dyDescent="0.3">
      <c r="A819" s="30">
        <v>44638</v>
      </c>
      <c r="B819" s="20" t="s">
        <v>2131</v>
      </c>
      <c r="C819" s="24" t="s">
        <v>1282</v>
      </c>
      <c r="D819" s="23">
        <v>8484</v>
      </c>
    </row>
    <row r="820" spans="1:4" x14ac:dyDescent="0.3">
      <c r="A820" s="30">
        <v>45003</v>
      </c>
      <c r="B820" s="20" t="s">
        <v>2132</v>
      </c>
      <c r="C820" s="24" t="s">
        <v>1282</v>
      </c>
      <c r="D820" s="23">
        <v>60583</v>
      </c>
    </row>
    <row r="821" spans="1:4" x14ac:dyDescent="0.3">
      <c r="A821" s="30">
        <v>45369</v>
      </c>
      <c r="B821" s="20" t="s">
        <v>2133</v>
      </c>
      <c r="C821" s="24" t="s">
        <v>1304</v>
      </c>
      <c r="D821" s="23">
        <v>52146</v>
      </c>
    </row>
    <row r="822" spans="1:4" x14ac:dyDescent="0.3">
      <c r="A822" s="30">
        <v>45734</v>
      </c>
      <c r="B822" s="31" t="s">
        <v>2134</v>
      </c>
      <c r="C822" s="24" t="s">
        <v>1282</v>
      </c>
      <c r="D822" s="23">
        <v>763688</v>
      </c>
    </row>
    <row r="823" spans="1:4" ht="14.4" customHeight="1" x14ac:dyDescent="0.3">
      <c r="A823" s="26">
        <v>46099</v>
      </c>
      <c r="B823" s="27" t="s">
        <v>2135</v>
      </c>
      <c r="C823" s="32" t="s">
        <v>1304</v>
      </c>
      <c r="D823" s="29">
        <v>14899</v>
      </c>
    </row>
    <row r="824" spans="1:4" x14ac:dyDescent="0.3">
      <c r="A824" s="30">
        <v>46464</v>
      </c>
      <c r="B824" s="20" t="s">
        <v>2136</v>
      </c>
      <c r="C824" s="24" t="s">
        <v>1304</v>
      </c>
      <c r="D824" s="23">
        <v>30411</v>
      </c>
    </row>
    <row r="825" spans="1:4" x14ac:dyDescent="0.3">
      <c r="A825" s="30">
        <v>46830</v>
      </c>
      <c r="B825" s="20" t="s">
        <v>2137</v>
      </c>
      <c r="C825" s="24" t="s">
        <v>1304</v>
      </c>
      <c r="D825" s="23">
        <v>8628</v>
      </c>
    </row>
    <row r="826" spans="1:4" x14ac:dyDescent="0.3">
      <c r="A826" s="30">
        <v>47195</v>
      </c>
      <c r="B826" s="20" t="s">
        <v>2138</v>
      </c>
      <c r="C826" s="24" t="s">
        <v>1304</v>
      </c>
      <c r="D826" s="23">
        <v>14714</v>
      </c>
    </row>
    <row r="827" spans="1:4" x14ac:dyDescent="0.3">
      <c r="A827" s="30">
        <v>11035</v>
      </c>
      <c r="B827" s="20" t="s">
        <v>2139</v>
      </c>
      <c r="C827" s="24" t="s">
        <v>1304</v>
      </c>
      <c r="D827" s="23">
        <v>16346</v>
      </c>
    </row>
    <row r="828" spans="1:4" x14ac:dyDescent="0.3">
      <c r="A828" s="30">
        <v>11400</v>
      </c>
      <c r="B828" s="31" t="s">
        <v>2140</v>
      </c>
      <c r="C828" s="24" t="s">
        <v>1282</v>
      </c>
      <c r="D828" s="23">
        <v>223051</v>
      </c>
    </row>
    <row r="829" spans="1:4" x14ac:dyDescent="0.3">
      <c r="A829" s="30">
        <v>11766</v>
      </c>
      <c r="B829" s="31" t="s">
        <v>2141</v>
      </c>
      <c r="C829" s="24" t="s">
        <v>1282</v>
      </c>
      <c r="D829" s="23">
        <v>257229</v>
      </c>
    </row>
    <row r="830" spans="1:4" x14ac:dyDescent="0.3">
      <c r="A830" s="30">
        <v>12131</v>
      </c>
      <c r="B830" s="31" t="s">
        <v>2117</v>
      </c>
      <c r="C830" s="24" t="s">
        <v>1282</v>
      </c>
      <c r="D830" s="23">
        <v>154770</v>
      </c>
    </row>
    <row r="831" spans="1:4" ht="14.4" customHeight="1" x14ac:dyDescent="0.3">
      <c r="A831" s="26">
        <v>12496</v>
      </c>
      <c r="B831" s="33" t="s">
        <v>2142</v>
      </c>
      <c r="C831" s="32" t="s">
        <v>1282</v>
      </c>
      <c r="D831" s="29">
        <v>340691</v>
      </c>
    </row>
    <row r="832" spans="1:4" x14ac:dyDescent="0.3">
      <c r="A832" s="30">
        <v>12861</v>
      </c>
      <c r="B832" s="31" t="s">
        <v>2143</v>
      </c>
      <c r="C832" s="24" t="s">
        <v>1282</v>
      </c>
      <c r="D832" s="23">
        <v>205844</v>
      </c>
    </row>
    <row r="833" spans="1:4" x14ac:dyDescent="0.3">
      <c r="A833" s="30">
        <v>13227</v>
      </c>
      <c r="B833" s="31" t="s">
        <v>2144</v>
      </c>
      <c r="C833" s="24" t="s">
        <v>1282</v>
      </c>
      <c r="D833" s="23">
        <v>366617</v>
      </c>
    </row>
    <row r="834" spans="1:4" ht="14.4" customHeight="1" x14ac:dyDescent="0.3">
      <c r="C834"/>
      <c r="D834"/>
    </row>
    <row r="835" spans="1:4" x14ac:dyDescent="0.3">
      <c r="C835"/>
      <c r="D835"/>
    </row>
    <row r="836" spans="1:4" x14ac:dyDescent="0.3">
      <c r="C836"/>
      <c r="D836"/>
    </row>
    <row r="837" spans="1:4" x14ac:dyDescent="0.3">
      <c r="C837"/>
      <c r="D837"/>
    </row>
    <row r="838" spans="1:4" ht="14.4" customHeight="1" x14ac:dyDescent="0.3">
      <c r="C838"/>
      <c r="D838"/>
    </row>
    <row r="839" spans="1:4" x14ac:dyDescent="0.3">
      <c r="C839"/>
      <c r="D839"/>
    </row>
    <row r="840" spans="1:4" x14ac:dyDescent="0.3">
      <c r="C840"/>
      <c r="D840"/>
    </row>
    <row r="841" spans="1:4" x14ac:dyDescent="0.3">
      <c r="C841"/>
      <c r="D841"/>
    </row>
    <row r="842" spans="1:4" x14ac:dyDescent="0.3">
      <c r="C842"/>
      <c r="D842"/>
    </row>
    <row r="843" spans="1:4" x14ac:dyDescent="0.3">
      <c r="C843"/>
      <c r="D843"/>
    </row>
    <row r="844" spans="1:4" x14ac:dyDescent="0.3">
      <c r="C844"/>
      <c r="D844"/>
    </row>
    <row r="845" spans="1:4" x14ac:dyDescent="0.3">
      <c r="C845"/>
      <c r="D845"/>
    </row>
    <row r="846" spans="1:4" x14ac:dyDescent="0.3">
      <c r="C846"/>
      <c r="D846"/>
    </row>
    <row r="847" spans="1:4" x14ac:dyDescent="0.3">
      <c r="C847"/>
      <c r="D847"/>
    </row>
    <row r="848" spans="1:4" x14ac:dyDescent="0.3">
      <c r="C848"/>
      <c r="D848"/>
    </row>
    <row r="849" spans="3:4" x14ac:dyDescent="0.3">
      <c r="C849"/>
      <c r="D849"/>
    </row>
    <row r="850" spans="3:4" x14ac:dyDescent="0.3">
      <c r="C850"/>
      <c r="D850"/>
    </row>
    <row r="851" spans="3:4" x14ac:dyDescent="0.3">
      <c r="C851"/>
      <c r="D851"/>
    </row>
    <row r="852" spans="3:4" x14ac:dyDescent="0.3">
      <c r="C852"/>
      <c r="D852"/>
    </row>
    <row r="853" spans="3:4" x14ac:dyDescent="0.3">
      <c r="C853"/>
      <c r="D853"/>
    </row>
    <row r="854" spans="3:4" x14ac:dyDescent="0.3">
      <c r="C854"/>
      <c r="D854"/>
    </row>
    <row r="855" spans="3:4" x14ac:dyDescent="0.3">
      <c r="C855"/>
      <c r="D855"/>
    </row>
    <row r="856" spans="3:4" x14ac:dyDescent="0.3">
      <c r="C856"/>
      <c r="D856"/>
    </row>
    <row r="857" spans="3:4" x14ac:dyDescent="0.3">
      <c r="C857"/>
      <c r="D857"/>
    </row>
    <row r="858" spans="3:4" x14ac:dyDescent="0.3">
      <c r="C858"/>
      <c r="D858"/>
    </row>
    <row r="859" spans="3:4" x14ac:dyDescent="0.3">
      <c r="C859"/>
      <c r="D859"/>
    </row>
    <row r="860" spans="3:4" x14ac:dyDescent="0.3">
      <c r="C860"/>
      <c r="D860"/>
    </row>
    <row r="861" spans="3:4" x14ac:dyDescent="0.3">
      <c r="C861"/>
      <c r="D861"/>
    </row>
    <row r="862" spans="3:4" x14ac:dyDescent="0.3">
      <c r="C862"/>
      <c r="D862"/>
    </row>
    <row r="863" spans="3:4" x14ac:dyDescent="0.3">
      <c r="C863"/>
      <c r="D863"/>
    </row>
    <row r="864" spans="3:4" x14ac:dyDescent="0.3">
      <c r="C864"/>
      <c r="D864"/>
    </row>
    <row r="865" spans="3:4" x14ac:dyDescent="0.3">
      <c r="C865"/>
      <c r="D865"/>
    </row>
    <row r="866" spans="3:4" x14ac:dyDescent="0.3">
      <c r="C866"/>
      <c r="D866"/>
    </row>
    <row r="867" spans="3:4" x14ac:dyDescent="0.3">
      <c r="C867"/>
      <c r="D867"/>
    </row>
    <row r="868" spans="3:4" x14ac:dyDescent="0.3">
      <c r="C868"/>
      <c r="D868"/>
    </row>
    <row r="869" spans="3:4" x14ac:dyDescent="0.3">
      <c r="C869"/>
      <c r="D869"/>
    </row>
    <row r="870" spans="3:4" x14ac:dyDescent="0.3">
      <c r="C870"/>
      <c r="D870"/>
    </row>
    <row r="871" spans="3:4" x14ac:dyDescent="0.3">
      <c r="C871"/>
      <c r="D871"/>
    </row>
    <row r="872" spans="3:4" x14ac:dyDescent="0.3">
      <c r="C872"/>
      <c r="D872"/>
    </row>
    <row r="873" spans="3:4" x14ac:dyDescent="0.3">
      <c r="C873"/>
      <c r="D873"/>
    </row>
    <row r="874" spans="3:4" x14ac:dyDescent="0.3">
      <c r="C874"/>
      <c r="D874"/>
    </row>
    <row r="875" spans="3:4" x14ac:dyDescent="0.3">
      <c r="C875"/>
      <c r="D875"/>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6A4B6323-971D-49C9-881B-B49B603A769D}">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15</vt:i4>
      </vt:variant>
    </vt:vector>
  </HeadingPairs>
  <TitlesOfParts>
    <vt:vector size="24" baseType="lpstr">
      <vt:lpstr>PRESUPUESTO</vt:lpstr>
      <vt:lpstr>INF. GENERAL</vt:lpstr>
      <vt:lpstr>MEMORIA CANTIDADES</vt:lpstr>
      <vt:lpstr>CopyMC</vt:lpstr>
      <vt:lpstr>APU</vt:lpstr>
      <vt:lpstr>LS</vt:lpstr>
      <vt:lpstr>CopyAPU</vt:lpstr>
      <vt:lpstr>INSUMOS</vt:lpstr>
      <vt:lpstr>Actividades</vt:lpstr>
      <vt:lpstr>CopyAPU!APU_1</vt:lpstr>
      <vt:lpstr>APU_1</vt:lpstr>
      <vt:lpstr>APU1.1</vt:lpstr>
      <vt:lpstr>APU!Área_de_impresión</vt:lpstr>
      <vt:lpstr>CopyAPU!Área_de_impresión</vt:lpstr>
      <vt:lpstr>CopyMC!Área_de_impresión</vt:lpstr>
      <vt:lpstr>'MEMORIA CANTIDADES'!Área_de_impresión</vt:lpstr>
      <vt:lpstr>PRESUPUESTO!Área_de_impresión</vt:lpstr>
      <vt:lpstr>LS!Criterios</vt:lpstr>
      <vt:lpstr>CopyAPU!Descripcion</vt:lpstr>
      <vt:lpstr>Descripcion</vt:lpstr>
      <vt:lpstr>E1.1</vt:lpstr>
      <vt:lpstr>M1.1</vt:lpstr>
      <vt:lpstr>MO1.1</vt:lpstr>
      <vt:lpstr>TR1.1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CRISTIAN GUILLERMO LEDESMA AMPUDIA</dc:creator>
  <cp:keywords/>
  <dc:description/>
  <cp:lastModifiedBy>enrique cabarcas</cp:lastModifiedBy>
  <cp:revision/>
  <cp:lastPrinted>2024-12-13T02:31:27Z</cp:lastPrinted>
  <dcterms:created xsi:type="dcterms:W3CDTF">2024-01-19T15:40:10Z</dcterms:created>
  <dcterms:modified xsi:type="dcterms:W3CDTF">2026-09-03T16:20:45Z</dcterms:modified>
  <cp:category/>
  <cp:contentStatus/>
</cp:coreProperties>
</file>