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89) #372 RED CORPORATIVA WAN-LAN, SEGURIDAD INFORMÁTICA 2junio/"/>
    </mc:Choice>
  </mc:AlternateContent>
  <xr:revisionPtr revIDLastSave="0" documentId="8_{645B9D9B-410E-48B6-8A48-3CD30DA80A79}" xr6:coauthVersionLast="47" xr6:coauthVersionMax="47" xr10:uidLastSave="{00000000-0000-0000-0000-000000000000}"/>
  <bookViews>
    <workbookView xWindow="-120" yWindow="-120" windowWidth="29040" windowHeight="15720" tabRatio="500" activeTab="4" xr2:uid="{00000000-000D-0000-FFFF-FFFF00000000}"/>
  </bookViews>
  <sheets>
    <sheet name="1. Parámetros" sheetId="2" r:id="rId1"/>
    <sheet name="2. Personal 36 meses" sheetId="3" r:id="rId2"/>
    <sheet name="3. Costos Operativos" sheetId="4" r:id="rId3"/>
    <sheet name="4. Costos por Demanda" sheetId="5" r:id="rId4"/>
    <sheet name="5. Resumen Ejecutivo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38" i="4" l="1"/>
  <c r="S11" i="5"/>
  <c r="T11" i="5" s="1"/>
  <c r="Q11" i="5"/>
  <c r="S9" i="5"/>
  <c r="Q9" i="5"/>
  <c r="S8" i="5"/>
  <c r="S7" i="5"/>
  <c r="S6" i="5"/>
  <c r="R6" i="5"/>
  <c r="S5" i="5"/>
  <c r="R5" i="5"/>
  <c r="S36" i="4"/>
  <c r="R36" i="4"/>
  <c r="S38" i="4"/>
  <c r="R38" i="4"/>
  <c r="S37" i="4"/>
  <c r="S35" i="4"/>
  <c r="T35" i="4" s="1"/>
  <c r="S34" i="4"/>
  <c r="S33" i="4"/>
  <c r="Q34" i="4"/>
  <c r="Q35" i="4"/>
  <c r="Q36" i="4"/>
  <c r="Q37" i="4"/>
  <c r="Q33" i="4"/>
  <c r="S29" i="4"/>
  <c r="R29" i="4"/>
  <c r="Q29" i="4"/>
  <c r="S28" i="4"/>
  <c r="R28" i="4"/>
  <c r="Q28" i="4"/>
  <c r="Q27" i="4"/>
  <c r="S27" i="4"/>
  <c r="R27" i="4"/>
  <c r="S26" i="4"/>
  <c r="R26" i="4"/>
  <c r="Q26" i="4"/>
  <c r="S25" i="4"/>
  <c r="R25" i="4"/>
  <c r="Q25" i="4"/>
  <c r="Q24" i="4"/>
  <c r="S24" i="4"/>
  <c r="S23" i="4"/>
  <c r="R23" i="4"/>
  <c r="Q23" i="4"/>
  <c r="S9" i="4"/>
  <c r="S8" i="4"/>
  <c r="Q8" i="4"/>
  <c r="S6" i="4"/>
  <c r="Q6" i="4"/>
  <c r="R6" i="4"/>
  <c r="S5" i="4"/>
  <c r="Q5" i="4"/>
  <c r="R19" i="4"/>
  <c r="Q19" i="4"/>
  <c r="S19" i="4"/>
  <c r="S18" i="4"/>
  <c r="R18" i="4"/>
  <c r="Q18" i="4"/>
  <c r="S17" i="4"/>
  <c r="S16" i="4"/>
  <c r="S15" i="4"/>
  <c r="S14" i="4"/>
  <c r="S13" i="4"/>
  <c r="Q15" i="4"/>
  <c r="R17" i="4"/>
  <c r="Q16" i="4"/>
  <c r="Q17" i="4"/>
  <c r="Q14" i="4"/>
  <c r="Q13" i="4"/>
  <c r="R13" i="4"/>
  <c r="V23" i="3"/>
  <c r="T23" i="3"/>
  <c r="V24" i="3"/>
  <c r="V22" i="3"/>
  <c r="U22" i="3"/>
  <c r="T22" i="3"/>
  <c r="T24" i="3"/>
  <c r="V25" i="3"/>
  <c r="T25" i="3"/>
  <c r="V16" i="3"/>
  <c r="V17" i="3"/>
  <c r="V18" i="3"/>
  <c r="V19" i="3"/>
  <c r="V20" i="3"/>
  <c r="V15" i="3"/>
  <c r="U15" i="3"/>
  <c r="T16" i="3"/>
  <c r="T17" i="3"/>
  <c r="T18" i="3"/>
  <c r="T19" i="3"/>
  <c r="T20" i="3"/>
  <c r="T15" i="3"/>
  <c r="V10" i="3"/>
  <c r="V11" i="3"/>
  <c r="V12" i="3"/>
  <c r="V13" i="3"/>
  <c r="U9" i="3"/>
  <c r="T10" i="3"/>
  <c r="T11" i="3"/>
  <c r="T12" i="3"/>
  <c r="T13" i="3"/>
  <c r="T9" i="3"/>
  <c r="V7" i="3"/>
  <c r="T7" i="3"/>
  <c r="V6" i="3"/>
  <c r="U6" i="3"/>
  <c r="T6" i="3"/>
  <c r="V5" i="3"/>
  <c r="T5" i="3"/>
  <c r="S10" i="5"/>
  <c r="R10" i="5"/>
  <c r="R8" i="5"/>
  <c r="R7" i="5"/>
  <c r="Q5" i="5"/>
  <c r="R9" i="4"/>
  <c r="R7" i="4"/>
  <c r="S7" i="4"/>
  <c r="R8" i="4"/>
  <c r="R5" i="4"/>
  <c r="V9" i="3"/>
  <c r="T5" i="5" l="1"/>
  <c r="E11" i="1"/>
  <c r="G5" i="5" l="1"/>
  <c r="T27" i="4"/>
  <c r="G5" i="4"/>
  <c r="W23" i="3"/>
  <c r="W17" i="3"/>
  <c r="W11" i="3"/>
  <c r="W5" i="3"/>
  <c r="W24" i="3"/>
  <c r="W25" i="3"/>
  <c r="W22" i="3"/>
  <c r="W16" i="3"/>
  <c r="W18" i="3"/>
  <c r="W19" i="3"/>
  <c r="W20" i="3"/>
  <c r="W15" i="3"/>
  <c r="W10" i="3"/>
  <c r="W12" i="3"/>
  <c r="W13" i="3"/>
  <c r="W9" i="3"/>
  <c r="W6" i="3"/>
  <c r="W7" i="3"/>
  <c r="T33" i="4"/>
  <c r="T19" i="4"/>
  <c r="T9" i="5"/>
  <c r="G8" i="5"/>
  <c r="G9" i="5"/>
  <c r="G10" i="5"/>
  <c r="G11" i="5"/>
  <c r="G34" i="4"/>
  <c r="G35" i="4"/>
  <c r="G37" i="4"/>
  <c r="G23" i="4"/>
  <c r="G16" i="4"/>
  <c r="E22" i="3"/>
  <c r="Q6" i="5"/>
  <c r="T6" i="5" s="1"/>
  <c r="Q7" i="5"/>
  <c r="T7" i="5" s="1"/>
  <c r="Q8" i="5"/>
  <c r="T8" i="5" s="1"/>
  <c r="R9" i="5"/>
  <c r="Q10" i="5"/>
  <c r="T10" i="5" s="1"/>
  <c r="R11" i="5"/>
  <c r="R34" i="4"/>
  <c r="T34" i="4"/>
  <c r="R35" i="4"/>
  <c r="T36" i="4"/>
  <c r="R37" i="4"/>
  <c r="T37" i="4"/>
  <c r="G38" i="4"/>
  <c r="G33" i="4"/>
  <c r="R33" i="4"/>
  <c r="R24" i="4"/>
  <c r="G24" i="4"/>
  <c r="G25" i="4"/>
  <c r="G26" i="4"/>
  <c r="G27" i="4"/>
  <c r="T28" i="4"/>
  <c r="T29" i="4"/>
  <c r="T23" i="4"/>
  <c r="R14" i="4"/>
  <c r="T14" i="4"/>
  <c r="R15" i="4"/>
  <c r="T15" i="4"/>
  <c r="R16" i="4"/>
  <c r="T16" i="4"/>
  <c r="G17" i="4"/>
  <c r="G18" i="4"/>
  <c r="G19" i="4"/>
  <c r="T13" i="4"/>
  <c r="T6" i="4"/>
  <c r="G6" i="4"/>
  <c r="Q7" i="4"/>
  <c r="T7" i="4" s="1"/>
  <c r="G7" i="4"/>
  <c r="T8" i="4"/>
  <c r="Q9" i="4"/>
  <c r="T9" i="4" s="1"/>
  <c r="U16" i="3"/>
  <c r="U17" i="3"/>
  <c r="U18" i="3"/>
  <c r="U19" i="3"/>
  <c r="U20" i="3"/>
  <c r="U23" i="3"/>
  <c r="U24" i="3"/>
  <c r="U25" i="3"/>
  <c r="U10" i="3"/>
  <c r="U11" i="3"/>
  <c r="U12" i="3"/>
  <c r="U13" i="3"/>
  <c r="U7" i="3"/>
  <c r="U5" i="3"/>
  <c r="G7" i="5"/>
  <c r="G6" i="5"/>
  <c r="F25" i="3"/>
  <c r="G25" i="3" s="1"/>
  <c r="H25" i="3" s="1"/>
  <c r="F24" i="3"/>
  <c r="G24" i="3" s="1"/>
  <c r="F23" i="3"/>
  <c r="F22" i="3"/>
  <c r="F20" i="3"/>
  <c r="F19" i="3"/>
  <c r="G19" i="3" s="1"/>
  <c r="F18" i="3"/>
  <c r="F17" i="3"/>
  <c r="F16" i="3"/>
  <c r="F15" i="3"/>
  <c r="G15" i="3" s="1"/>
  <c r="F13" i="3"/>
  <c r="F12" i="3"/>
  <c r="F11" i="3"/>
  <c r="F10" i="3"/>
  <c r="G10" i="3" s="1"/>
  <c r="F9" i="3"/>
  <c r="F7" i="3"/>
  <c r="F6" i="3"/>
  <c r="F5" i="3"/>
  <c r="G36" i="4" l="1"/>
  <c r="G39" i="4" s="1"/>
  <c r="T38" i="4"/>
  <c r="G29" i="4"/>
  <c r="G28" i="4"/>
  <c r="G30" i="4" s="1"/>
  <c r="T26" i="4"/>
  <c r="T25" i="4"/>
  <c r="T24" i="4"/>
  <c r="G14" i="4"/>
  <c r="G15" i="4"/>
  <c r="T18" i="4"/>
  <c r="G13" i="4"/>
  <c r="T17" i="4"/>
  <c r="E9" i="4"/>
  <c r="G9" i="4" s="1"/>
  <c r="G8" i="4"/>
  <c r="T5" i="4"/>
  <c r="G13" i="5"/>
  <c r="J25" i="3"/>
  <c r="H24" i="3"/>
  <c r="J24" i="3" s="1"/>
  <c r="G23" i="3"/>
  <c r="H23" i="3" s="1"/>
  <c r="J23" i="3" s="1"/>
  <c r="G22" i="3"/>
  <c r="H22" i="3" s="1"/>
  <c r="J22" i="3" s="1"/>
  <c r="G20" i="3"/>
  <c r="H20" i="3" s="1"/>
  <c r="J20" i="3" s="1"/>
  <c r="H19" i="3"/>
  <c r="J19" i="3" s="1"/>
  <c r="G18" i="3"/>
  <c r="H18" i="3" s="1"/>
  <c r="J18" i="3" s="1"/>
  <c r="G17" i="3"/>
  <c r="H17" i="3" s="1"/>
  <c r="J17" i="3" s="1"/>
  <c r="H15" i="3"/>
  <c r="J15" i="3" s="1"/>
  <c r="G13" i="3"/>
  <c r="H13" i="3" s="1"/>
  <c r="J13" i="3" s="1"/>
  <c r="G16" i="3"/>
  <c r="H16" i="3" s="1"/>
  <c r="J16" i="3" s="1"/>
  <c r="G12" i="3"/>
  <c r="H12" i="3" s="1"/>
  <c r="J12" i="3" s="1"/>
  <c r="G11" i="3"/>
  <c r="H11" i="3" s="1"/>
  <c r="J11" i="3" s="1"/>
  <c r="H10" i="3"/>
  <c r="J10" i="3" s="1"/>
  <c r="G9" i="3"/>
  <c r="H9" i="3" s="1"/>
  <c r="G7" i="3"/>
  <c r="H7" i="3" s="1"/>
  <c r="J7" i="3" s="1"/>
  <c r="G5" i="3"/>
  <c r="H5" i="3" s="1"/>
  <c r="G6" i="3"/>
  <c r="H6" i="3" s="1"/>
  <c r="J6" i="3" s="1"/>
  <c r="G10" i="4" l="1"/>
  <c r="G20" i="4"/>
  <c r="J9" i="3"/>
  <c r="J27" i="3" s="1"/>
  <c r="H27" i="3"/>
  <c r="D7" i="1"/>
  <c r="J5" i="3"/>
  <c r="G41" i="4" l="1"/>
  <c r="D6" i="1" s="1"/>
  <c r="D5" i="1"/>
  <c r="D8" i="1" l="1"/>
  <c r="D10" i="1" s="1"/>
  <c r="E6" i="1" l="1"/>
  <c r="E5" i="1"/>
  <c r="E7" i="1"/>
  <c r="E8" i="1" l="1"/>
  <c r="D11" i="1" l="1"/>
  <c r="D13" i="1" s="1"/>
  <c r="D14" i="1" s="1"/>
</calcChain>
</file>

<file path=xl/sharedStrings.xml><?xml version="1.0" encoding="utf-8"?>
<sst xmlns="http://schemas.openxmlformats.org/spreadsheetml/2006/main" count="268" uniqueCount="212">
  <si>
    <t>INTERVENTORÍA ARCANUS 2026 — PARÁMETROS Y SUPUESTOS GENERALES</t>
  </si>
  <si>
    <t>Variable</t>
  </si>
  <si>
    <t>Valor</t>
  </si>
  <si>
    <t>Unidad</t>
  </si>
  <si>
    <t>Fuente / Justificación</t>
  </si>
  <si>
    <t>Plazo total del contrato</t>
  </si>
  <si>
    <t>meses</t>
  </si>
  <si>
    <t>Indicado por el usuario / Fase IV (M13-M36) Anexo Técnico Interventoría</t>
  </si>
  <si>
    <t>Fase I – Planeación y Transición</t>
  </si>
  <si>
    <t>M1-M3 según Plan de Trabajo</t>
  </si>
  <si>
    <t>Fase II – Instalación y Despliegue</t>
  </si>
  <si>
    <t>M3-M8</t>
  </si>
  <si>
    <t>Fase III – Estabilización y Cierre Transición</t>
  </si>
  <si>
    <t>M9-M10</t>
  </si>
  <si>
    <t>Fase IV – Operación y Mantenimiento</t>
  </si>
  <si>
    <t>M11-M36</t>
  </si>
  <si>
    <t>Número total de sedes a supervisar</t>
  </si>
  <si>
    <t>sedes</t>
  </si>
  <si>
    <t>Anexo Técnico 1.1 Sedes</t>
  </si>
  <si>
    <t>Bolsa de puntos categoría 6A blindado</t>
  </si>
  <si>
    <t>puntos</t>
  </si>
  <si>
    <t>Análisis del Sector — Concurso de Méritos</t>
  </si>
  <si>
    <t>Soluciones integrales (sala VC / DJT)</t>
  </si>
  <si>
    <t>unidades</t>
  </si>
  <si>
    <t>Unidades de UPS a vigilar</t>
  </si>
  <si>
    <t>Meses de protocolo de transición</t>
  </si>
  <si>
    <t>Anexo Técnico 7 — Protocolo de Transición</t>
  </si>
  <si>
    <t>Factor prestacional (Salario → Costo empresa)</t>
  </si>
  <si>
    <t>factor</t>
  </si>
  <si>
    <t>Prestaciones sociales + parafiscales Colombia</t>
  </si>
  <si>
    <t>Factor multiplicador integral (consultoría)</t>
  </si>
  <si>
    <t>Estándar DNP/Colombia Compra Eficiente para consultoría</t>
  </si>
  <si>
    <t>Tasa de IVA</t>
  </si>
  <si>
    <t>%</t>
  </si>
  <si>
    <t>Estatuto Tributario Nacional</t>
  </si>
  <si>
    <t>Porcentaje de imprevistos / contingencia</t>
  </si>
  <si>
    <t>Estándar contratación pública consultoría</t>
  </si>
  <si>
    <t>Salario mínimo legal mensual vigente 2026 (ref.)</t>
  </si>
  <si>
    <t>COP</t>
  </si>
  <si>
    <t>Referencia SMLMV 2026 (proyección)</t>
  </si>
  <si>
    <t>NOTAS METODOLÓGICAS</t>
  </si>
  <si>
    <t>1. Los valores de remuneración por perfil corresponden a referenciales de mercado para interventoría de proyectos TIC de gran escala en Colombia (2026). Deben ser validados con mínimo dos (2) cotizaciones formales conforme al Decreto 1600 de 2024.</t>
  </si>
  <si>
    <t>2. El factor multiplicador integral (2.10) cubre: prestaciones sociales, parafiscales, riesgos, dotación, seguros, gastos de administración del consultor, utilidad, capacitación y certificaciones vigentes (PMP, BICSI RCDD, CISSP, CCNP) exigidas por el anexo técnico.</t>
  </si>
  <si>
    <t>3. La dedicación de cada perfil se aplica como factor sobre el salario base (Ej. 50% = se costea la mitad del valor mensual).</t>
  </si>
  <si>
    <t>4. Los gastos reembolsables (viáticos, desplazamientos, alojamiento) están considerados de manera global como parte de la unidad de medida MES DE INTERVENTORÍA INTEGRAL, conforme al numeral 4.7 del FGN-AP07-F-42.</t>
  </si>
  <si>
    <t>5. Los costos por demanda (puntos de cableado, UPS, soluciones integrales) corresponden a actividades de verificación material en campo durante las fases de instalación.</t>
  </si>
  <si>
    <t>6. Esta proyección NO incluye reservas para reclamaciones, multas o ajustes por incumplimiento de ANS por parte del contratista vigilado.</t>
  </si>
  <si>
    <t>7. Los valores se expresan en pesos colombianos corrientes a 2026. Para vigencias siguientes el contrato debe contemplar reajuste por IPC certificado por el DANE.</t>
  </si>
  <si>
    <t>CONVENCIONES DE COLOR</t>
  </si>
  <si>
    <t>Texto azul</t>
  </si>
  <si>
    <t>Valor de entrada (hardcoded) que el usuario puede modificar</t>
  </si>
  <si>
    <t>Texto negro</t>
  </si>
  <si>
    <t>Fórmula calculada</t>
  </si>
  <si>
    <t>Texto verde</t>
  </si>
  <si>
    <t>Vínculo desde otra hoja del mismo libro</t>
  </si>
  <si>
    <t>Fondo verde claro</t>
  </si>
  <si>
    <t>Total / Subtotal</t>
  </si>
  <si>
    <t>Fondo amarillo</t>
  </si>
  <si>
    <t>Supuesto clave que requiere validación</t>
  </si>
  <si>
    <t>Campos a diligenciar en amarillo</t>
  </si>
  <si>
    <t>PERSONAL DIRECTO DE INTERVENTORÍA — 36 MESES</t>
  </si>
  <si>
    <t>Ítem</t>
  </si>
  <si>
    <t>Cargo / Perfil profesional</t>
  </si>
  <si>
    <t>Cant.
personas</t>
  </si>
  <si>
    <t>Dedicación
(%)</t>
  </si>
  <si>
    <t>Salario base mensual
(SBM, COP)</t>
  </si>
  <si>
    <t>Factor
multiplicador</t>
  </si>
  <si>
    <t>Costo unitario
mes (COP)</t>
  </si>
  <si>
    <t>Costo mensual
total (COP)</t>
  </si>
  <si>
    <t>Meses</t>
  </si>
  <si>
    <t>Costo total perfil
36 meses (COP)</t>
  </si>
  <si>
    <t>ROLES ESTRATÉGICOS Y DE COORDINACIÓN (Sede Central — Bogotá)</t>
  </si>
  <si>
    <t>Director General de Interventoría</t>
  </si>
  <si>
    <t>Coordinador Jurídico</t>
  </si>
  <si>
    <t>Coordinador Financiero y Administrativo</t>
  </si>
  <si>
    <t>ESPECIALISTAS TÉCNICOS POR DOMINIO</t>
  </si>
  <si>
    <t>Especialista en Conectividad y SD-WAN (CCNP/Fortinet)</t>
  </si>
  <si>
    <t>Especialista en Seguridad Digital y Ciberseguridad (CISSP/CISM)</t>
  </si>
  <si>
    <t>Especialista en Infraestructura y Cableado Estructurado (BICSI RCDD)</t>
  </si>
  <si>
    <t>Especialista en Videoconferencia Corporativa (Cisco/Poly/MS Teams)</t>
  </si>
  <si>
    <t>Asesor Ambiental y Social (RAEE / RETIE)</t>
  </si>
  <si>
    <t>INGENIEROS DE CAMPO REGIONALES (6 macroregiones — 100% dedicación)</t>
  </si>
  <si>
    <t>Ingeniero de Campo Regional — Bogotá D.C. (Cat 1-2)</t>
  </si>
  <si>
    <t>Ingeniero de Campo Regional — Occidente (Cat 2-3)</t>
  </si>
  <si>
    <t>Ingeniero de Campo Regional — Caribe (Cat 2-3)</t>
  </si>
  <si>
    <t>Ingeniero de Campo Regional — Centro (Cat 3-4)</t>
  </si>
  <si>
    <t>Ingeniero de Campo Regional — Oriente (Cat 3-4)</t>
  </si>
  <si>
    <t>Ingeniero de Campo Regional — Sur-Amazonía (Cat 4-5-6 / LEO)</t>
  </si>
  <si>
    <t>PERSONAL DE APOYO Y BACKOFFICE</t>
  </si>
  <si>
    <t>Profesional de Aseguramiento de Calidad (QA) / SGC ISO 9001</t>
  </si>
  <si>
    <t>Profesional de Gestión Documental / SECOP II</t>
  </si>
  <si>
    <t>Analista de Riesgos y No Conformidades</t>
  </si>
  <si>
    <t>Auxiliar Administrativo</t>
  </si>
  <si>
    <t>SUBTOTAL — PERSONAL DIRECTO DE INTERVENTORÍA (36 meses)</t>
  </si>
  <si>
    <t>* El factor multiplicador (2.10) cubre prestaciones sociales, parafiscales, ARL, dotación, capacitación, certificaciones vigentes, gastos de administración y utilidad razonable del consultor.</t>
  </si>
  <si>
    <t>* La dedicación se aplica como fracción del tiempo mensual (1.00 = tiempo completo / 0.50 = medio tiempo / 0.25 = un cuarto de tiempo).</t>
  </si>
  <si>
    <t>* En las fases de mayor intensidad (Planeación e Instalación, M1-M8) los Ingenieros de Campo tendrán presencia mínima del 60% en campo. En Fase IV se prevé redistribución regional según avance territorial.</t>
  </si>
  <si>
    <t>COSTOS OPERATIVOS Y GASTOS REEMBOLSABLES — 36 MESES</t>
  </si>
  <si>
    <t>Concepto</t>
  </si>
  <si>
    <t>Unidad de medida</t>
  </si>
  <si>
    <t>Cantidad</t>
  </si>
  <si>
    <t>Valor unitario
(COP)</t>
  </si>
  <si>
    <t>Periodicidad
(meses)</t>
  </si>
  <si>
    <t>Costo total 36 meses
(COP)</t>
  </si>
  <si>
    <t>A. DESPLAZAMIENTOS Y VISITAS DE CAMPO (6 macroregiones)</t>
  </si>
  <si>
    <t>Tiquetes aéreos nacionales (Ing. Campo + Especialistas)</t>
  </si>
  <si>
    <t>Tiquete</t>
  </si>
  <si>
    <t>Viáticos y alojamiento por visita de campo</t>
  </si>
  <si>
    <t>Día-viático</t>
  </si>
  <si>
    <t>Transporte terrestre y combustible (rutas regionales)</t>
  </si>
  <si>
    <t>Mes</t>
  </si>
  <si>
    <t>Visitas a zonas remotas / LEO (Sur-Amazonía)</t>
  </si>
  <si>
    <t>Visita</t>
  </si>
  <si>
    <t>Pólizas de viaje y seguros para personal en campo</t>
  </si>
  <si>
    <t>Año</t>
  </si>
  <si>
    <t>Subtotal A — Desplazamientos y visitas de campo</t>
  </si>
  <si>
    <t>B. SISTEMA DE INFORMACIÓN, SOFTWARE Y LICENCIAS</t>
  </si>
  <si>
    <t>Plataforma de gestión de tickets (ITSM) — licenciamiento equipo IDI</t>
  </si>
  <si>
    <t>Sistema de gestión documental + control de versiones (SGC)</t>
  </si>
  <si>
    <t>Tablero BI/dashboards para indicadores ANS en tiempo real</t>
  </si>
  <si>
    <t>Licencias MS Project / Visio / Office E3 (20 usuarios)</t>
  </si>
  <si>
    <t>Herramientas de pruebas/diagnóstico de red (Wireshark Pro, iPerf, etc.)</t>
  </si>
  <si>
    <t>Equipos de medición/certificación cableado (Fluke alquiler/calibración)</t>
  </si>
  <si>
    <t>Almacenamiento seguro y backup (archivo contractual 36 meses)</t>
  </si>
  <si>
    <t>Subtotal B — Sistema de Información y Software</t>
  </si>
  <si>
    <t>C. SEDE OPERATIVA Y GASTOS GENERALES (Bogotá — Sede Central)</t>
  </si>
  <si>
    <t>Arrendamiento oficina sede central (Bogotá, ~200 m²)</t>
  </si>
  <si>
    <t>Servicios públicos (energía, agua, aseo)</t>
  </si>
  <si>
    <t>Internet dedicado + telefonía IP equipo interventoría</t>
  </si>
  <si>
    <t>Equipos de cómputo de gama profesional (20 estaciones)</t>
  </si>
  <si>
    <t>Solución integral</t>
  </si>
  <si>
    <t>Mobiliario y dotación inicial oficina</t>
  </si>
  <si>
    <t>Papelería, impresión, insumos administrativos</t>
  </si>
  <si>
    <t>Mensajería y radicación SECOP II</t>
  </si>
  <si>
    <t>Subtotal C — Sede Operativa y Gastos Generales</t>
  </si>
  <si>
    <t>D. PÓLIZAS, CERTIFICACIONES Y RIESGOS</t>
  </si>
  <si>
    <t>Póliza de cumplimiento (10% del valor del contrato)</t>
  </si>
  <si>
    <t>Vigencia</t>
  </si>
  <si>
    <t>Póliza de calidad del servicio</t>
  </si>
  <si>
    <t>Póliza de responsabilidad civil extracontractual</t>
  </si>
  <si>
    <t>Póliza de salarios y prestaciones sociales</t>
  </si>
  <si>
    <t>Renovación de certificaciones del equipo (PMP, CISSP, BICSI, CCNP)</t>
  </si>
  <si>
    <t>Auditorías internas semestrales SGC (auditor externo)</t>
  </si>
  <si>
    <t>Auditoría</t>
  </si>
  <si>
    <t>Subtotal D — Pólizas, Certificaciones y Riesgos</t>
  </si>
  <si>
    <t>TOTAL — COSTOS OPERATIVOS Y REEMBOLSABLES (A+B+C+D)</t>
  </si>
  <si>
    <t>COSTOS POR DEMANDA — UNIDADES DE OBRA / VERIFICACIÓN MATERIAL</t>
  </si>
  <si>
    <t>Conforme al cuadro de cantidades del FGN-AP07-F-42 (Análisis del Sector — Concurso de Méritos)</t>
  </si>
  <si>
    <t>Concepto de interventoría</t>
  </si>
  <si>
    <t>Cantidad estimada</t>
  </si>
  <si>
    <t>Valor unitario referencial
(COP)</t>
  </si>
  <si>
    <t>Fuente del valor</t>
  </si>
  <si>
    <t>Valor total estimado
(COP)</t>
  </si>
  <si>
    <t>Interventoría de Obra para Cableado Estructurado — supervisión, validación y certificación de la bolsa de puntos categoría 6A blindado</t>
  </si>
  <si>
    <t>Punto de datos</t>
  </si>
  <si>
    <t>Tarifa de mercado de interventoría de cableado en proyectos institucionales (5-7% del valor por punto)</t>
  </si>
  <si>
    <t>Vigilancia de Infraestructura Eléctrica — inspección de UPS y adecuaciones bajo normativa RETIE</t>
  </si>
  <si>
    <t>Unidad (UPS)</t>
  </si>
  <si>
    <t>Tarifa de inspección eléctrica especializada RETIE</t>
  </si>
  <si>
    <t>Verificación e implementación de solución integral (salas DJT / videoconferencia / auditorios)</t>
  </si>
  <si>
    <t>Costo de verificación técnica + certificación AVIXA</t>
  </si>
  <si>
    <t>Seguimiento al Protocolo de Transición — validación de hitos M1-M10 (coexistencia entre proveedores)</t>
  </si>
  <si>
    <t>Costo adicional por intensidad operativa fase de transición</t>
  </si>
  <si>
    <t>Visitas de inspección material en sedes (881 sedes — al menos 1 visita inicial)</t>
  </si>
  <si>
    <t>Sede</t>
  </si>
  <si>
    <t>Costo logístico promedio por sede según distribución geográfica</t>
  </si>
  <si>
    <t>Emisión de Conceptos Técnicos vinculantes (entregables del contratista)</t>
  </si>
  <si>
    <t>Estimación de 6-7 conceptos mensuales × 36 meses</t>
  </si>
  <si>
    <t>Actas de verificación de sede en campo</t>
  </si>
  <si>
    <t>Acta</t>
  </si>
  <si>
    <t>Costo administrativo por acta + verificación documental</t>
  </si>
  <si>
    <t>TOTAL — COSTOS POR DEMANDA / UNIDADES DE OBRA</t>
  </si>
  <si>
    <t>NOTA: Los costos por demanda corresponden a actividades de verificación material en campo (fases de instalación y operación). La cantidad estimada constituye un parámetro operativo de referencia y NO una obligación mínima de consumo para la Entidad — el pago se reconocerá mensualmente contra ejecución, conforme al numeral 4.7 del FGN-AP07-F-42.</t>
  </si>
  <si>
    <t>INTERVENTORÍA ARCANUS 2026 — CUADRO DE COSTOS CONSOLIDADO</t>
  </si>
  <si>
    <t>Componente del costo</t>
  </si>
  <si>
    <t>Hoja de detalle</t>
  </si>
  <si>
    <t>Valor (COP)</t>
  </si>
  <si>
    <t>% del total</t>
  </si>
  <si>
    <t>1</t>
  </si>
  <si>
    <t>PERSONAL DIRECTO DE INTERVENTORÍA</t>
  </si>
  <si>
    <t>Hoja '2. Personal 36 meses'</t>
  </si>
  <si>
    <t>2</t>
  </si>
  <si>
    <t>COSTOS OPERATIVOS Y REEMBOLSABLES</t>
  </si>
  <si>
    <t>Hoja '3. Costos Operativos'</t>
  </si>
  <si>
    <t>3</t>
  </si>
  <si>
    <t>COSTOS POR DEMANDA / UNIDADES DE OBRA</t>
  </si>
  <si>
    <t>Hoja '4. Costos por Demanda'</t>
  </si>
  <si>
    <t>SUBTOTAL COSTO DIRECTO DE INTERVENTORÍA</t>
  </si>
  <si>
    <t>SUBTOTAL ANTES DE IVA</t>
  </si>
  <si>
    <t>IVA (19%) sobre el servicio de consultoría</t>
  </si>
  <si>
    <t>VALOR TOTAL ESTIMADO DEL CONTRATO DE INTERVENTORÍA (36 meses, IVA incluido)</t>
  </si>
  <si>
    <t>Valor mensual promedio (sobre 36 meses)</t>
  </si>
  <si>
    <t>OBSERVACIONES PARA LA ELABORACIÓN DEL ESTUDIO DEL SECTOR</t>
  </si>
  <si>
    <t>• La unidad de medida contractual es el MES DE SERVICIO DE INTERVENTORÍA INTEGRAL, conforme al numeral 4.7 del FGN-AP07-F-42. La estructura por componentes mostrada aquí es analítica y NO altera la forma de pago global mensual.</t>
  </si>
  <si>
    <t>• Los valores incluyen factor multiplicador integral del 2.10 sobre el salario base, cubriendo prestaciones sociales, parafiscales, dotación, certificaciones vigentes (PMP, BICSI RCDD, CISSP, CCNP), administración y utilidad del consultor.</t>
  </si>
  <si>
    <t>• Conforme a la Ley 2195 de 2022, el equipo asume responsabilidad solidaria y fiscal, lo que justifica el mantenimiento del equipo especializado durante los 36 meses sin reducciones unilaterales.</t>
  </si>
  <si>
    <t>• Se debe contemplar reajuste por IPC certificado por el DANE para cada vigencia anual posterior al primer año (Ley 80 de 1993, art. 4° num. 8).</t>
  </si>
  <si>
    <t>• Los costos por demanda (puntos de cableado, UPS, soluciones integrales) son cantidades MÁXIMAS de referencia. El pago efectivo se realizará contra ejecución verificada.</t>
  </si>
  <si>
    <t>COIZACIÓN MÁS BAJA</t>
  </si>
  <si>
    <t>COTIZACIÓN MÁS ALTA</t>
  </si>
  <si>
    <t>PROMEDIO</t>
  </si>
  <si>
    <t>MEDIA ARITMÉTICA BAJA</t>
  </si>
  <si>
    <t>COTIZACIÓN 1
RED TIC INGENIERIA SAS ( 16 JULIO secop)</t>
  </si>
  <si>
    <t>COTIZACIÓN 2
SOFTSECURITY SAS 16 JULIO SECOP</t>
  </si>
  <si>
    <t>COTIZACIÓN 3
BUSINES SUPORT(SECOP 16 JULIO)</t>
  </si>
  <si>
    <t>COTIZACIÓN 4
KBT SAS (SECOP 16 JULIO)</t>
  </si>
  <si>
    <t>COTIZACIÓN 5
IDOM (SECOP 16 JULIO)</t>
  </si>
  <si>
    <t>COTIZACIÓN 6
GINPROCOLSAS (SECOP 16 JULIO)</t>
  </si>
  <si>
    <t>COTIZACIÓN 7
 JAHV MCGREGOR S.A.S - 27 JULIO SECOP</t>
  </si>
  <si>
    <t>COTIZACIÓN 7
JAHV MCGREGOR S.A.S  - 27 JULIO SECOP</t>
  </si>
  <si>
    <t>• Este cuadro de costos constituye una proyección referencial elaborada para el Estudio del Sector (Decreto 1600 de 2024).</t>
  </si>
  <si>
    <t>Plazo del contrato: 36 meses | Objeto: Interventoría integral al contrato principal Arcanus 2026 (876 sedes, 6 macroregiones, 5 dominios)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</si>
</sst>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\$* #,##0_-;_-\$* \(#,##0\);_-\$* \-_-;_-@_-"/>
    <numFmt numFmtId="166" formatCode="0.0%"/>
    <numFmt numFmtId="167" formatCode="[$$-240A]\ #,##0.00"/>
    <numFmt numFmtId="168" formatCode="_-\$* #,##0.00_-;_-\$* \(#,##0.00\);_-\$* \-_-;_-@_-"/>
  </numFmts>
  <fonts count="25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i/>
      <sz val="11"/>
      <color rgb="FF1F3864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61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0"/>
      <color rgb="FF006100"/>
      <name val="Arial"/>
      <family val="2"/>
    </font>
    <font>
      <b/>
      <sz val="13"/>
      <color rgb="FFFFFFFF"/>
      <name val="Arial"/>
      <family val="2"/>
    </font>
    <font>
      <b/>
      <i/>
      <sz val="10"/>
      <color rgb="FF1F3864"/>
      <name val="Arial"/>
      <family val="2"/>
    </font>
    <font>
      <i/>
      <sz val="9"/>
      <color rgb="FF595959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C6EFCE"/>
      <name val="Arial"/>
      <family val="2"/>
    </font>
    <font>
      <b/>
      <sz val="10"/>
      <color rgb="FFFFE699"/>
      <name val="Arial"/>
      <family val="2"/>
    </font>
    <font>
      <b/>
      <sz val="12"/>
      <color rgb="FFFFFFFF"/>
      <name val="Arial"/>
      <family val="2"/>
    </font>
    <font>
      <i/>
      <sz val="10"/>
      <color rgb="FF595959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charset val="1"/>
    </font>
    <font>
      <b/>
      <sz val="10"/>
      <color rgb="FFFFFFFF"/>
      <name val="Arial"/>
      <family val="2"/>
    </font>
    <font>
      <b/>
      <sz val="6"/>
      <color rgb="FFFFFFFF"/>
      <name val="Arial"/>
      <family val="2"/>
    </font>
    <font>
      <sz val="11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984"/>
        <bgColor rgb="FF595959"/>
      </patternFill>
    </fill>
    <fill>
      <patternFill patternType="solid">
        <fgColor rgb="FFC6EFCE"/>
        <bgColor rgb="FFD9E1F2"/>
      </patternFill>
    </fill>
    <fill>
      <patternFill patternType="solid">
        <fgColor rgb="FFD9E1F2"/>
        <bgColor rgb="FFC6EFCE"/>
      </patternFill>
    </fill>
    <fill>
      <patternFill patternType="solid">
        <fgColor theme="0"/>
        <bgColor rgb="FF33333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95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166" fontId="7" fillId="0" borderId="2" xfId="0" applyNumberFormat="1" applyFont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right" vertical="center"/>
    </xf>
    <xf numFmtId="166" fontId="8" fillId="4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65" fontId="4" fillId="0" borderId="2" xfId="0" applyNumberFormat="1" applyFont="1" applyBorder="1" applyAlignment="1">
      <alignment horizontal="right" vertical="center"/>
    </xf>
    <xf numFmtId="0" fontId="0" fillId="4" borderId="2" xfId="0" applyFill="1" applyBorder="1"/>
    <xf numFmtId="166" fontId="10" fillId="0" borderId="2" xfId="0" applyNumberFormat="1" applyFont="1" applyBorder="1" applyAlignment="1">
      <alignment horizontal="center" vertical="center"/>
    </xf>
    <xf numFmtId="0" fontId="0" fillId="2" borderId="4" xfId="0" applyFill="1" applyBorder="1"/>
    <xf numFmtId="0" fontId="0" fillId="0" borderId="2" xfId="0" applyBorder="1"/>
    <xf numFmtId="3" fontId="14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0" fontId="14" fillId="0" borderId="2" xfId="0" applyNumberFormat="1" applyFont="1" applyBorder="1" applyAlignment="1">
      <alignment horizontal="center" vertical="center"/>
    </xf>
    <xf numFmtId="165" fontId="14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18" fillId="2" borderId="4" xfId="0" applyNumberFormat="1" applyFont="1" applyFill="1" applyBorder="1" applyAlignment="1">
      <alignment horizontal="right" vertical="center"/>
    </xf>
    <xf numFmtId="165" fontId="14" fillId="7" borderId="2" xfId="0" applyNumberFormat="1" applyFont="1" applyFill="1" applyBorder="1" applyAlignment="1">
      <alignment horizontal="right" vertical="center"/>
    </xf>
    <xf numFmtId="0" fontId="0" fillId="7" borderId="0" xfId="0" applyFill="1"/>
    <xf numFmtId="0" fontId="12" fillId="5" borderId="1" xfId="0" applyFont="1" applyFill="1" applyBorder="1" applyAlignment="1">
      <alignment horizontal="left" vertical="center" indent="1"/>
    </xf>
    <xf numFmtId="0" fontId="22" fillId="3" borderId="5" xfId="0" applyFont="1" applyFill="1" applyBorder="1" applyAlignment="1">
      <alignment horizontal="center" vertical="center" wrapText="1"/>
    </xf>
    <xf numFmtId="44" fontId="0" fillId="0" borderId="6" xfId="0" applyNumberFormat="1" applyBorder="1" applyAlignment="1">
      <alignment horizontal="center" vertical="center"/>
    </xf>
    <xf numFmtId="44" fontId="0" fillId="8" borderId="6" xfId="0" applyNumberFormat="1" applyFill="1" applyBorder="1" applyAlignment="1">
      <alignment horizontal="center" vertical="center"/>
    </xf>
    <xf numFmtId="167" fontId="0" fillId="8" borderId="6" xfId="1" applyNumberFormat="1" applyFont="1" applyFill="1" applyBorder="1" applyAlignment="1">
      <alignment horizontal="center" vertical="center"/>
    </xf>
    <xf numFmtId="167" fontId="0" fillId="8" borderId="6" xfId="0" applyNumberFormat="1" applyFill="1" applyBorder="1" applyAlignment="1">
      <alignment horizontal="center" vertical="center"/>
    </xf>
    <xf numFmtId="0" fontId="0" fillId="9" borderId="0" xfId="0" applyFill="1"/>
    <xf numFmtId="167" fontId="0" fillId="0" borderId="6" xfId="0" applyNumberFormat="1" applyBorder="1"/>
    <xf numFmtId="167" fontId="0" fillId="9" borderId="0" xfId="0" applyNumberFormat="1" applyFill="1"/>
    <xf numFmtId="167" fontId="0" fillId="9" borderId="6" xfId="1" applyNumberFormat="1" applyFont="1" applyFill="1" applyBorder="1" applyAlignment="1">
      <alignment horizontal="center" vertical="center"/>
    </xf>
    <xf numFmtId="167" fontId="0" fillId="9" borderId="6" xfId="0" applyNumberFormat="1" applyFill="1" applyBorder="1" applyAlignment="1">
      <alignment horizontal="center" vertical="center"/>
    </xf>
    <xf numFmtId="167" fontId="0" fillId="9" borderId="6" xfId="0" applyNumberFormat="1" applyFill="1" applyBorder="1"/>
    <xf numFmtId="44" fontId="0" fillId="9" borderId="6" xfId="0" applyNumberFormat="1" applyFill="1" applyBorder="1" applyAlignment="1">
      <alignment horizontal="center" vertical="center"/>
    </xf>
    <xf numFmtId="44" fontId="0" fillId="9" borderId="0" xfId="0" applyNumberFormat="1" applyFill="1" applyAlignment="1">
      <alignment horizontal="center" vertical="center"/>
    </xf>
    <xf numFmtId="167" fontId="0" fillId="8" borderId="6" xfId="0" applyNumberFormat="1" applyFill="1" applyBorder="1"/>
    <xf numFmtId="167" fontId="0" fillId="8" borderId="8" xfId="0" applyNumberFormat="1" applyFill="1" applyBorder="1"/>
    <xf numFmtId="167" fontId="0" fillId="8" borderId="9" xfId="0" applyNumberFormat="1" applyFill="1" applyBorder="1"/>
    <xf numFmtId="167" fontId="0" fillId="8" borderId="7" xfId="0" applyNumberFormat="1" applyFill="1" applyBorder="1"/>
    <xf numFmtId="167" fontId="0" fillId="8" borderId="8" xfId="1" applyNumberFormat="1" applyFont="1" applyFill="1" applyBorder="1" applyAlignment="1">
      <alignment horizontal="center" vertical="center"/>
    </xf>
    <xf numFmtId="167" fontId="0" fillId="8" borderId="9" xfId="1" applyNumberFormat="1" applyFont="1" applyFill="1" applyBorder="1" applyAlignment="1">
      <alignment horizontal="center" vertical="center"/>
    </xf>
    <xf numFmtId="167" fontId="0" fillId="8" borderId="7" xfId="1" applyNumberFormat="1" applyFont="1" applyFill="1" applyBorder="1" applyAlignment="1">
      <alignment horizontal="center" vertical="center"/>
    </xf>
    <xf numFmtId="167" fontId="0" fillId="9" borderId="8" xfId="1" applyNumberFormat="1" applyFont="1" applyFill="1" applyBorder="1" applyAlignment="1">
      <alignment horizontal="center" vertical="center"/>
    </xf>
    <xf numFmtId="167" fontId="0" fillId="9" borderId="9" xfId="1" applyNumberFormat="1" applyFont="1" applyFill="1" applyBorder="1" applyAlignment="1">
      <alignment horizontal="center" vertical="center"/>
    </xf>
    <xf numFmtId="167" fontId="0" fillId="9" borderId="7" xfId="1" applyNumberFormat="1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 wrapText="1"/>
    </xf>
    <xf numFmtId="167" fontId="0" fillId="0" borderId="0" xfId="0" applyNumberFormat="1"/>
    <xf numFmtId="44" fontId="0" fillId="8" borderId="9" xfId="0" applyNumberFormat="1" applyFill="1" applyBorder="1" applyAlignment="1">
      <alignment horizontal="center" vertical="center"/>
    </xf>
    <xf numFmtId="167" fontId="0" fillId="9" borderId="10" xfId="1" applyNumberFormat="1" applyFont="1" applyFill="1" applyBorder="1" applyAlignment="1">
      <alignment horizontal="center" vertical="center"/>
    </xf>
    <xf numFmtId="167" fontId="0" fillId="9" borderId="11" xfId="1" applyNumberFormat="1" applyFont="1" applyFill="1" applyBorder="1" applyAlignment="1">
      <alignment horizontal="center" vertical="center"/>
    </xf>
    <xf numFmtId="167" fontId="0" fillId="9" borderId="12" xfId="1" applyNumberFormat="1" applyFont="1" applyFill="1" applyBorder="1" applyAlignment="1">
      <alignment horizontal="center" vertical="center"/>
    </xf>
    <xf numFmtId="167" fontId="0" fillId="8" borderId="0" xfId="0" applyNumberFormat="1" applyFill="1" applyAlignment="1">
      <alignment horizontal="center" vertical="center"/>
    </xf>
    <xf numFmtId="44" fontId="0" fillId="8" borderId="0" xfId="0" applyNumberFormat="1" applyFill="1" applyAlignment="1">
      <alignment horizontal="center" vertical="center"/>
    </xf>
    <xf numFmtId="167" fontId="0" fillId="8" borderId="0" xfId="1" applyNumberFormat="1" applyFont="1" applyFill="1" applyBorder="1" applyAlignment="1">
      <alignment horizontal="center" vertical="center"/>
    </xf>
    <xf numFmtId="167" fontId="0" fillId="8" borderId="0" xfId="0" applyNumberFormat="1" applyFill="1"/>
    <xf numFmtId="0" fontId="0" fillId="8" borderId="0" xfId="0" applyFill="1"/>
    <xf numFmtId="167" fontId="0" fillId="0" borderId="6" xfId="0" applyNumberFormat="1" applyBorder="1" applyAlignment="1">
      <alignment vertical="center"/>
    </xf>
    <xf numFmtId="168" fontId="14" fillId="7" borderId="2" xfId="0" applyNumberFormat="1" applyFont="1" applyFill="1" applyBorder="1" applyAlignment="1">
      <alignment horizontal="right" vertical="center"/>
    </xf>
    <xf numFmtId="167" fontId="0" fillId="0" borderId="6" xfId="0" applyNumberFormat="1" applyBorder="1" applyAlignment="1">
      <alignment horizontal="center" vertical="center"/>
    </xf>
    <xf numFmtId="167" fontId="0" fillId="8" borderId="6" xfId="0" applyNumberFormat="1" applyFill="1" applyBorder="1" applyAlignment="1">
      <alignment vertical="center"/>
    </xf>
    <xf numFmtId="168" fontId="6" fillId="0" borderId="2" xfId="0" applyNumberFormat="1" applyFont="1" applyBorder="1" applyAlignment="1">
      <alignment horizontal="right" vertical="center"/>
    </xf>
    <xf numFmtId="168" fontId="8" fillId="4" borderId="2" xfId="0" applyNumberFormat="1" applyFont="1" applyFill="1" applyBorder="1" applyAlignment="1">
      <alignment horizontal="right" vertical="center"/>
    </xf>
    <xf numFmtId="168" fontId="4" fillId="0" borderId="2" xfId="0" applyNumberFormat="1" applyFont="1" applyBorder="1" applyAlignment="1">
      <alignment horizontal="right" vertical="center"/>
    </xf>
    <xf numFmtId="168" fontId="7" fillId="0" borderId="2" xfId="0" applyNumberFormat="1" applyFont="1" applyBorder="1" applyAlignment="1">
      <alignment horizontal="right" vertical="center"/>
    </xf>
    <xf numFmtId="44" fontId="0" fillId="0" borderId="0" xfId="0" applyNumberFormat="1"/>
    <xf numFmtId="167" fontId="24" fillId="8" borderId="6" xfId="0" applyNumberFormat="1" applyFont="1" applyFill="1" applyBorder="1" applyAlignment="1">
      <alignment horizontal="center" vertical="center"/>
    </xf>
    <xf numFmtId="164" fontId="0" fillId="0" borderId="0" xfId="1" applyFont="1"/>
    <xf numFmtId="167" fontId="24" fillId="8" borderId="6" xfId="0" applyNumberFormat="1" applyFont="1" applyFill="1" applyBorder="1" applyAlignment="1">
      <alignment vertical="center"/>
    </xf>
    <xf numFmtId="168" fontId="11" fillId="2" borderId="4" xfId="0" applyNumberFormat="1" applyFont="1" applyFill="1" applyBorder="1" applyAlignment="1">
      <alignment horizontal="right" vertical="center"/>
    </xf>
    <xf numFmtId="168" fontId="12" fillId="0" borderId="2" xfId="0" applyNumberFormat="1" applyFont="1" applyBorder="1" applyAlignment="1">
      <alignment horizontal="right" vertical="center"/>
    </xf>
    <xf numFmtId="10" fontId="0" fillId="0" borderId="0" xfId="2" applyNumberFormat="1" applyFont="1"/>
    <xf numFmtId="10" fontId="0" fillId="0" borderId="0" xfId="0" applyNumberFormat="1"/>
    <xf numFmtId="167" fontId="24" fillId="8" borderId="6" xfId="1" applyNumberFormat="1" applyFont="1" applyFill="1" applyBorder="1" applyAlignment="1">
      <alignment horizontal="center" vertical="center"/>
    </xf>
    <xf numFmtId="165" fontId="0" fillId="8" borderId="6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1" fillId="2" borderId="3" xfId="0" applyFont="1" applyFill="1" applyBorder="1" applyAlignment="1">
      <alignment horizontal="right" vertical="center" indent="1"/>
    </xf>
    <xf numFmtId="0" fontId="12" fillId="0" borderId="1" xfId="0" applyFont="1" applyBorder="1" applyAlignment="1">
      <alignment horizontal="right" vertical="center" indent="1"/>
    </xf>
    <xf numFmtId="0" fontId="9" fillId="3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right" vertical="center" indent="1"/>
    </xf>
    <xf numFmtId="0" fontId="5" fillId="0" borderId="1" xfId="0" applyFont="1" applyBorder="1" applyAlignment="1">
      <alignment horizontal="left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right" vertical="center" indent="1"/>
    </xf>
    <xf numFmtId="0" fontId="18" fillId="2" borderId="3" xfId="0" applyFont="1" applyFill="1" applyBorder="1" applyAlignment="1">
      <alignment horizontal="right" vertical="center" indent="1"/>
    </xf>
    <xf numFmtId="0" fontId="19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2E5984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336550</xdr:colOff>
      <xdr:row>0</xdr:row>
      <xdr:rowOff>190501</xdr:rowOff>
    </xdr:from>
    <xdr:to>
      <xdr:col>0</xdr:col>
      <xdr:colOff>1574437</xdr:colOff>
      <xdr:row>0</xdr:row>
      <xdr:rowOff>1854201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633E07-6392-1B45-B894-BDC861A0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" y="190501"/>
          <a:ext cx="1237887" cy="166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7"/>
  <sheetViews>
    <sheetView topLeftCell="A3" zoomScaleNormal="100" workbookViewId="0">
      <selection activeCell="D15" sqref="D15"/>
    </sheetView>
  </sheetViews>
  <sheetFormatPr baseColWidth="10" defaultColWidth="8.5703125" defaultRowHeight="15" x14ac:dyDescent="0.25"/>
  <cols>
    <col min="1" max="1" width="50" customWidth="1"/>
    <col min="2" max="2" width="15" customWidth="1"/>
    <col min="3" max="3" width="12" customWidth="1"/>
    <col min="4" max="4" width="60" customWidth="1"/>
    <col min="5" max="6" width="12" customWidth="1"/>
  </cols>
  <sheetData>
    <row r="1" spans="1:6" ht="161.1" customHeight="1" x14ac:dyDescent="0.25">
      <c r="A1" s="91" t="s">
        <v>0</v>
      </c>
      <c r="B1" s="91"/>
      <c r="C1" s="91"/>
      <c r="D1" s="91"/>
      <c r="E1" s="91"/>
      <c r="F1" s="91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6" ht="25.5" x14ac:dyDescent="0.25">
      <c r="A4" s="8" t="s">
        <v>5</v>
      </c>
      <c r="B4" s="14">
        <v>36</v>
      </c>
      <c r="C4" s="8" t="s">
        <v>6</v>
      </c>
      <c r="D4" s="4" t="s">
        <v>7</v>
      </c>
    </row>
    <row r="5" spans="1:6" x14ac:dyDescent="0.25">
      <c r="A5" s="8" t="s">
        <v>8</v>
      </c>
      <c r="B5" s="14">
        <v>3</v>
      </c>
      <c r="C5" s="8" t="s">
        <v>6</v>
      </c>
      <c r="D5" s="4" t="s">
        <v>9</v>
      </c>
    </row>
    <row r="6" spans="1:6" x14ac:dyDescent="0.25">
      <c r="A6" s="8" t="s">
        <v>10</v>
      </c>
      <c r="B6" s="14">
        <v>5</v>
      </c>
      <c r="C6" s="8" t="s">
        <v>6</v>
      </c>
      <c r="D6" s="4" t="s">
        <v>11</v>
      </c>
    </row>
    <row r="7" spans="1:6" x14ac:dyDescent="0.25">
      <c r="A7" s="8" t="s">
        <v>12</v>
      </c>
      <c r="B7" s="14">
        <v>2</v>
      </c>
      <c r="C7" s="8" t="s">
        <v>6</v>
      </c>
      <c r="D7" s="4" t="s">
        <v>13</v>
      </c>
    </row>
    <row r="8" spans="1:6" x14ac:dyDescent="0.25">
      <c r="A8" s="8" t="s">
        <v>14</v>
      </c>
      <c r="B8" s="14">
        <v>26</v>
      </c>
      <c r="C8" s="8" t="s">
        <v>6</v>
      </c>
      <c r="D8" s="4" t="s">
        <v>15</v>
      </c>
    </row>
    <row r="9" spans="1:6" x14ac:dyDescent="0.25">
      <c r="A9" s="8" t="s">
        <v>16</v>
      </c>
      <c r="B9" s="14">
        <v>876</v>
      </c>
      <c r="C9" s="8" t="s">
        <v>17</v>
      </c>
      <c r="D9" s="4" t="s">
        <v>18</v>
      </c>
    </row>
    <row r="10" spans="1:6" x14ac:dyDescent="0.25">
      <c r="A10" s="8" t="s">
        <v>19</v>
      </c>
      <c r="B10" s="14">
        <v>6000</v>
      </c>
      <c r="C10" s="8" t="s">
        <v>20</v>
      </c>
      <c r="D10" s="4" t="s">
        <v>21</v>
      </c>
    </row>
    <row r="11" spans="1:6" x14ac:dyDescent="0.25">
      <c r="A11" s="8" t="s">
        <v>22</v>
      </c>
      <c r="B11" s="14">
        <v>69</v>
      </c>
      <c r="C11" s="8" t="s">
        <v>23</v>
      </c>
      <c r="D11" s="4" t="s">
        <v>21</v>
      </c>
    </row>
    <row r="12" spans="1:6" x14ac:dyDescent="0.25">
      <c r="A12" s="8" t="s">
        <v>24</v>
      </c>
      <c r="B12" s="14">
        <v>876</v>
      </c>
      <c r="C12" s="8" t="s">
        <v>23</v>
      </c>
      <c r="D12" s="4" t="s">
        <v>21</v>
      </c>
    </row>
    <row r="13" spans="1:6" x14ac:dyDescent="0.25">
      <c r="A13" s="8" t="s">
        <v>25</v>
      </c>
      <c r="B13" s="14">
        <v>10</v>
      </c>
      <c r="C13" s="8" t="s">
        <v>6</v>
      </c>
      <c r="D13" s="4" t="s">
        <v>26</v>
      </c>
    </row>
    <row r="14" spans="1:6" x14ac:dyDescent="0.25">
      <c r="A14" s="8" t="s">
        <v>27</v>
      </c>
      <c r="B14" s="15">
        <v>1.58</v>
      </c>
      <c r="C14" s="8" t="s">
        <v>28</v>
      </c>
      <c r="D14" s="4" t="s">
        <v>29</v>
      </c>
    </row>
    <row r="15" spans="1:6" x14ac:dyDescent="0.25">
      <c r="A15" s="8" t="s">
        <v>30</v>
      </c>
      <c r="B15" s="15">
        <v>2.1</v>
      </c>
      <c r="C15" s="8" t="s">
        <v>28</v>
      </c>
      <c r="D15" s="4" t="s">
        <v>31</v>
      </c>
    </row>
    <row r="16" spans="1:6" x14ac:dyDescent="0.25">
      <c r="A16" s="8" t="s">
        <v>32</v>
      </c>
      <c r="B16" s="16">
        <v>0.19</v>
      </c>
      <c r="C16" s="8" t="s">
        <v>33</v>
      </c>
      <c r="D16" s="4" t="s">
        <v>34</v>
      </c>
    </row>
    <row r="17" spans="1:6" x14ac:dyDescent="0.25">
      <c r="A17" s="8" t="s">
        <v>35</v>
      </c>
      <c r="B17" s="16">
        <v>0.03</v>
      </c>
      <c r="C17" s="8" t="s">
        <v>33</v>
      </c>
      <c r="D17" s="4" t="s">
        <v>36</v>
      </c>
    </row>
    <row r="18" spans="1:6" x14ac:dyDescent="0.25">
      <c r="A18" s="8" t="s">
        <v>37</v>
      </c>
      <c r="B18" s="17">
        <v>1623500</v>
      </c>
      <c r="C18" s="8" t="s">
        <v>38</v>
      </c>
      <c r="D18" s="4" t="s">
        <v>39</v>
      </c>
    </row>
    <row r="21" spans="1:6" ht="15" customHeight="1" x14ac:dyDescent="0.25">
      <c r="A21" s="86" t="s">
        <v>40</v>
      </c>
      <c r="B21" s="86"/>
      <c r="C21" s="86"/>
      <c r="D21" s="86"/>
      <c r="E21" s="86"/>
      <c r="F21" s="86"/>
    </row>
    <row r="22" spans="1:6" ht="30" customHeight="1" x14ac:dyDescent="0.25">
      <c r="A22" s="83" t="s">
        <v>41</v>
      </c>
      <c r="B22" s="83"/>
      <c r="C22" s="83"/>
      <c r="D22" s="83"/>
      <c r="E22" s="83"/>
      <c r="F22" s="83"/>
    </row>
    <row r="23" spans="1:6" ht="30" customHeight="1" x14ac:dyDescent="0.25">
      <c r="A23" s="83" t="s">
        <v>42</v>
      </c>
      <c r="B23" s="83"/>
      <c r="C23" s="83"/>
      <c r="D23" s="83"/>
      <c r="E23" s="83"/>
      <c r="F23" s="83"/>
    </row>
    <row r="24" spans="1:6" ht="30" customHeight="1" x14ac:dyDescent="0.25">
      <c r="A24" s="83" t="s">
        <v>43</v>
      </c>
      <c r="B24" s="83"/>
      <c r="C24" s="83"/>
      <c r="D24" s="83"/>
      <c r="E24" s="83"/>
      <c r="F24" s="83"/>
    </row>
    <row r="25" spans="1:6" ht="30" customHeight="1" x14ac:dyDescent="0.25">
      <c r="A25" s="83" t="s">
        <v>44</v>
      </c>
      <c r="B25" s="83"/>
      <c r="C25" s="83"/>
      <c r="D25" s="83"/>
      <c r="E25" s="83"/>
      <c r="F25" s="83"/>
    </row>
    <row r="26" spans="1:6" ht="30" customHeight="1" x14ac:dyDescent="0.25">
      <c r="A26" s="83" t="s">
        <v>45</v>
      </c>
      <c r="B26" s="83"/>
      <c r="C26" s="83"/>
      <c r="D26" s="83"/>
      <c r="E26" s="83"/>
      <c r="F26" s="83"/>
    </row>
    <row r="27" spans="1:6" ht="30" customHeight="1" x14ac:dyDescent="0.25">
      <c r="A27" s="83" t="s">
        <v>46</v>
      </c>
      <c r="B27" s="83"/>
      <c r="C27" s="83"/>
      <c r="D27" s="83"/>
      <c r="E27" s="83"/>
      <c r="F27" s="83"/>
    </row>
    <row r="28" spans="1:6" ht="30" customHeight="1" x14ac:dyDescent="0.25">
      <c r="A28" s="83" t="s">
        <v>47</v>
      </c>
      <c r="B28" s="83"/>
      <c r="C28" s="83"/>
      <c r="D28" s="83"/>
      <c r="E28" s="83"/>
      <c r="F28" s="83"/>
    </row>
    <row r="30" spans="1:6" ht="15" customHeight="1" x14ac:dyDescent="0.25">
      <c r="A30" s="86" t="s">
        <v>48</v>
      </c>
      <c r="B30" s="86"/>
      <c r="C30" s="86"/>
      <c r="D30" s="86"/>
      <c r="E30" s="86"/>
      <c r="F30" s="86"/>
    </row>
    <row r="31" spans="1:6" ht="15" customHeight="1" x14ac:dyDescent="0.25">
      <c r="A31" s="18" t="s">
        <v>49</v>
      </c>
      <c r="B31" s="90" t="s">
        <v>50</v>
      </c>
      <c r="C31" s="90"/>
      <c r="D31" s="90"/>
      <c r="E31" s="90"/>
      <c r="F31" s="90"/>
    </row>
    <row r="32" spans="1:6" ht="15" customHeight="1" x14ac:dyDescent="0.25">
      <c r="A32" s="19" t="s">
        <v>51</v>
      </c>
      <c r="B32" s="90" t="s">
        <v>52</v>
      </c>
      <c r="C32" s="90"/>
      <c r="D32" s="90"/>
      <c r="E32" s="90"/>
      <c r="F32" s="90"/>
    </row>
    <row r="33" spans="1:6" ht="15" customHeight="1" x14ac:dyDescent="0.25">
      <c r="A33" s="20" t="s">
        <v>53</v>
      </c>
      <c r="B33" s="90" t="s">
        <v>54</v>
      </c>
      <c r="C33" s="90"/>
      <c r="D33" s="90"/>
      <c r="E33" s="90"/>
      <c r="F33" s="90"/>
    </row>
    <row r="34" spans="1:6" ht="15" customHeight="1" x14ac:dyDescent="0.25">
      <c r="A34" s="21" t="s">
        <v>55</v>
      </c>
      <c r="B34" s="90" t="s">
        <v>56</v>
      </c>
      <c r="C34" s="90"/>
      <c r="D34" s="90"/>
      <c r="E34" s="90"/>
      <c r="F34" s="90"/>
    </row>
    <row r="35" spans="1:6" ht="15" customHeight="1" x14ac:dyDescent="0.25">
      <c r="A35" s="22" t="s">
        <v>57</v>
      </c>
      <c r="B35" s="90" t="s">
        <v>58</v>
      </c>
      <c r="C35" s="90"/>
      <c r="D35" s="90"/>
      <c r="E35" s="90"/>
      <c r="F35" s="90"/>
    </row>
    <row r="37" spans="1:6" x14ac:dyDescent="0.25">
      <c r="A37" s="29"/>
      <c r="B37" t="s">
        <v>59</v>
      </c>
    </row>
  </sheetData>
  <mergeCells count="15">
    <mergeCell ref="A1:F1"/>
    <mergeCell ref="A21:F21"/>
    <mergeCell ref="A22:F22"/>
    <mergeCell ref="A23:F23"/>
    <mergeCell ref="A24:F24"/>
    <mergeCell ref="A25:F25"/>
    <mergeCell ref="A26:F26"/>
    <mergeCell ref="A27:F27"/>
    <mergeCell ref="A28:F28"/>
    <mergeCell ref="A30:F30"/>
    <mergeCell ref="B31:F31"/>
    <mergeCell ref="B32:F32"/>
    <mergeCell ref="B33:F33"/>
    <mergeCell ref="B34:F34"/>
    <mergeCell ref="B35:F35"/>
  </mergeCells>
  <printOptions horizontalCentered="1"/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31"/>
  <sheetViews>
    <sheetView topLeftCell="B10" zoomScaleNormal="100" workbookViewId="0">
      <selection activeCell="V22" sqref="V22:W25"/>
    </sheetView>
  </sheetViews>
  <sheetFormatPr baseColWidth="10" defaultColWidth="8.5703125" defaultRowHeight="15" x14ac:dyDescent="0.25"/>
  <cols>
    <col min="1" max="1" width="6" customWidth="1"/>
    <col min="2" max="2" width="38" customWidth="1"/>
    <col min="3" max="3" width="9" customWidth="1"/>
    <col min="4" max="4" width="10" customWidth="1"/>
    <col min="5" max="5" width="18" customWidth="1"/>
    <col min="6" max="6" width="12" customWidth="1"/>
    <col min="7" max="8" width="18" customWidth="1"/>
    <col min="9" max="9" width="8" customWidth="1"/>
    <col min="10" max="10" width="20" customWidth="1"/>
    <col min="12" max="12" width="16.5703125" customWidth="1"/>
    <col min="13" max="13" width="23" customWidth="1"/>
    <col min="14" max="18" width="16.5703125" customWidth="1"/>
    <col min="19" max="19" width="8.42578125"/>
    <col min="20" max="20" width="16.42578125" customWidth="1"/>
    <col min="21" max="21" width="16.5703125" customWidth="1"/>
    <col min="22" max="22" width="18.140625" customWidth="1"/>
    <col min="23" max="23" width="18.5703125" customWidth="1"/>
    <col min="25" max="25" width="18.140625" customWidth="1"/>
  </cols>
  <sheetData>
    <row r="1" spans="1:23" ht="30" customHeight="1" x14ac:dyDescent="0.25">
      <c r="A1" s="87" t="s">
        <v>60</v>
      </c>
      <c r="B1" s="87"/>
      <c r="C1" s="87"/>
      <c r="D1" s="87"/>
      <c r="E1" s="87"/>
      <c r="F1" s="87"/>
      <c r="G1" s="87"/>
      <c r="H1" s="87"/>
      <c r="I1" s="87"/>
      <c r="J1" s="87"/>
    </row>
    <row r="3" spans="1:23" ht="37.5" customHeight="1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Q3" s="55"/>
      <c r="R3" s="55"/>
    </row>
    <row r="4" spans="1:23" ht="51.75" customHeight="1" x14ac:dyDescent="0.25">
      <c r="A4" s="86" t="s">
        <v>71</v>
      </c>
      <c r="B4" s="86"/>
      <c r="C4" s="86"/>
      <c r="D4" s="86"/>
      <c r="E4" s="86"/>
      <c r="F4" s="86"/>
      <c r="G4" s="86"/>
      <c r="H4" s="86"/>
      <c r="I4" s="86"/>
      <c r="J4" s="86"/>
      <c r="L4" s="31" t="s">
        <v>202</v>
      </c>
      <c r="M4" s="31" t="s">
        <v>203</v>
      </c>
      <c r="N4" s="31" t="s">
        <v>204</v>
      </c>
      <c r="O4" s="31" t="s">
        <v>205</v>
      </c>
      <c r="P4" s="31" t="s">
        <v>206</v>
      </c>
      <c r="Q4" s="31" t="s">
        <v>207</v>
      </c>
      <c r="R4" s="31" t="s">
        <v>208</v>
      </c>
      <c r="T4" s="31" t="s">
        <v>198</v>
      </c>
      <c r="U4" s="31" t="s">
        <v>199</v>
      </c>
      <c r="V4" s="31" t="s">
        <v>200</v>
      </c>
      <c r="W4" s="31" t="s">
        <v>201</v>
      </c>
    </row>
    <row r="5" spans="1:23" x14ac:dyDescent="0.25">
      <c r="A5" s="23">
        <v>1</v>
      </c>
      <c r="B5" s="8" t="s">
        <v>72</v>
      </c>
      <c r="C5" s="14">
        <v>1</v>
      </c>
      <c r="D5" s="16">
        <v>1</v>
      </c>
      <c r="E5" s="66">
        <v>21416666.670000002</v>
      </c>
      <c r="F5" s="24">
        <f>'1. Parámetros'!$B$15</f>
        <v>2.1</v>
      </c>
      <c r="G5" s="25">
        <f>E5*F5</f>
        <v>44975000.007000007</v>
      </c>
      <c r="H5" s="25">
        <f>C5*D5*G5</f>
        <v>44975000.007000007</v>
      </c>
      <c r="I5" s="14">
        <v>36</v>
      </c>
      <c r="J5" s="71">
        <f>H5*I5</f>
        <v>1619100000.2520003</v>
      </c>
      <c r="L5" s="34">
        <v>28000000</v>
      </c>
      <c r="M5" s="34">
        <v>24500000</v>
      </c>
      <c r="N5" s="37">
        <v>18000000</v>
      </c>
      <c r="O5" s="37">
        <v>28500000</v>
      </c>
      <c r="P5" s="44">
        <v>14000000</v>
      </c>
      <c r="Q5" s="44">
        <v>25000000</v>
      </c>
      <c r="R5" s="44">
        <v>25000000</v>
      </c>
      <c r="T5" s="67">
        <f>ROUND(+MIN(L5,M5,N5,O5,Q5,R5),2)</f>
        <v>18000000</v>
      </c>
      <c r="U5" s="32">
        <f>ROUND(+MAX(L5,M5,N5,O5,P5,Q5,R5),2)</f>
        <v>28500000</v>
      </c>
      <c r="V5" s="35">
        <f>+ROUND(AVERAGE(L5,M5,N5,O5,Q5,R5),2)</f>
        <v>24833333.329999998</v>
      </c>
      <c r="W5" s="33">
        <f>+ROUND(AVERAGE(V5,T5),2)</f>
        <v>21416666.670000002</v>
      </c>
    </row>
    <row r="6" spans="1:23" x14ac:dyDescent="0.25">
      <c r="A6" s="23">
        <v>2</v>
      </c>
      <c r="B6" s="8" t="s">
        <v>73</v>
      </c>
      <c r="C6" s="14">
        <v>1</v>
      </c>
      <c r="D6" s="16">
        <v>0.5</v>
      </c>
      <c r="E6" s="66">
        <v>15112500</v>
      </c>
      <c r="F6" s="24">
        <f>'1. Parámetros'!$B$15</f>
        <v>2.1</v>
      </c>
      <c r="G6" s="25">
        <f>E6*F6</f>
        <v>31736250</v>
      </c>
      <c r="H6" s="25">
        <f>C6*D6*G6</f>
        <v>15868125</v>
      </c>
      <c r="I6" s="14">
        <v>36</v>
      </c>
      <c r="J6" s="71">
        <f>H6*I6</f>
        <v>571252500</v>
      </c>
      <c r="L6" s="34">
        <v>20000000</v>
      </c>
      <c r="M6" s="34">
        <v>12000000</v>
      </c>
      <c r="N6" s="34">
        <v>15500000</v>
      </c>
      <c r="O6" s="34">
        <v>20500000</v>
      </c>
      <c r="P6" s="34">
        <v>9000000</v>
      </c>
      <c r="Q6" s="34">
        <v>19350000</v>
      </c>
      <c r="R6" s="34">
        <v>22000000</v>
      </c>
      <c r="T6" s="67">
        <f>ROUND(+MIN(L6,M6,N6,O6,Q6,R6),2)</f>
        <v>12000000</v>
      </c>
      <c r="U6" s="67">
        <f>ROUND(+MAX(L6,M6,N6,O6,P6,Q6,R6),2)</f>
        <v>22000000</v>
      </c>
      <c r="V6" s="35">
        <f>+ROUND(AVERAGE(L6,M6,N6,O6,Q6,R6),2)</f>
        <v>18225000</v>
      </c>
      <c r="W6" s="33">
        <f t="shared" ref="W6:W25" si="0">+ROUND(AVERAGE(V6,T6),2)</f>
        <v>15112500</v>
      </c>
    </row>
    <row r="7" spans="1:23" x14ac:dyDescent="0.25">
      <c r="A7" s="23">
        <v>3</v>
      </c>
      <c r="B7" s="8" t="s">
        <v>74</v>
      </c>
      <c r="C7" s="14">
        <v>1</v>
      </c>
      <c r="D7" s="16">
        <v>0.5</v>
      </c>
      <c r="E7" s="66">
        <v>16885000</v>
      </c>
      <c r="F7" s="24">
        <f>'1. Parámetros'!$B$15</f>
        <v>2.1</v>
      </c>
      <c r="G7" s="25">
        <f>E7*F7</f>
        <v>35458500</v>
      </c>
      <c r="H7" s="25">
        <f>C7*D7*G7</f>
        <v>17729250</v>
      </c>
      <c r="I7" s="14">
        <v>36</v>
      </c>
      <c r="J7" s="71">
        <f>H7*I7</f>
        <v>638253000</v>
      </c>
      <c r="L7" s="34">
        <v>20000000</v>
      </c>
      <c r="M7" s="34">
        <v>16000000</v>
      </c>
      <c r="N7" s="34">
        <v>15500000</v>
      </c>
      <c r="O7" s="34">
        <v>20500000</v>
      </c>
      <c r="P7" s="34">
        <v>7500000</v>
      </c>
      <c r="Q7" s="34">
        <v>19350000</v>
      </c>
      <c r="R7" s="34">
        <v>22000000</v>
      </c>
      <c r="T7" s="67">
        <f>ROUND(+MIN(L7,M7,N7,O7,Q7,R7),2)</f>
        <v>15500000</v>
      </c>
      <c r="U7" s="32">
        <f t="shared" ref="U7" si="1">ROUND(+MAX(L7,M7,N7,O7,P7,Q7,R7),2)</f>
        <v>22000000</v>
      </c>
      <c r="V7" s="35">
        <f>+ROUND(AVERAGE(L7,M7,N7,O7,Q7),2)</f>
        <v>18270000</v>
      </c>
      <c r="W7" s="33">
        <f t="shared" si="0"/>
        <v>16885000</v>
      </c>
    </row>
    <row r="8" spans="1:23" x14ac:dyDescent="0.25">
      <c r="A8" s="30" t="s">
        <v>75</v>
      </c>
      <c r="B8" s="30"/>
      <c r="C8" s="30"/>
      <c r="D8" s="30"/>
      <c r="E8" s="30"/>
      <c r="F8" s="30"/>
      <c r="G8" s="30"/>
      <c r="H8" s="30"/>
      <c r="I8" s="30"/>
      <c r="J8" s="30"/>
      <c r="L8" s="38"/>
      <c r="M8" s="39"/>
      <c r="N8" s="39"/>
      <c r="O8" s="39"/>
      <c r="P8" s="39"/>
      <c r="Q8" s="39"/>
      <c r="R8" s="39"/>
      <c r="T8" s="42"/>
      <c r="U8" s="42"/>
      <c r="V8" s="42"/>
      <c r="W8" s="42"/>
    </row>
    <row r="9" spans="1:23" ht="25.5" x14ac:dyDescent="0.25">
      <c r="A9" s="23">
        <v>4</v>
      </c>
      <c r="B9" s="8" t="s">
        <v>76</v>
      </c>
      <c r="C9" s="14">
        <v>1</v>
      </c>
      <c r="D9" s="16">
        <v>1</v>
      </c>
      <c r="E9" s="66">
        <v>16029166.67</v>
      </c>
      <c r="F9" s="24">
        <f>'1. Parámetros'!$B$15</f>
        <v>2.1</v>
      </c>
      <c r="G9" s="72">
        <f>E9*F9</f>
        <v>33661250.006999999</v>
      </c>
      <c r="H9" s="72">
        <f>C9*D9*G9</f>
        <v>33661250.006999999</v>
      </c>
      <c r="I9" s="14">
        <v>36</v>
      </c>
      <c r="J9" s="71">
        <f>H9*I9</f>
        <v>1211805000.2519999</v>
      </c>
      <c r="L9" s="34">
        <v>18000000</v>
      </c>
      <c r="M9" s="34">
        <v>20500000</v>
      </c>
      <c r="N9" s="34">
        <v>14000000</v>
      </c>
      <c r="O9" s="34">
        <v>18500000</v>
      </c>
      <c r="P9" s="34">
        <v>8000000</v>
      </c>
      <c r="Q9" s="34">
        <v>19350000</v>
      </c>
      <c r="R9" s="34">
        <v>18000000</v>
      </c>
      <c r="T9" s="67">
        <f>ROUND(+MIN(L9,M9,N9,O9,Q9,R9),2)</f>
        <v>14000000</v>
      </c>
      <c r="U9" s="67">
        <f>ROUND(+MAX(L9,M9,N9,O9,P9,Q9,R9),2)</f>
        <v>20500000</v>
      </c>
      <c r="V9" s="35">
        <f>+ROUND(AVERAGE(L9,M9,N9,O9,Q9,R9),2)</f>
        <v>18058333.329999998</v>
      </c>
      <c r="W9" s="33">
        <f t="shared" si="0"/>
        <v>16029166.67</v>
      </c>
    </row>
    <row r="10" spans="1:23" ht="25.5" x14ac:dyDescent="0.25">
      <c r="A10" s="23">
        <v>5</v>
      </c>
      <c r="B10" s="8" t="s">
        <v>77</v>
      </c>
      <c r="C10" s="14">
        <v>1</v>
      </c>
      <c r="D10" s="16">
        <v>1</v>
      </c>
      <c r="E10" s="66">
        <v>16195833.34</v>
      </c>
      <c r="F10" s="24">
        <f>'1. Parámetros'!$B$15</f>
        <v>2.1</v>
      </c>
      <c r="G10" s="72">
        <f>E10*F10</f>
        <v>34011250.013999999</v>
      </c>
      <c r="H10" s="72">
        <f>C10*D10*G10</f>
        <v>34011250.013999999</v>
      </c>
      <c r="I10" s="14">
        <v>36</v>
      </c>
      <c r="J10" s="71">
        <f>H10*I10</f>
        <v>1224405000.5039999</v>
      </c>
      <c r="L10" s="34">
        <v>18000000</v>
      </c>
      <c r="M10" s="34">
        <v>22500000</v>
      </c>
      <c r="N10" s="34">
        <v>14000000</v>
      </c>
      <c r="O10" s="34">
        <v>18500000</v>
      </c>
      <c r="P10" s="34">
        <v>12000000</v>
      </c>
      <c r="Q10" s="34">
        <v>19350000</v>
      </c>
      <c r="R10" s="34">
        <v>18000000</v>
      </c>
      <c r="T10" s="67">
        <f t="shared" ref="T10:T13" si="2">ROUND(+MIN(L10,M10,N10,O10,Q10,R10),2)</f>
        <v>14000000</v>
      </c>
      <c r="U10" s="32">
        <f t="shared" ref="U10:U13" si="3">ROUND(+MAX(L10,M10,N10,O10,P10,Q10,R10),2)</f>
        <v>22500000</v>
      </c>
      <c r="V10" s="35">
        <f t="shared" ref="V10:V13" si="4">+ROUND(AVERAGE(L10,M10,N10,O10,Q10,R10),2)</f>
        <v>18391666.670000002</v>
      </c>
      <c r="W10" s="33">
        <f t="shared" si="0"/>
        <v>16195833.34</v>
      </c>
    </row>
    <row r="11" spans="1:23" ht="25.5" x14ac:dyDescent="0.25">
      <c r="A11" s="23">
        <v>6</v>
      </c>
      <c r="B11" s="8" t="s">
        <v>78</v>
      </c>
      <c r="C11" s="14">
        <v>1</v>
      </c>
      <c r="D11" s="16">
        <v>1</v>
      </c>
      <c r="E11" s="66">
        <v>15487500</v>
      </c>
      <c r="F11" s="24">
        <f>'1. Parámetros'!$B$15</f>
        <v>2.1</v>
      </c>
      <c r="G11" s="72">
        <f>E11*F11</f>
        <v>32523750</v>
      </c>
      <c r="H11" s="72">
        <f>C11*D11*G11</f>
        <v>32523750</v>
      </c>
      <c r="I11" s="14">
        <v>36</v>
      </c>
      <c r="J11" s="71">
        <f>H11*I11</f>
        <v>1170855000</v>
      </c>
      <c r="L11" s="34">
        <v>18000000</v>
      </c>
      <c r="M11" s="34">
        <v>14000000</v>
      </c>
      <c r="N11" s="34">
        <v>14000000</v>
      </c>
      <c r="O11" s="34">
        <v>18500000</v>
      </c>
      <c r="P11" s="34">
        <v>8000000</v>
      </c>
      <c r="Q11" s="34">
        <v>19350000</v>
      </c>
      <c r="R11" s="34">
        <v>18000000</v>
      </c>
      <c r="T11" s="67">
        <f t="shared" si="2"/>
        <v>14000000</v>
      </c>
      <c r="U11" s="32">
        <f t="shared" si="3"/>
        <v>19350000</v>
      </c>
      <c r="V11" s="35">
        <f t="shared" si="4"/>
        <v>16975000</v>
      </c>
      <c r="W11" s="33">
        <f>+ROUND(AVERAGE(V11,T11),2)</f>
        <v>15487500</v>
      </c>
    </row>
    <row r="12" spans="1:23" ht="25.5" x14ac:dyDescent="0.25">
      <c r="A12" s="23">
        <v>7</v>
      </c>
      <c r="B12" s="8" t="s">
        <v>79</v>
      </c>
      <c r="C12" s="14">
        <v>1</v>
      </c>
      <c r="D12" s="16">
        <v>0.5</v>
      </c>
      <c r="E12" s="66">
        <v>16779166.670000002</v>
      </c>
      <c r="F12" s="24">
        <f>'1. Parámetros'!$B$15</f>
        <v>2.1</v>
      </c>
      <c r="G12" s="72">
        <f>E12*F12</f>
        <v>35236250.007000007</v>
      </c>
      <c r="H12" s="72">
        <f>C12*D12*G12</f>
        <v>17618125.003500003</v>
      </c>
      <c r="I12" s="14">
        <v>36</v>
      </c>
      <c r="J12" s="71">
        <f>H12*I12</f>
        <v>634252500.12600017</v>
      </c>
      <c r="L12" s="35">
        <v>25000000</v>
      </c>
      <c r="M12" s="35">
        <v>15500000</v>
      </c>
      <c r="N12" s="35">
        <v>14000000</v>
      </c>
      <c r="O12" s="35">
        <v>25500000</v>
      </c>
      <c r="P12" s="35">
        <v>8000000</v>
      </c>
      <c r="Q12" s="35">
        <v>19350000</v>
      </c>
      <c r="R12" s="35">
        <v>18000000</v>
      </c>
      <c r="T12" s="67">
        <f t="shared" si="2"/>
        <v>14000000</v>
      </c>
      <c r="U12" s="32">
        <f t="shared" si="3"/>
        <v>25500000</v>
      </c>
      <c r="V12" s="35">
        <f t="shared" si="4"/>
        <v>19558333.329999998</v>
      </c>
      <c r="W12" s="33">
        <f t="shared" si="0"/>
        <v>16779166.670000002</v>
      </c>
    </row>
    <row r="13" spans="1:23" x14ac:dyDescent="0.25">
      <c r="A13" s="23">
        <v>8</v>
      </c>
      <c r="B13" s="8" t="s">
        <v>80</v>
      </c>
      <c r="C13" s="14">
        <v>1</v>
      </c>
      <c r="D13" s="16">
        <v>0.25</v>
      </c>
      <c r="E13" s="66">
        <v>15487500</v>
      </c>
      <c r="F13" s="24">
        <f>'1. Parámetros'!$B$15</f>
        <v>2.1</v>
      </c>
      <c r="G13" s="72">
        <f>E13*F13</f>
        <v>32523750</v>
      </c>
      <c r="H13" s="72">
        <f>C13*D13*G13</f>
        <v>8130937.5</v>
      </c>
      <c r="I13" s="14">
        <v>36</v>
      </c>
      <c r="J13" s="71">
        <f>H13*I13</f>
        <v>292713750</v>
      </c>
      <c r="L13" s="35">
        <v>25000000</v>
      </c>
      <c r="M13" s="35">
        <v>12000000</v>
      </c>
      <c r="N13" s="35">
        <v>14000000</v>
      </c>
      <c r="O13" s="35">
        <v>25500000</v>
      </c>
      <c r="P13" s="35">
        <v>7500000</v>
      </c>
      <c r="Q13" s="35">
        <v>19350000</v>
      </c>
      <c r="R13" s="35">
        <v>18000000</v>
      </c>
      <c r="T13" s="67">
        <f t="shared" si="2"/>
        <v>12000000</v>
      </c>
      <c r="U13" s="32">
        <f t="shared" si="3"/>
        <v>25500000</v>
      </c>
      <c r="V13" s="35">
        <f t="shared" si="4"/>
        <v>18975000</v>
      </c>
      <c r="W13" s="33">
        <f t="shared" si="0"/>
        <v>15487500</v>
      </c>
    </row>
    <row r="14" spans="1:23" x14ac:dyDescent="0.25">
      <c r="A14" s="30" t="s">
        <v>81</v>
      </c>
      <c r="B14" s="30"/>
      <c r="C14" s="30"/>
      <c r="D14" s="30"/>
      <c r="E14" s="30"/>
      <c r="F14" s="30"/>
      <c r="G14" s="30"/>
      <c r="H14" s="30"/>
      <c r="I14" s="30"/>
      <c r="J14" s="30"/>
      <c r="L14" s="40"/>
      <c r="M14" s="40"/>
      <c r="N14" s="40"/>
      <c r="O14" s="40"/>
      <c r="P14" s="40"/>
      <c r="Q14" s="40"/>
      <c r="R14" s="40"/>
      <c r="T14" s="43"/>
      <c r="U14" s="43"/>
      <c r="V14" s="43"/>
      <c r="W14" s="43"/>
    </row>
    <row r="15" spans="1:23" ht="25.5" x14ac:dyDescent="0.25">
      <c r="A15" s="23">
        <v>9</v>
      </c>
      <c r="B15" s="8" t="s">
        <v>82</v>
      </c>
      <c r="C15" s="14">
        <v>1</v>
      </c>
      <c r="D15" s="16">
        <v>1</v>
      </c>
      <c r="E15" s="66">
        <v>9583333.3399999999</v>
      </c>
      <c r="F15" s="24">
        <f>'1. Parámetros'!$B$15</f>
        <v>2.1</v>
      </c>
      <c r="G15" s="72">
        <f t="shared" ref="G15:G20" si="5">E15*F15</f>
        <v>20125000.014000002</v>
      </c>
      <c r="H15" s="72">
        <f t="shared" ref="H15:H20" si="6">C15*D15*G15</f>
        <v>20125000.014000002</v>
      </c>
      <c r="I15" s="14">
        <v>36</v>
      </c>
      <c r="J15" s="9">
        <f t="shared" ref="J15:J20" si="7">H15*I15</f>
        <v>724500000.50400007</v>
      </c>
      <c r="L15" s="34">
        <v>12000000</v>
      </c>
      <c r="M15" s="34">
        <v>11500000</v>
      </c>
      <c r="N15" s="34">
        <v>8000000</v>
      </c>
      <c r="O15" s="34">
        <v>12500000</v>
      </c>
      <c r="P15" s="82">
        <v>4500000</v>
      </c>
      <c r="Q15" s="34">
        <v>10000000</v>
      </c>
      <c r="R15" s="34">
        <v>13000000</v>
      </c>
      <c r="T15" s="67">
        <f>ROUND(+MIN(L15,M15,N15,O15,Q15,R15),2)</f>
        <v>8000000</v>
      </c>
      <c r="U15" s="67">
        <f>ROUND(+MAX(L15,M15,N15,O15,P15,Q15,R15),2)</f>
        <v>13000000</v>
      </c>
      <c r="V15" s="35">
        <f>+ROUND(AVERAGE(L15,M15,N15,O15,Q15,R15),2)</f>
        <v>11166666.67</v>
      </c>
      <c r="W15" s="33">
        <f t="shared" si="0"/>
        <v>9583333.3399999999</v>
      </c>
    </row>
    <row r="16" spans="1:23" ht="25.5" x14ac:dyDescent="0.25">
      <c r="A16" s="23">
        <v>10</v>
      </c>
      <c r="B16" s="8" t="s">
        <v>83</v>
      </c>
      <c r="C16" s="14">
        <v>1</v>
      </c>
      <c r="D16" s="16">
        <v>1</v>
      </c>
      <c r="E16" s="66">
        <v>9416666.6699999999</v>
      </c>
      <c r="F16" s="24">
        <f>'1. Parámetros'!$B$15</f>
        <v>2.1</v>
      </c>
      <c r="G16" s="72">
        <f t="shared" si="5"/>
        <v>19775000.006999999</v>
      </c>
      <c r="H16" s="72">
        <f t="shared" si="6"/>
        <v>19775000.006999999</v>
      </c>
      <c r="I16" s="14">
        <v>36</v>
      </c>
      <c r="J16" s="9">
        <f t="shared" si="7"/>
        <v>711900000.25199997</v>
      </c>
      <c r="L16" s="34">
        <v>12000000</v>
      </c>
      <c r="M16" s="34">
        <v>9500000</v>
      </c>
      <c r="N16" s="34">
        <v>8000000</v>
      </c>
      <c r="O16" s="34">
        <v>12500000</v>
      </c>
      <c r="P16" s="82">
        <v>4500000</v>
      </c>
      <c r="Q16" s="34">
        <v>10000000</v>
      </c>
      <c r="R16" s="34">
        <v>13000000</v>
      </c>
      <c r="T16" s="67">
        <f t="shared" ref="T16:T20" si="8">ROUND(+MIN(L16,M16,N16,O16,Q16,R16),2)</f>
        <v>8000000</v>
      </c>
      <c r="U16" s="32">
        <f t="shared" ref="U16:U25" si="9">ROUND(+MAX(L16,M16,N16,O16,P16,Q16,R16),2)</f>
        <v>13000000</v>
      </c>
      <c r="V16" s="35">
        <f t="shared" ref="V16:V20" si="10">+ROUND(AVERAGE(L16,M16,N16,O16,Q16,R16),2)</f>
        <v>10833333.33</v>
      </c>
      <c r="W16" s="33">
        <f t="shared" si="0"/>
        <v>9416666.6699999999</v>
      </c>
    </row>
    <row r="17" spans="1:23" ht="25.5" x14ac:dyDescent="0.25">
      <c r="A17" s="23">
        <v>11</v>
      </c>
      <c r="B17" s="8" t="s">
        <v>84</v>
      </c>
      <c r="C17" s="14">
        <v>1</v>
      </c>
      <c r="D17" s="16">
        <v>1</v>
      </c>
      <c r="E17" s="66">
        <v>9416666.6699999999</v>
      </c>
      <c r="F17" s="24">
        <f>'1. Parámetros'!$B$15</f>
        <v>2.1</v>
      </c>
      <c r="G17" s="72">
        <f t="shared" si="5"/>
        <v>19775000.006999999</v>
      </c>
      <c r="H17" s="72">
        <f t="shared" si="6"/>
        <v>19775000.006999999</v>
      </c>
      <c r="I17" s="14">
        <v>36</v>
      </c>
      <c r="J17" s="9">
        <f t="shared" si="7"/>
        <v>711900000.25199997</v>
      </c>
      <c r="L17" s="34">
        <v>12000000</v>
      </c>
      <c r="M17" s="34">
        <v>9500000</v>
      </c>
      <c r="N17" s="34">
        <v>8000000</v>
      </c>
      <c r="O17" s="34">
        <v>12500000</v>
      </c>
      <c r="P17" s="82">
        <v>4500000</v>
      </c>
      <c r="Q17" s="34">
        <v>10000000</v>
      </c>
      <c r="R17" s="34">
        <v>13000000</v>
      </c>
      <c r="T17" s="67">
        <f t="shared" si="8"/>
        <v>8000000</v>
      </c>
      <c r="U17" s="32">
        <f t="shared" si="9"/>
        <v>13000000</v>
      </c>
      <c r="V17" s="35">
        <f t="shared" si="10"/>
        <v>10833333.33</v>
      </c>
      <c r="W17" s="33">
        <f>+ROUND(AVERAGE(V17,T17),2)</f>
        <v>9416666.6699999999</v>
      </c>
    </row>
    <row r="18" spans="1:23" ht="25.5" x14ac:dyDescent="0.25">
      <c r="A18" s="23">
        <v>12</v>
      </c>
      <c r="B18" s="8" t="s">
        <v>85</v>
      </c>
      <c r="C18" s="14">
        <v>1</v>
      </c>
      <c r="D18" s="16">
        <v>1</v>
      </c>
      <c r="E18" s="66">
        <v>9416666.6699999999</v>
      </c>
      <c r="F18" s="24">
        <f>'1. Parámetros'!$B$15</f>
        <v>2.1</v>
      </c>
      <c r="G18" s="72">
        <f t="shared" si="5"/>
        <v>19775000.006999999</v>
      </c>
      <c r="H18" s="72">
        <f t="shared" si="6"/>
        <v>19775000.006999999</v>
      </c>
      <c r="I18" s="14">
        <v>36</v>
      </c>
      <c r="J18" s="9">
        <f t="shared" si="7"/>
        <v>711900000.25199997</v>
      </c>
      <c r="L18" s="34">
        <v>12000000</v>
      </c>
      <c r="M18" s="34">
        <v>9500000</v>
      </c>
      <c r="N18" s="34">
        <v>8000000</v>
      </c>
      <c r="O18" s="34">
        <v>12500000</v>
      </c>
      <c r="P18" s="82">
        <v>4500000</v>
      </c>
      <c r="Q18" s="34">
        <v>10000000</v>
      </c>
      <c r="R18" s="34">
        <v>13000000</v>
      </c>
      <c r="T18" s="67">
        <f t="shared" si="8"/>
        <v>8000000</v>
      </c>
      <c r="U18" s="32">
        <f t="shared" si="9"/>
        <v>13000000</v>
      </c>
      <c r="V18" s="35">
        <f t="shared" si="10"/>
        <v>10833333.33</v>
      </c>
      <c r="W18" s="33">
        <f t="shared" si="0"/>
        <v>9416666.6699999999</v>
      </c>
    </row>
    <row r="19" spans="1:23" ht="25.5" x14ac:dyDescent="0.25">
      <c r="A19" s="23">
        <v>13</v>
      </c>
      <c r="B19" s="8" t="s">
        <v>86</v>
      </c>
      <c r="C19" s="14">
        <v>1</v>
      </c>
      <c r="D19" s="16">
        <v>1</v>
      </c>
      <c r="E19" s="66">
        <v>9416666.6699999999</v>
      </c>
      <c r="F19" s="24">
        <f>'1. Parámetros'!$B$15</f>
        <v>2.1</v>
      </c>
      <c r="G19" s="72">
        <f t="shared" si="5"/>
        <v>19775000.006999999</v>
      </c>
      <c r="H19" s="72">
        <f t="shared" si="6"/>
        <v>19775000.006999999</v>
      </c>
      <c r="I19" s="14">
        <v>36</v>
      </c>
      <c r="J19" s="9">
        <f t="shared" si="7"/>
        <v>711900000.25199997</v>
      </c>
      <c r="L19" s="34">
        <v>12000000</v>
      </c>
      <c r="M19" s="34">
        <v>9500000</v>
      </c>
      <c r="N19" s="34">
        <v>8000000</v>
      </c>
      <c r="O19" s="34">
        <v>12500000</v>
      </c>
      <c r="P19" s="82">
        <v>4500000</v>
      </c>
      <c r="Q19" s="34">
        <v>10000000</v>
      </c>
      <c r="R19" s="34">
        <v>13000000</v>
      </c>
      <c r="T19" s="67">
        <f t="shared" si="8"/>
        <v>8000000</v>
      </c>
      <c r="U19" s="32">
        <f t="shared" si="9"/>
        <v>13000000</v>
      </c>
      <c r="V19" s="35">
        <f t="shared" si="10"/>
        <v>10833333.33</v>
      </c>
      <c r="W19" s="33">
        <f t="shared" si="0"/>
        <v>9416666.6699999999</v>
      </c>
    </row>
    <row r="20" spans="1:23" ht="25.5" x14ac:dyDescent="0.25">
      <c r="A20" s="23">
        <v>14</v>
      </c>
      <c r="B20" s="8" t="s">
        <v>87</v>
      </c>
      <c r="C20" s="14">
        <v>1</v>
      </c>
      <c r="D20" s="16">
        <v>1</v>
      </c>
      <c r="E20" s="66">
        <v>9583333.3399999999</v>
      </c>
      <c r="F20" s="24">
        <f>'1. Parámetros'!$B$15</f>
        <v>2.1</v>
      </c>
      <c r="G20" s="72">
        <f t="shared" si="5"/>
        <v>20125000.014000002</v>
      </c>
      <c r="H20" s="72">
        <f t="shared" si="6"/>
        <v>20125000.014000002</v>
      </c>
      <c r="I20" s="14">
        <v>36</v>
      </c>
      <c r="J20" s="9">
        <f t="shared" si="7"/>
        <v>724500000.50400007</v>
      </c>
      <c r="L20" s="34">
        <v>12000000</v>
      </c>
      <c r="M20" s="34">
        <v>11500000</v>
      </c>
      <c r="N20" s="34">
        <v>8000000</v>
      </c>
      <c r="O20" s="34">
        <v>12500000</v>
      </c>
      <c r="P20" s="82">
        <v>4500000</v>
      </c>
      <c r="Q20" s="34">
        <v>10000000</v>
      </c>
      <c r="R20" s="34">
        <v>13000000</v>
      </c>
      <c r="T20" s="67">
        <f t="shared" si="8"/>
        <v>8000000</v>
      </c>
      <c r="U20" s="32">
        <f t="shared" si="9"/>
        <v>13000000</v>
      </c>
      <c r="V20" s="35">
        <f t="shared" si="10"/>
        <v>11166666.67</v>
      </c>
      <c r="W20" s="33">
        <f t="shared" si="0"/>
        <v>9583333.3399999999</v>
      </c>
    </row>
    <row r="21" spans="1:23" x14ac:dyDescent="0.25">
      <c r="A21" s="30" t="s">
        <v>88</v>
      </c>
      <c r="B21" s="30"/>
      <c r="C21" s="30"/>
      <c r="D21" s="30"/>
      <c r="E21" s="30"/>
      <c r="F21" s="30"/>
      <c r="G21" s="30"/>
      <c r="H21" s="30"/>
      <c r="I21" s="30"/>
      <c r="J21" s="30"/>
      <c r="L21" s="41"/>
      <c r="M21" s="41"/>
      <c r="N21" s="41"/>
      <c r="O21" s="41"/>
      <c r="P21" s="41"/>
      <c r="Q21" s="41"/>
      <c r="R21" s="41"/>
      <c r="T21" s="42"/>
      <c r="U21" s="42"/>
      <c r="V21" s="42"/>
      <c r="W21" s="42"/>
    </row>
    <row r="22" spans="1:23" ht="25.5" x14ac:dyDescent="0.25">
      <c r="A22" s="23">
        <v>15</v>
      </c>
      <c r="B22" s="8" t="s">
        <v>89</v>
      </c>
      <c r="C22" s="14">
        <v>1</v>
      </c>
      <c r="D22" s="16">
        <v>1</v>
      </c>
      <c r="E22" s="66">
        <f>V22</f>
        <v>10375000</v>
      </c>
      <c r="F22" s="24">
        <f>'1. Parámetros'!$B$15</f>
        <v>2.1</v>
      </c>
      <c r="G22" s="72">
        <f>E22*F22</f>
        <v>21787500</v>
      </c>
      <c r="H22" s="72">
        <f>C22*D22*G22</f>
        <v>21787500</v>
      </c>
      <c r="I22" s="14">
        <v>36</v>
      </c>
      <c r="J22" s="9">
        <f>H22*I22</f>
        <v>784350000</v>
      </c>
      <c r="L22" s="44">
        <v>18000000</v>
      </c>
      <c r="M22" s="44">
        <v>9500000</v>
      </c>
      <c r="N22" s="44">
        <v>10000000</v>
      </c>
      <c r="O22" s="44">
        <v>18500000</v>
      </c>
      <c r="P22" s="44">
        <v>6500000</v>
      </c>
      <c r="Q22" s="44">
        <v>10000000</v>
      </c>
      <c r="R22" s="37">
        <v>12000000</v>
      </c>
      <c r="T22" s="67">
        <f t="shared" ref="T22" si="11">ROUND(+MIN(L22,M22,N22,O22,Q22,R22),2)</f>
        <v>9500000</v>
      </c>
      <c r="U22" s="67">
        <f>ROUND(+MAX(M22,N22,P22,Q22,R22),2)</f>
        <v>12000000</v>
      </c>
      <c r="V22" s="35">
        <f>+ROUND(AVERAGE(M22,N22,Q22,R22),2)</f>
        <v>10375000</v>
      </c>
      <c r="W22" s="33">
        <f t="shared" si="0"/>
        <v>9937500</v>
      </c>
    </row>
    <row r="23" spans="1:23" ht="25.5" x14ac:dyDescent="0.25">
      <c r="A23" s="23">
        <v>16</v>
      </c>
      <c r="B23" s="8" t="s">
        <v>90</v>
      </c>
      <c r="C23" s="14">
        <v>1</v>
      </c>
      <c r="D23" s="16">
        <v>1</v>
      </c>
      <c r="E23" s="66">
        <v>10350000</v>
      </c>
      <c r="F23" s="24">
        <f>'1. Parámetros'!$B$15</f>
        <v>2.1</v>
      </c>
      <c r="G23" s="72">
        <f>E23*F23</f>
        <v>21735000</v>
      </c>
      <c r="H23" s="72">
        <f>C23*D23*G23</f>
        <v>21735000</v>
      </c>
      <c r="I23" s="14">
        <v>36</v>
      </c>
      <c r="J23" s="9">
        <f>H23*I23</f>
        <v>782460000</v>
      </c>
      <c r="L23" s="44">
        <v>12000000</v>
      </c>
      <c r="M23" s="44">
        <v>9500000</v>
      </c>
      <c r="N23" s="44">
        <v>5000000</v>
      </c>
      <c r="O23" s="44">
        <v>12500000</v>
      </c>
      <c r="P23" s="44">
        <v>4500000</v>
      </c>
      <c r="Q23" s="44">
        <v>10000000</v>
      </c>
      <c r="R23" s="37">
        <v>12000000</v>
      </c>
      <c r="T23" s="67">
        <f>ROUND(+MIN(L23,M23,O23,Q23,R23),2)</f>
        <v>9500000</v>
      </c>
      <c r="U23" s="32">
        <f t="shared" si="9"/>
        <v>12500000</v>
      </c>
      <c r="V23" s="35">
        <f>+ROUND(AVERAGE(L23,M23,O23,Q23,R23),2)</f>
        <v>11200000</v>
      </c>
      <c r="W23" s="33">
        <f>+ROUND(AVERAGE(V23,T23),2)</f>
        <v>10350000</v>
      </c>
    </row>
    <row r="24" spans="1:23" x14ac:dyDescent="0.25">
      <c r="A24" s="23">
        <v>17</v>
      </c>
      <c r="B24" s="8" t="s">
        <v>91</v>
      </c>
      <c r="C24" s="14">
        <v>1</v>
      </c>
      <c r="D24" s="16">
        <v>1</v>
      </c>
      <c r="E24" s="66">
        <v>9666666.6699999999</v>
      </c>
      <c r="F24" s="24">
        <f>'1. Parámetros'!$B$15</f>
        <v>2.1</v>
      </c>
      <c r="G24" s="72">
        <f>E24*F24</f>
        <v>20300000.006999999</v>
      </c>
      <c r="H24" s="72">
        <f>C24*D24*G24</f>
        <v>20300000.006999999</v>
      </c>
      <c r="I24" s="14">
        <v>36</v>
      </c>
      <c r="J24" s="9">
        <f>H24*I24</f>
        <v>730800000.25199997</v>
      </c>
      <c r="L24" s="44">
        <v>12000000</v>
      </c>
      <c r="M24" s="44">
        <v>8500000</v>
      </c>
      <c r="N24" s="44">
        <v>10000000</v>
      </c>
      <c r="O24" s="44">
        <v>12500000</v>
      </c>
      <c r="P24" s="44">
        <v>4000000</v>
      </c>
      <c r="Q24" s="44">
        <v>10000000</v>
      </c>
      <c r="R24" s="37">
        <v>12000000</v>
      </c>
      <c r="T24" s="67">
        <f>ROUND(+MIN(L24,M24,N24,O24,Q24,R24),2)</f>
        <v>8500000</v>
      </c>
      <c r="U24" s="32">
        <f t="shared" si="9"/>
        <v>12500000</v>
      </c>
      <c r="V24" s="35">
        <f>+ROUND(AVERAGE(L24,M24,N24,O24,Q24,R24),2)</f>
        <v>10833333.33</v>
      </c>
      <c r="W24" s="33">
        <f t="shared" si="0"/>
        <v>9666666.6699999999</v>
      </c>
    </row>
    <row r="25" spans="1:23" x14ac:dyDescent="0.25">
      <c r="A25" s="23">
        <v>18</v>
      </c>
      <c r="B25" s="8" t="s">
        <v>92</v>
      </c>
      <c r="C25" s="14">
        <v>1</v>
      </c>
      <c r="D25" s="16">
        <v>1</v>
      </c>
      <c r="E25" s="66">
        <v>4408333.34</v>
      </c>
      <c r="F25" s="24">
        <f>'1. Parámetros'!$B$15</f>
        <v>2.1</v>
      </c>
      <c r="G25" s="72">
        <f>E25*F25</f>
        <v>9257500.0140000004</v>
      </c>
      <c r="H25" s="72">
        <f>C25*D25*G25</f>
        <v>9257500.0140000004</v>
      </c>
      <c r="I25" s="14">
        <v>36</v>
      </c>
      <c r="J25" s="9">
        <f>H25*I25</f>
        <v>333270000.50400001</v>
      </c>
      <c r="L25" s="44">
        <v>5500000</v>
      </c>
      <c r="M25" s="44">
        <v>4800000</v>
      </c>
      <c r="N25" s="44">
        <v>4500000</v>
      </c>
      <c r="O25" s="44">
        <v>5500000</v>
      </c>
      <c r="P25" s="44">
        <v>3800000</v>
      </c>
      <c r="Q25" s="44">
        <v>3000000</v>
      </c>
      <c r="R25" s="37">
        <v>6000000</v>
      </c>
      <c r="T25" s="67">
        <f>ROUND(+MIN(L25,M25,N25,O25,P25,R25),2)</f>
        <v>3800000</v>
      </c>
      <c r="U25" s="32">
        <f t="shared" si="9"/>
        <v>6000000</v>
      </c>
      <c r="V25" s="35">
        <f>+ROUND(AVERAGE(L25,M25,N25,O25,P25,R25),2)</f>
        <v>5016666.67</v>
      </c>
      <c r="W25" s="33">
        <f t="shared" si="0"/>
        <v>4408333.34</v>
      </c>
    </row>
    <row r="27" spans="1:23" x14ac:dyDescent="0.25">
      <c r="A27" s="89" t="s">
        <v>93</v>
      </c>
      <c r="B27" s="89"/>
      <c r="C27" s="89"/>
      <c r="D27" s="89"/>
      <c r="E27" s="89"/>
      <c r="F27" s="89"/>
      <c r="G27" s="89"/>
      <c r="H27" s="6">
        <f>SUMIF(B5:B25,"&lt;&gt;",H5:H25)</f>
        <v>396947687.60850006</v>
      </c>
      <c r="I27" s="10"/>
      <c r="J27" s="6">
        <f>SUMIF(B5:B25,"&lt;&gt;",J5:J25)</f>
        <v>14290116753.906004</v>
      </c>
      <c r="V27" s="73"/>
    </row>
    <row r="29" spans="1:23" ht="24.75" customHeight="1" x14ac:dyDescent="0.25">
      <c r="A29" s="83" t="s">
        <v>94</v>
      </c>
      <c r="B29" s="83"/>
      <c r="C29" s="83"/>
      <c r="D29" s="83"/>
      <c r="E29" s="83"/>
      <c r="F29" s="83"/>
      <c r="G29" s="83"/>
      <c r="H29" s="83"/>
      <c r="I29" s="83"/>
      <c r="J29" s="83"/>
    </row>
    <row r="30" spans="1:23" ht="24.75" customHeight="1" x14ac:dyDescent="0.25">
      <c r="A30" s="83" t="s">
        <v>95</v>
      </c>
      <c r="B30" s="83"/>
      <c r="C30" s="83"/>
      <c r="D30" s="83"/>
      <c r="E30" s="83"/>
      <c r="F30" s="83"/>
      <c r="G30" s="83"/>
      <c r="H30" s="83"/>
      <c r="I30" s="83"/>
      <c r="J30" s="83"/>
    </row>
    <row r="31" spans="1:23" ht="30" customHeight="1" x14ac:dyDescent="0.25">
      <c r="A31" s="83" t="s">
        <v>96</v>
      </c>
      <c r="B31" s="83"/>
      <c r="C31" s="83"/>
      <c r="D31" s="83"/>
      <c r="E31" s="83"/>
      <c r="F31" s="83"/>
      <c r="G31" s="83"/>
      <c r="H31" s="83"/>
      <c r="I31" s="83"/>
      <c r="J31" s="83"/>
    </row>
  </sheetData>
  <mergeCells count="6">
    <mergeCell ref="A27:G27"/>
    <mergeCell ref="A29:J29"/>
    <mergeCell ref="A30:J30"/>
    <mergeCell ref="A31:J31"/>
    <mergeCell ref="A1:J1"/>
    <mergeCell ref="A4:J4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1"/>
  <sheetViews>
    <sheetView topLeftCell="C11" zoomScaleNormal="100" workbookViewId="0">
      <selection activeCell="S37" sqref="S37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2" customWidth="1"/>
    <col min="5" max="5" width="18" customWidth="1"/>
    <col min="6" max="6" width="14" customWidth="1"/>
    <col min="7" max="7" width="22" customWidth="1"/>
    <col min="9" max="9" width="16.28515625" customWidth="1"/>
    <col min="10" max="15" width="15.140625" bestFit="1" customWidth="1"/>
    <col min="17" max="17" width="15.5703125" customWidth="1"/>
    <col min="18" max="18" width="17.7109375" customWidth="1"/>
    <col min="19" max="19" width="16.28515625" customWidth="1"/>
    <col min="20" max="20" width="18.7109375" customWidth="1"/>
    <col min="22" max="22" width="14.42578125" customWidth="1"/>
  </cols>
  <sheetData>
    <row r="1" spans="1:20" ht="30" customHeight="1" x14ac:dyDescent="0.25">
      <c r="A1" s="87" t="s">
        <v>97</v>
      </c>
      <c r="B1" s="87"/>
      <c r="C1" s="87"/>
      <c r="D1" s="87"/>
      <c r="E1" s="87"/>
      <c r="F1" s="87"/>
      <c r="G1" s="87"/>
    </row>
    <row r="3" spans="1:20" ht="37.5" customHeight="1" x14ac:dyDescent="0.25">
      <c r="A3" s="1" t="s">
        <v>61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</row>
    <row r="4" spans="1:20" ht="48.75" customHeight="1" x14ac:dyDescent="0.25">
      <c r="A4" s="86" t="s">
        <v>104</v>
      </c>
      <c r="B4" s="86"/>
      <c r="C4" s="86"/>
      <c r="D4" s="86"/>
      <c r="E4" s="86"/>
      <c r="F4" s="86"/>
      <c r="G4" s="86"/>
      <c r="I4" s="54" t="s">
        <v>202</v>
      </c>
      <c r="J4" s="54" t="s">
        <v>203</v>
      </c>
      <c r="K4" s="54" t="s">
        <v>204</v>
      </c>
      <c r="L4" s="54" t="s">
        <v>205</v>
      </c>
      <c r="M4" s="54" t="s">
        <v>206</v>
      </c>
      <c r="N4" s="54" t="s">
        <v>207</v>
      </c>
      <c r="O4" s="54" t="s">
        <v>209</v>
      </c>
      <c r="Q4" s="31" t="s">
        <v>198</v>
      </c>
      <c r="R4" s="31" t="s">
        <v>199</v>
      </c>
      <c r="S4" s="31" t="s">
        <v>200</v>
      </c>
      <c r="T4" s="31" t="s">
        <v>201</v>
      </c>
    </row>
    <row r="5" spans="1:20" x14ac:dyDescent="0.25">
      <c r="A5" s="23">
        <v>1</v>
      </c>
      <c r="B5" s="8" t="s">
        <v>105</v>
      </c>
      <c r="C5" s="26" t="s">
        <v>106</v>
      </c>
      <c r="D5" s="14">
        <v>480</v>
      </c>
      <c r="E5" s="28">
        <v>1655000</v>
      </c>
      <c r="F5" s="13"/>
      <c r="G5" s="9">
        <f>D5*E5</f>
        <v>794400000</v>
      </c>
      <c r="I5" s="34">
        <v>2100000</v>
      </c>
      <c r="J5" s="34">
        <v>1450000</v>
      </c>
      <c r="K5" s="37">
        <v>1800000</v>
      </c>
      <c r="L5" s="44">
        <v>2150000</v>
      </c>
      <c r="M5" s="44">
        <v>850000</v>
      </c>
      <c r="N5" s="44">
        <v>1800000</v>
      </c>
      <c r="O5" s="44">
        <v>3400000</v>
      </c>
      <c r="Q5" s="67">
        <f>ROUND(+MIN(I5,J5,K5,L5,N5),2)</f>
        <v>1450000</v>
      </c>
      <c r="R5" s="67">
        <f>ROUND(+MAX(I5,J5,K5,L5,M5,N5),2)</f>
        <v>2150000</v>
      </c>
      <c r="S5" s="35">
        <f>+ROUND(AVERAGE(I5,J5,K5,L5,N5),2)</f>
        <v>1860000</v>
      </c>
      <c r="T5" s="33">
        <f>+ROUND(AVERAGE(S5,Q5),2)</f>
        <v>1655000</v>
      </c>
    </row>
    <row r="6" spans="1:20" x14ac:dyDescent="0.25">
      <c r="A6" s="23">
        <v>2</v>
      </c>
      <c r="B6" s="8" t="s">
        <v>107</v>
      </c>
      <c r="C6" s="26" t="s">
        <v>108</v>
      </c>
      <c r="D6" s="14">
        <v>1440</v>
      </c>
      <c r="E6" s="28">
        <v>700000</v>
      </c>
      <c r="F6" s="13"/>
      <c r="G6" s="9">
        <f>D6*E6</f>
        <v>1008000000</v>
      </c>
      <c r="I6" s="34">
        <v>1000000</v>
      </c>
      <c r="J6" s="34">
        <v>750000</v>
      </c>
      <c r="K6" s="34">
        <v>600000</v>
      </c>
      <c r="L6" s="34">
        <v>1050000</v>
      </c>
      <c r="M6" s="34">
        <v>600000</v>
      </c>
      <c r="N6" s="34">
        <v>400000</v>
      </c>
      <c r="O6" s="34">
        <v>1800000</v>
      </c>
      <c r="Q6" s="67">
        <f>ROUND(+MIN(I6,J6,K6,L6,M6),2)</f>
        <v>600000</v>
      </c>
      <c r="R6" s="67">
        <f>ROUND(+MAX(I6,J6,K6,L6,M6,N6),2)</f>
        <v>1050000</v>
      </c>
      <c r="S6" s="35">
        <f>+ROUND(AVERAGE(I6,J6,K6,L6,M6),2)</f>
        <v>800000</v>
      </c>
      <c r="T6" s="33">
        <f t="shared" ref="T6:T9" si="0">+ROUND(AVERAGE(S6,Q6),2)</f>
        <v>700000</v>
      </c>
    </row>
    <row r="7" spans="1:20" x14ac:dyDescent="0.25">
      <c r="A7" s="23">
        <v>3</v>
      </c>
      <c r="B7" s="8" t="s">
        <v>109</v>
      </c>
      <c r="C7" s="26" t="s">
        <v>110</v>
      </c>
      <c r="D7" s="14">
        <v>6</v>
      </c>
      <c r="E7" s="28">
        <v>1253250</v>
      </c>
      <c r="F7" s="13"/>
      <c r="G7" s="9">
        <f>D7*E7</f>
        <v>7519500</v>
      </c>
      <c r="I7" s="34">
        <v>1800000</v>
      </c>
      <c r="J7" s="34">
        <v>1200000</v>
      </c>
      <c r="K7" s="34">
        <v>900000</v>
      </c>
      <c r="L7" s="34">
        <v>1839000</v>
      </c>
      <c r="M7" s="34">
        <v>1400000</v>
      </c>
      <c r="N7" s="34">
        <v>2500000</v>
      </c>
      <c r="O7" s="34">
        <v>20000000</v>
      </c>
      <c r="Q7" s="32">
        <f t="shared" ref="Q7:Q9" si="1">ROUND(+MIN(I7,J7,K7,L7,M7,N7,O7),2)</f>
        <v>900000</v>
      </c>
      <c r="R7" s="67">
        <f t="shared" ref="R7:R8" si="2">ROUND(+MAX(I7,J7,K7,L7,M7,N7),2)</f>
        <v>2500000</v>
      </c>
      <c r="S7" s="35">
        <f t="shared" ref="S7" si="3">+ROUND(AVERAGE(I7,J7,K7,L7,M7,N7),2)</f>
        <v>1606500</v>
      </c>
      <c r="T7" s="33">
        <f t="shared" si="0"/>
        <v>1253250</v>
      </c>
    </row>
    <row r="8" spans="1:20" x14ac:dyDescent="0.25">
      <c r="A8" s="23">
        <v>4</v>
      </c>
      <c r="B8" s="8" t="s">
        <v>111</v>
      </c>
      <c r="C8" s="26" t="s">
        <v>112</v>
      </c>
      <c r="D8" s="14">
        <v>36</v>
      </c>
      <c r="E8" s="28">
        <v>6294000</v>
      </c>
      <c r="F8" s="13"/>
      <c r="G8" s="9">
        <f>D8*E8</f>
        <v>226584000</v>
      </c>
      <c r="I8" s="44">
        <v>7500000</v>
      </c>
      <c r="J8" s="34">
        <v>5600000</v>
      </c>
      <c r="K8" s="34">
        <v>7500000</v>
      </c>
      <c r="L8" s="34">
        <v>7540000</v>
      </c>
      <c r="M8" s="34">
        <v>2000000</v>
      </c>
      <c r="N8" s="34">
        <v>6800000</v>
      </c>
      <c r="O8" s="34">
        <v>9000000</v>
      </c>
      <c r="Q8" s="67">
        <f>ROUND(+MIN(I8,J8,K8,L8,N8,O8),2)</f>
        <v>5600000</v>
      </c>
      <c r="R8" s="67">
        <f t="shared" si="2"/>
        <v>7540000</v>
      </c>
      <c r="S8" s="74">
        <f>+ROUND(AVERAGE(I8,J8,K8,L8,N8),2)</f>
        <v>6988000</v>
      </c>
      <c r="T8" s="33">
        <f t="shared" si="0"/>
        <v>6294000</v>
      </c>
    </row>
    <row r="9" spans="1:20" x14ac:dyDescent="0.25">
      <c r="A9" s="23">
        <v>5</v>
      </c>
      <c r="B9" s="8" t="s">
        <v>113</v>
      </c>
      <c r="C9" s="26" t="s">
        <v>114</v>
      </c>
      <c r="D9" s="14">
        <v>3</v>
      </c>
      <c r="E9" s="28">
        <f t="shared" ref="E9" si="4">S9</f>
        <v>7297800</v>
      </c>
      <c r="F9" s="13"/>
      <c r="G9" s="9">
        <f>D9*E9</f>
        <v>21893400</v>
      </c>
      <c r="I9" s="34">
        <v>10000000</v>
      </c>
      <c r="J9" s="34">
        <v>9600000</v>
      </c>
      <c r="K9" s="34">
        <v>3350000</v>
      </c>
      <c r="L9" s="34">
        <v>10039000</v>
      </c>
      <c r="M9" s="34">
        <v>30000000</v>
      </c>
      <c r="N9" s="34">
        <v>3500000</v>
      </c>
      <c r="O9" s="34">
        <v>20000000</v>
      </c>
      <c r="Q9" s="32">
        <f t="shared" si="1"/>
        <v>3350000</v>
      </c>
      <c r="R9" s="67">
        <f>ROUND(+MAX(I9,J9,K9,L9,N9),2)</f>
        <v>10039000</v>
      </c>
      <c r="S9" s="35">
        <f>+ROUND(AVERAGE(I9,J9,K9,L9,N9),2)</f>
        <v>7297800</v>
      </c>
      <c r="T9" s="33">
        <f t="shared" si="0"/>
        <v>5323900</v>
      </c>
    </row>
    <row r="10" spans="1:20" x14ac:dyDescent="0.25">
      <c r="A10" s="92" t="s">
        <v>115</v>
      </c>
      <c r="B10" s="92"/>
      <c r="C10" s="92"/>
      <c r="D10" s="92"/>
      <c r="E10" s="92"/>
      <c r="F10" s="92"/>
      <c r="G10" s="6">
        <f>SUM(G5:G9)</f>
        <v>2058396900</v>
      </c>
      <c r="I10" s="51"/>
      <c r="J10" s="52"/>
      <c r="K10" s="52"/>
      <c r="L10" s="52"/>
      <c r="M10" s="52"/>
      <c r="N10" s="52"/>
      <c r="O10" s="53"/>
      <c r="Q10" s="51"/>
      <c r="R10" s="52"/>
      <c r="S10" s="52"/>
      <c r="T10" s="53"/>
    </row>
    <row r="11" spans="1:20" x14ac:dyDescent="0.25">
      <c r="I11" s="48"/>
      <c r="J11" s="49"/>
      <c r="K11" s="49"/>
      <c r="L11" s="49"/>
      <c r="M11" s="49"/>
      <c r="N11" s="49"/>
      <c r="O11" s="50"/>
      <c r="Q11" s="56"/>
      <c r="R11" s="56"/>
      <c r="S11" s="56"/>
      <c r="T11" s="56"/>
    </row>
    <row r="12" spans="1:20" ht="15" customHeight="1" x14ac:dyDescent="0.25">
      <c r="A12" s="86" t="s">
        <v>116</v>
      </c>
      <c r="B12" s="86"/>
      <c r="C12" s="86"/>
      <c r="D12" s="86"/>
      <c r="E12" s="86"/>
      <c r="F12" s="86"/>
      <c r="G12" s="86"/>
      <c r="I12" s="51"/>
      <c r="J12" s="52"/>
      <c r="K12" s="52"/>
      <c r="L12" s="52"/>
      <c r="M12" s="52"/>
      <c r="N12" s="52"/>
      <c r="O12" s="53"/>
      <c r="Q12" s="51"/>
      <c r="R12" s="52"/>
      <c r="S12" s="52"/>
      <c r="T12" s="53"/>
    </row>
    <row r="13" spans="1:20" ht="25.5" x14ac:dyDescent="0.25">
      <c r="A13" s="23">
        <v>1</v>
      </c>
      <c r="B13" s="8" t="s">
        <v>117</v>
      </c>
      <c r="C13" s="26" t="s">
        <v>110</v>
      </c>
      <c r="D13" s="14">
        <v>36</v>
      </c>
      <c r="E13" s="28">
        <v>21403900</v>
      </c>
      <c r="F13" s="13"/>
      <c r="G13" s="9">
        <f t="shared" ref="G13:G19" si="5">D13*E13</f>
        <v>770540400</v>
      </c>
      <c r="I13" s="35">
        <v>40000000</v>
      </c>
      <c r="J13" s="35">
        <v>14000000</v>
      </c>
      <c r="K13" s="35">
        <v>20000000</v>
      </c>
      <c r="L13" s="35">
        <v>40039000</v>
      </c>
      <c r="M13" s="35">
        <v>2400000</v>
      </c>
      <c r="N13" s="35">
        <v>55000000</v>
      </c>
      <c r="O13" s="35">
        <v>30000000</v>
      </c>
      <c r="Q13" s="67">
        <f>ROUND(+MIN(I13,J13,K13,L13,O13),2)</f>
        <v>14000000</v>
      </c>
      <c r="R13" s="67">
        <f>ROUND(+MAX(I13,J13,K13,L13,O13),2)</f>
        <v>40039000</v>
      </c>
      <c r="S13" s="74">
        <f>+ROUND(AVERAGE(I13,J13,K13,L13,O13),2)</f>
        <v>28807800</v>
      </c>
      <c r="T13" s="33">
        <f>+ROUND(AVERAGE(S13,Q13),2)</f>
        <v>21403900</v>
      </c>
    </row>
    <row r="14" spans="1:20" ht="25.5" x14ac:dyDescent="0.25">
      <c r="A14" s="23">
        <v>2</v>
      </c>
      <c r="B14" s="8" t="s">
        <v>118</v>
      </c>
      <c r="C14" s="26" t="s">
        <v>110</v>
      </c>
      <c r="D14" s="14">
        <v>36</v>
      </c>
      <c r="E14" s="28">
        <v>16919916.670000002</v>
      </c>
      <c r="F14" s="13"/>
      <c r="G14" s="9">
        <f t="shared" si="5"/>
        <v>609117000.12000012</v>
      </c>
      <c r="I14" s="35">
        <v>40000000</v>
      </c>
      <c r="J14" s="35">
        <v>16000000</v>
      </c>
      <c r="K14" s="35">
        <v>30000000</v>
      </c>
      <c r="L14" s="35">
        <v>40039000</v>
      </c>
      <c r="M14" s="35">
        <v>500000</v>
      </c>
      <c r="N14" s="35">
        <v>28000000</v>
      </c>
      <c r="O14" s="35">
        <v>7000000</v>
      </c>
      <c r="Q14" s="67">
        <f>ROUND(+MIN(I14,J14,K14,L14,N14,O14),2)</f>
        <v>7000000</v>
      </c>
      <c r="R14" s="32">
        <f t="shared" ref="R14:R16" si="6">ROUND(+MAX(I14,J14,K14,L14,M14,N14,O14),2)</f>
        <v>40039000</v>
      </c>
      <c r="S14" s="74">
        <f>+ROUND(AVERAGE(I14,J14,K14,L14,N14,O14),2)</f>
        <v>26839833.329999998</v>
      </c>
      <c r="T14" s="33">
        <f t="shared" ref="T14:T18" si="7">+ROUND(AVERAGE(S14,Q14),2)</f>
        <v>16919916.670000002</v>
      </c>
    </row>
    <row r="15" spans="1:20" ht="25.5" x14ac:dyDescent="0.25">
      <c r="A15" s="23">
        <v>3</v>
      </c>
      <c r="B15" s="8" t="s">
        <v>119</v>
      </c>
      <c r="C15" s="26" t="s">
        <v>110</v>
      </c>
      <c r="D15" s="14">
        <v>36</v>
      </c>
      <c r="E15" s="28">
        <v>23303900</v>
      </c>
      <c r="F15" s="13"/>
      <c r="G15" s="9">
        <f t="shared" si="5"/>
        <v>838940400</v>
      </c>
      <c r="I15" s="34">
        <v>40000000</v>
      </c>
      <c r="J15" s="34">
        <v>18000000</v>
      </c>
      <c r="K15" s="34">
        <v>20000000</v>
      </c>
      <c r="L15" s="34">
        <v>40039000</v>
      </c>
      <c r="M15" s="34">
        <v>280000</v>
      </c>
      <c r="N15" s="34">
        <v>25000000</v>
      </c>
      <c r="O15" s="34">
        <v>4000000</v>
      </c>
      <c r="Q15" s="67">
        <f>ROUND(+MIN(I15,J15,K15,L15,N15),2)</f>
        <v>18000000</v>
      </c>
      <c r="R15" s="32">
        <f t="shared" si="6"/>
        <v>40039000</v>
      </c>
      <c r="S15" s="35">
        <f>+ROUND(AVERAGE(I15,J15,K15,L15,N15),2)</f>
        <v>28607800</v>
      </c>
      <c r="T15" s="33">
        <f t="shared" si="7"/>
        <v>23303900</v>
      </c>
    </row>
    <row r="16" spans="1:20" ht="21" customHeight="1" x14ac:dyDescent="0.25">
      <c r="A16" s="23">
        <v>4</v>
      </c>
      <c r="B16" s="8" t="s">
        <v>120</v>
      </c>
      <c r="C16" s="26" t="s">
        <v>110</v>
      </c>
      <c r="D16" s="14">
        <v>36</v>
      </c>
      <c r="E16" s="28">
        <v>16919916.670000002</v>
      </c>
      <c r="F16" s="13"/>
      <c r="G16" s="9">
        <f t="shared" si="5"/>
        <v>609117000.12000012</v>
      </c>
      <c r="I16" s="34">
        <v>30000000</v>
      </c>
      <c r="J16" s="34">
        <v>11000000</v>
      </c>
      <c r="K16" s="34">
        <v>27000000</v>
      </c>
      <c r="L16" s="34">
        <v>30039000</v>
      </c>
      <c r="M16" s="34">
        <v>6400000</v>
      </c>
      <c r="N16" s="34">
        <v>42000000</v>
      </c>
      <c r="O16" s="34">
        <v>9000000</v>
      </c>
      <c r="Q16" s="67">
        <f t="shared" ref="Q16:Q17" si="8">ROUND(+MIN(I16,J16,K16,L16,N16,O16),2)</f>
        <v>9000000</v>
      </c>
      <c r="R16" s="32">
        <f t="shared" si="6"/>
        <v>42000000</v>
      </c>
      <c r="S16" s="35">
        <f>+ROUND(AVERAGE(I16,J16,K16,L16,N16,O16),2)</f>
        <v>24839833.329999998</v>
      </c>
      <c r="T16" s="33">
        <f t="shared" si="7"/>
        <v>16919916.670000002</v>
      </c>
    </row>
    <row r="17" spans="1:20" ht="25.5" x14ac:dyDescent="0.25">
      <c r="A17" s="23">
        <v>5</v>
      </c>
      <c r="B17" s="8" t="s">
        <v>121</v>
      </c>
      <c r="C17" s="26" t="s">
        <v>114</v>
      </c>
      <c r="D17" s="14">
        <v>3</v>
      </c>
      <c r="E17" s="28">
        <v>15303900</v>
      </c>
      <c r="F17" s="13"/>
      <c r="G17" s="9">
        <f t="shared" si="5"/>
        <v>45911700</v>
      </c>
      <c r="I17" s="34">
        <v>25000000</v>
      </c>
      <c r="J17" s="34">
        <v>25000000</v>
      </c>
      <c r="K17" s="34">
        <v>35000000</v>
      </c>
      <c r="L17" s="34">
        <v>25039000</v>
      </c>
      <c r="M17" s="34">
        <v>6568000</v>
      </c>
      <c r="N17" s="34">
        <v>18000000</v>
      </c>
      <c r="O17" s="34">
        <v>10000000</v>
      </c>
      <c r="Q17" s="67">
        <f t="shared" si="8"/>
        <v>10000000</v>
      </c>
      <c r="R17" s="67">
        <f>ROUND(+MAX(I17,J17,L17,M17,N17,O17),2)</f>
        <v>25039000</v>
      </c>
      <c r="S17" s="74">
        <f>+ROUND(AVERAGE(I17,J17,L17,N17,O17),2)</f>
        <v>20607800</v>
      </c>
      <c r="T17" s="33">
        <f t="shared" si="7"/>
        <v>15303900</v>
      </c>
    </row>
    <row r="18" spans="1:20" ht="25.5" x14ac:dyDescent="0.25">
      <c r="A18" s="23">
        <v>6</v>
      </c>
      <c r="B18" s="8" t="s">
        <v>122</v>
      </c>
      <c r="C18" s="26" t="s">
        <v>110</v>
      </c>
      <c r="D18" s="14">
        <v>36</v>
      </c>
      <c r="E18" s="28">
        <v>18803900</v>
      </c>
      <c r="F18" s="13"/>
      <c r="G18" s="9">
        <f t="shared" si="5"/>
        <v>676940400</v>
      </c>
      <c r="I18" s="34">
        <v>20000000</v>
      </c>
      <c r="J18" s="34">
        <v>20000000</v>
      </c>
      <c r="K18" s="34">
        <v>20000000</v>
      </c>
      <c r="L18" s="34">
        <v>20039000</v>
      </c>
      <c r="M18" s="34">
        <v>18000000</v>
      </c>
      <c r="N18" s="34">
        <v>28000000</v>
      </c>
      <c r="O18" s="34">
        <v>5000000</v>
      </c>
      <c r="Q18" s="67">
        <f>ROUND(+MIN(I18,J18,K18,L18,M18),2)</f>
        <v>18000000</v>
      </c>
      <c r="R18" s="67">
        <f>ROUND(+MAX(I18,J18,K18,L18,M18),2)</f>
        <v>20039000</v>
      </c>
      <c r="S18" s="74">
        <f>+ROUND(AVERAGE(I18,J18,K18,L18,M18),2)</f>
        <v>19607800</v>
      </c>
      <c r="T18" s="33">
        <f t="shared" si="7"/>
        <v>18803900</v>
      </c>
    </row>
    <row r="19" spans="1:20" ht="25.5" x14ac:dyDescent="0.25">
      <c r="A19" s="23">
        <v>7</v>
      </c>
      <c r="B19" s="8" t="s">
        <v>123</v>
      </c>
      <c r="C19" s="26" t="s">
        <v>110</v>
      </c>
      <c r="D19" s="14">
        <v>36</v>
      </c>
      <c r="E19" s="28">
        <v>7383900</v>
      </c>
      <c r="F19" s="13"/>
      <c r="G19" s="9">
        <f t="shared" si="5"/>
        <v>265820400</v>
      </c>
      <c r="I19" s="34">
        <v>15000000</v>
      </c>
      <c r="J19" s="34">
        <v>4800000</v>
      </c>
      <c r="K19" s="34">
        <v>15000000</v>
      </c>
      <c r="L19" s="34">
        <v>15039000</v>
      </c>
      <c r="M19" s="34">
        <v>1500000</v>
      </c>
      <c r="N19" s="34">
        <v>22000000</v>
      </c>
      <c r="O19" s="34">
        <v>4000000</v>
      </c>
      <c r="Q19" s="67">
        <f>ROUND(+MIN(I19,J19,K19,L19,O19),2)</f>
        <v>4000000</v>
      </c>
      <c r="R19" s="67">
        <f>ROUND(+MAX(I19,J19,K19,L19,O19),2)</f>
        <v>15039000</v>
      </c>
      <c r="S19" s="74">
        <f>+ROUND(AVERAGE(I19,J19,K19,L19,O19),2)</f>
        <v>10767800</v>
      </c>
      <c r="T19" s="33">
        <f>+ROUND(AVERAGE(S19,Q19),2)</f>
        <v>7383900</v>
      </c>
    </row>
    <row r="20" spans="1:20" x14ac:dyDescent="0.25">
      <c r="A20" s="92" t="s">
        <v>124</v>
      </c>
      <c r="B20" s="92"/>
      <c r="C20" s="92"/>
      <c r="D20" s="92"/>
      <c r="E20" s="92"/>
      <c r="F20" s="92"/>
      <c r="G20" s="6">
        <f>SUM(G13:G19)</f>
        <v>3816387300.2399998</v>
      </c>
      <c r="I20" s="51"/>
      <c r="J20" s="52"/>
      <c r="K20" s="52"/>
      <c r="L20" s="52"/>
      <c r="M20" s="52"/>
      <c r="N20" s="52"/>
      <c r="O20" s="53"/>
      <c r="Q20" s="51"/>
      <c r="R20" s="52"/>
      <c r="S20" s="52"/>
      <c r="T20" s="53"/>
    </row>
    <row r="21" spans="1:20" x14ac:dyDescent="0.25">
      <c r="I21" s="45"/>
      <c r="J21" s="46"/>
      <c r="K21" s="46"/>
      <c r="L21" s="46"/>
      <c r="M21" s="46"/>
      <c r="N21" s="46"/>
      <c r="O21" s="47"/>
      <c r="Q21" s="56"/>
      <c r="R21" s="56"/>
      <c r="S21" s="56"/>
      <c r="T21" s="56"/>
    </row>
    <row r="22" spans="1:20" ht="15" customHeight="1" x14ac:dyDescent="0.25">
      <c r="A22" s="86" t="s">
        <v>125</v>
      </c>
      <c r="B22" s="86"/>
      <c r="C22" s="86"/>
      <c r="D22" s="86"/>
      <c r="E22" s="86"/>
      <c r="F22" s="86"/>
      <c r="G22" s="86"/>
      <c r="I22" s="51"/>
      <c r="J22" s="52"/>
      <c r="K22" s="52"/>
      <c r="L22" s="52"/>
      <c r="M22" s="52"/>
      <c r="N22" s="52"/>
      <c r="O22" s="53"/>
      <c r="Q22" s="32"/>
      <c r="R22" s="32"/>
      <c r="S22" s="33"/>
      <c r="T22" s="33"/>
    </row>
    <row r="23" spans="1:20" x14ac:dyDescent="0.25">
      <c r="A23" s="23">
        <v>1</v>
      </c>
      <c r="B23" s="8" t="s">
        <v>126</v>
      </c>
      <c r="C23" s="26" t="s">
        <v>110</v>
      </c>
      <c r="D23" s="14">
        <v>36</v>
      </c>
      <c r="E23" s="28">
        <v>11443625</v>
      </c>
      <c r="F23" s="13"/>
      <c r="G23" s="9">
        <f t="shared" ref="G23:G29" si="9">D23*E23</f>
        <v>411970500</v>
      </c>
      <c r="I23" s="44">
        <v>15000000</v>
      </c>
      <c r="J23" s="44">
        <v>11500000</v>
      </c>
      <c r="K23" s="44">
        <v>10000000</v>
      </c>
      <c r="L23" s="44">
        <v>15049000</v>
      </c>
      <c r="M23" s="44">
        <v>20000000</v>
      </c>
      <c r="N23" s="44">
        <v>9000000</v>
      </c>
      <c r="O23" s="44">
        <v>36000000</v>
      </c>
      <c r="Q23" s="67">
        <f>ROUND(+MIN(I23,J23,K23,L23),2)</f>
        <v>10000000</v>
      </c>
      <c r="R23" s="35">
        <f>ROUND(+MAX(I23,J23,K23,L23),2)</f>
        <v>15049000</v>
      </c>
      <c r="S23" s="35">
        <f>+ROUND(AVERAGE(I23,J23,K23,L23),2)</f>
        <v>12887250</v>
      </c>
      <c r="T23" s="33">
        <f>+ROUND(AVERAGE(S23,Q23),2)</f>
        <v>11443625</v>
      </c>
    </row>
    <row r="24" spans="1:20" x14ac:dyDescent="0.25">
      <c r="A24" s="23">
        <v>2</v>
      </c>
      <c r="B24" s="8" t="s">
        <v>127</v>
      </c>
      <c r="C24" s="26" t="s">
        <v>110</v>
      </c>
      <c r="D24" s="14">
        <v>36</v>
      </c>
      <c r="E24" s="28">
        <v>3849900</v>
      </c>
      <c r="F24" s="13"/>
      <c r="G24" s="9">
        <f t="shared" si="9"/>
        <v>138596400</v>
      </c>
      <c r="I24" s="44">
        <v>3500000</v>
      </c>
      <c r="J24" s="44">
        <v>4950000</v>
      </c>
      <c r="K24" s="44">
        <v>5500000</v>
      </c>
      <c r="L24" s="44">
        <v>3549000</v>
      </c>
      <c r="M24" s="44">
        <v>1200000</v>
      </c>
      <c r="N24" s="44">
        <v>3500000</v>
      </c>
      <c r="O24" s="44">
        <v>7000000</v>
      </c>
      <c r="Q24" s="67">
        <f>ROUND(+MIN(I24,J24,K24,L24,N24),2)</f>
        <v>3500000</v>
      </c>
      <c r="R24" s="33">
        <f t="shared" ref="R24" si="10">ROUND(+MAX(I24,J24,K24,L24,M24,N24,O24),2)</f>
        <v>7000000</v>
      </c>
      <c r="S24" s="35">
        <f>+ROUND(AVERAGE(I24,J24,K24,L24,N24),2)</f>
        <v>4199800</v>
      </c>
      <c r="T24" s="33">
        <f t="shared" ref="T24:T29" si="11">+ROUND(AVERAGE(S24,Q24),2)</f>
        <v>3849900</v>
      </c>
    </row>
    <row r="25" spans="1:20" x14ac:dyDescent="0.25">
      <c r="A25" s="23">
        <v>3</v>
      </c>
      <c r="B25" s="8" t="s">
        <v>128</v>
      </c>
      <c r="C25" s="26" t="s">
        <v>110</v>
      </c>
      <c r="D25" s="14">
        <v>36</v>
      </c>
      <c r="E25" s="28">
        <v>3425750</v>
      </c>
      <c r="F25" s="13"/>
      <c r="G25" s="9">
        <f t="shared" si="9"/>
        <v>123327000</v>
      </c>
      <c r="I25" s="44">
        <v>4200000</v>
      </c>
      <c r="J25" s="44">
        <v>3160000</v>
      </c>
      <c r="K25" s="44">
        <v>4300000</v>
      </c>
      <c r="L25" s="44">
        <v>4249000</v>
      </c>
      <c r="M25" s="44">
        <v>400000</v>
      </c>
      <c r="N25" s="44">
        <v>4200000</v>
      </c>
      <c r="O25" s="44">
        <v>3000000</v>
      </c>
      <c r="Q25" s="67">
        <f>ROUND(+MIN(I25,J25,K25,L25,N25,O25),2)</f>
        <v>3000000</v>
      </c>
      <c r="R25" s="35">
        <f>ROUND(+MAX(I25,J25,K25,L25,M25,N25,O25),2)</f>
        <v>4300000</v>
      </c>
      <c r="S25" s="35">
        <f>+ROUND(AVERAGE(I25,J25,K25,L25,N25,O25),2)</f>
        <v>3851500</v>
      </c>
      <c r="T25" s="33">
        <f t="shared" si="11"/>
        <v>3425750</v>
      </c>
    </row>
    <row r="26" spans="1:20" x14ac:dyDescent="0.25">
      <c r="A26" s="23">
        <v>4</v>
      </c>
      <c r="B26" s="8" t="s">
        <v>129</v>
      </c>
      <c r="C26" s="26" t="s">
        <v>130</v>
      </c>
      <c r="D26" s="14">
        <v>1</v>
      </c>
      <c r="E26" s="28">
        <v>187625000</v>
      </c>
      <c r="F26" s="13"/>
      <c r="G26" s="9">
        <f t="shared" si="9"/>
        <v>187625000</v>
      </c>
      <c r="I26" s="44">
        <v>350000000</v>
      </c>
      <c r="J26" s="44">
        <v>176000000</v>
      </c>
      <c r="K26" s="44">
        <v>250000000</v>
      </c>
      <c r="L26" s="44">
        <v>350049000</v>
      </c>
      <c r="M26" s="44">
        <v>90000000</v>
      </c>
      <c r="N26" s="44">
        <v>275000000</v>
      </c>
      <c r="O26" s="44">
        <v>160000000</v>
      </c>
      <c r="Q26" s="67">
        <f>ROUND(+MIN(J26,K26,N26,O26),2)</f>
        <v>160000000</v>
      </c>
      <c r="R26" s="35">
        <f>ROUND(+MAX(J26,K26,N26,O26),2)</f>
        <v>275000000</v>
      </c>
      <c r="S26" s="35">
        <f>+ROUND(AVERAGE(J26,K26,N26,O26),2)</f>
        <v>215250000</v>
      </c>
      <c r="T26" s="33">
        <f t="shared" si="11"/>
        <v>187625000</v>
      </c>
    </row>
    <row r="27" spans="1:20" x14ac:dyDescent="0.25">
      <c r="A27" s="23">
        <v>5</v>
      </c>
      <c r="B27" s="8" t="s">
        <v>131</v>
      </c>
      <c r="C27" s="26" t="s">
        <v>130</v>
      </c>
      <c r="D27" s="14">
        <v>1</v>
      </c>
      <c r="E27" s="28">
        <v>153756125</v>
      </c>
      <c r="F27" s="13"/>
      <c r="G27" s="9">
        <f t="shared" si="9"/>
        <v>153756125</v>
      </c>
      <c r="I27" s="44">
        <v>160000000</v>
      </c>
      <c r="J27" s="44">
        <v>75000000</v>
      </c>
      <c r="K27" s="44">
        <v>150000000</v>
      </c>
      <c r="L27" s="44">
        <v>160049000</v>
      </c>
      <c r="M27" s="44">
        <v>100000000</v>
      </c>
      <c r="N27" s="44">
        <v>160000000</v>
      </c>
      <c r="O27" s="44">
        <v>200000000</v>
      </c>
      <c r="Q27" s="67">
        <f>ROUND(+MIN(I27,K27,L27,N27,O27),2)</f>
        <v>150000000</v>
      </c>
      <c r="R27" s="35">
        <f>ROUND(+MAX(I27,J27,K27,L27,M27,N27),2)</f>
        <v>160049000</v>
      </c>
      <c r="S27" s="35">
        <f>+ROUND(AVERAGE(I27,K27,L27,N27),2)</f>
        <v>157512250</v>
      </c>
      <c r="T27" s="33">
        <f>+ROUND(AVERAGE(S27,Q27),2)</f>
        <v>153756125</v>
      </c>
    </row>
    <row r="28" spans="1:20" x14ac:dyDescent="0.25">
      <c r="A28" s="23">
        <v>6</v>
      </c>
      <c r="B28" s="8" t="s">
        <v>132</v>
      </c>
      <c r="C28" s="26" t="s">
        <v>110</v>
      </c>
      <c r="D28" s="14">
        <v>36</v>
      </c>
      <c r="E28" s="28">
        <v>2054083.34</v>
      </c>
      <c r="F28" s="13"/>
      <c r="G28" s="9">
        <f t="shared" si="9"/>
        <v>73947000.24000001</v>
      </c>
      <c r="I28" s="44">
        <v>5000000</v>
      </c>
      <c r="J28" s="44">
        <v>2900000</v>
      </c>
      <c r="K28" s="44">
        <v>3500000</v>
      </c>
      <c r="L28" s="44">
        <v>5049000</v>
      </c>
      <c r="M28" s="44">
        <v>1200000</v>
      </c>
      <c r="N28" s="44">
        <v>8500000</v>
      </c>
      <c r="O28" s="44">
        <v>1000000</v>
      </c>
      <c r="Q28" s="67">
        <f>ROUND(+MIN(I28,J28,K28,L28,M28,O28),2)</f>
        <v>1000000</v>
      </c>
      <c r="R28" s="35">
        <f>ROUND(+MAX(I28,J28,K28,L28,M28,O28),2)</f>
        <v>5049000</v>
      </c>
      <c r="S28" s="35">
        <f>+ROUND(AVERAGE(I28,J28,K28,L28,M28,O28),2)</f>
        <v>3108166.67</v>
      </c>
      <c r="T28" s="33">
        <f t="shared" si="11"/>
        <v>2054083.34</v>
      </c>
    </row>
    <row r="29" spans="1:20" x14ac:dyDescent="0.25">
      <c r="A29" s="23">
        <v>7</v>
      </c>
      <c r="B29" s="8" t="s">
        <v>133</v>
      </c>
      <c r="C29" s="26" t="s">
        <v>110</v>
      </c>
      <c r="D29" s="14">
        <v>36</v>
      </c>
      <c r="E29" s="28">
        <v>4170750</v>
      </c>
      <c r="F29" s="13"/>
      <c r="G29" s="9">
        <f t="shared" si="9"/>
        <v>150147000</v>
      </c>
      <c r="I29" s="44">
        <v>8000000</v>
      </c>
      <c r="J29" s="44">
        <v>2500000</v>
      </c>
      <c r="K29" s="44">
        <v>3000000</v>
      </c>
      <c r="L29" s="44">
        <v>8049000</v>
      </c>
      <c r="M29" s="44">
        <v>6000000</v>
      </c>
      <c r="N29" s="44">
        <v>7500000</v>
      </c>
      <c r="O29" s="44">
        <v>1000000</v>
      </c>
      <c r="Q29" s="67">
        <f>ROUND(+MIN(I29,J29,K29,L29,M29,N29),2)</f>
        <v>2500000</v>
      </c>
      <c r="R29" s="35">
        <f>ROUND(+MAX(I29,J29,K29,L29,M29,N29),2)</f>
        <v>8049000</v>
      </c>
      <c r="S29" s="35">
        <f>+ROUND(AVERAGE(I29,J29,K29,L29,M29,N29),2)</f>
        <v>5841500</v>
      </c>
      <c r="T29" s="33">
        <f t="shared" si="11"/>
        <v>4170750</v>
      </c>
    </row>
    <row r="30" spans="1:20" x14ac:dyDescent="0.25">
      <c r="A30" s="92" t="s">
        <v>134</v>
      </c>
      <c r="B30" s="92"/>
      <c r="C30" s="92"/>
      <c r="D30" s="92"/>
      <c r="E30" s="92"/>
      <c r="F30" s="92"/>
      <c r="G30" s="6">
        <f>SUM(G23:G29)</f>
        <v>1239369025.24</v>
      </c>
      <c r="I30" s="38"/>
      <c r="J30" s="38"/>
      <c r="K30" s="38"/>
      <c r="L30" s="38"/>
      <c r="M30" s="38"/>
      <c r="N30" s="38"/>
      <c r="O30" s="38"/>
      <c r="Q30" s="51"/>
      <c r="R30" s="52"/>
      <c r="S30" s="52"/>
      <c r="T30" s="53"/>
    </row>
    <row r="31" spans="1:20" x14ac:dyDescent="0.25">
      <c r="I31" s="55"/>
      <c r="J31" s="55"/>
      <c r="K31" s="55"/>
      <c r="L31" s="55"/>
      <c r="M31" s="55"/>
      <c r="N31" s="55"/>
      <c r="O31" s="55"/>
    </row>
    <row r="32" spans="1:20" ht="15" customHeight="1" x14ac:dyDescent="0.25">
      <c r="A32" s="86" t="s">
        <v>135</v>
      </c>
      <c r="B32" s="86"/>
      <c r="C32" s="86"/>
      <c r="D32" s="86"/>
      <c r="E32" s="86"/>
      <c r="F32" s="86"/>
      <c r="G32" s="86"/>
      <c r="I32" s="51"/>
      <c r="J32" s="52"/>
      <c r="K32" s="52"/>
      <c r="L32" s="52"/>
      <c r="M32" s="52"/>
      <c r="N32" s="52"/>
      <c r="O32" s="53"/>
      <c r="Q32" s="51"/>
      <c r="R32" s="52"/>
      <c r="S32" s="52"/>
      <c r="T32" s="53"/>
    </row>
    <row r="33" spans="1:20" x14ac:dyDescent="0.25">
      <c r="A33" s="23">
        <v>1</v>
      </c>
      <c r="B33" s="8" t="s">
        <v>136</v>
      </c>
      <c r="C33" s="26" t="s">
        <v>137</v>
      </c>
      <c r="D33" s="14">
        <v>1</v>
      </c>
      <c r="E33" s="28">
        <v>335837416.67000002</v>
      </c>
      <c r="F33" s="13"/>
      <c r="G33" s="9">
        <f t="shared" ref="G33:G38" si="12">D33*E33</f>
        <v>335837416.67000002</v>
      </c>
      <c r="I33" s="44">
        <v>350000000</v>
      </c>
      <c r="J33" s="44">
        <v>400000000</v>
      </c>
      <c r="K33" s="44">
        <v>300000000</v>
      </c>
      <c r="L33" s="44">
        <v>350049000</v>
      </c>
      <c r="M33" s="44">
        <v>16126512.289999999</v>
      </c>
      <c r="N33" s="44">
        <v>410000000</v>
      </c>
      <c r="O33" s="44">
        <v>420000000</v>
      </c>
      <c r="Q33" s="67">
        <f>ROUND(+MIN(I33,J33,K33,L33,N33,O33),2)</f>
        <v>300000000</v>
      </c>
      <c r="R33" s="33">
        <f t="shared" ref="R33" si="13">ROUND(+MAX(I33,J33,K33,L33,M33,N33,O33),2)</f>
        <v>420000000</v>
      </c>
      <c r="S33" s="35">
        <f>+ROUND(AVERAGE(I33,J33,K33,L33,N33,O33),2)</f>
        <v>371674833.32999998</v>
      </c>
      <c r="T33" s="33">
        <f t="shared" ref="T33:T38" si="14">+ROUND(AVERAGE(S33,Q33),2)</f>
        <v>335837416.67000002</v>
      </c>
    </row>
    <row r="34" spans="1:20" x14ac:dyDescent="0.25">
      <c r="A34" s="23">
        <v>2</v>
      </c>
      <c r="B34" s="8" t="s">
        <v>138</v>
      </c>
      <c r="C34" s="26" t="s">
        <v>137</v>
      </c>
      <c r="D34" s="14">
        <v>1</v>
      </c>
      <c r="E34" s="28">
        <v>85337416.670000002</v>
      </c>
      <c r="F34" s="13"/>
      <c r="G34" s="9">
        <f t="shared" si="12"/>
        <v>85337416.670000002</v>
      </c>
      <c r="I34" s="44">
        <v>100000000</v>
      </c>
      <c r="J34" s="44">
        <v>100000000</v>
      </c>
      <c r="K34" s="44">
        <v>80000000</v>
      </c>
      <c r="L34" s="44">
        <v>100049000</v>
      </c>
      <c r="M34" s="44">
        <v>16126512.289999999</v>
      </c>
      <c r="N34" s="44">
        <v>80000000</v>
      </c>
      <c r="O34" s="44">
        <v>84000000</v>
      </c>
      <c r="Q34" s="67">
        <f t="shared" ref="Q34:Q37" si="15">ROUND(+MIN(I34,J34,K34,L34,N34,O34),2)</f>
        <v>80000000</v>
      </c>
      <c r="R34" s="33">
        <f t="shared" ref="R34:R37" si="16">ROUND(+MAX(I34,J34,K34,L34,M34,N34,O34),2)</f>
        <v>100049000</v>
      </c>
      <c r="S34" s="35">
        <f>+ROUND(AVERAGE(I34,J34,K34,L34,N34,O34),2)</f>
        <v>90674833.329999998</v>
      </c>
      <c r="T34" s="33">
        <f t="shared" si="14"/>
        <v>85337416.670000002</v>
      </c>
    </row>
    <row r="35" spans="1:20" x14ac:dyDescent="0.25">
      <c r="A35" s="23">
        <v>3</v>
      </c>
      <c r="B35" s="8" t="s">
        <v>139</v>
      </c>
      <c r="C35" s="26" t="s">
        <v>137</v>
      </c>
      <c r="D35" s="14">
        <v>1</v>
      </c>
      <c r="E35" s="28">
        <v>73254083.340000004</v>
      </c>
      <c r="F35" s="13"/>
      <c r="G35" s="9">
        <f t="shared" si="12"/>
        <v>73254083.340000004</v>
      </c>
      <c r="I35" s="44">
        <v>180000000</v>
      </c>
      <c r="J35" s="44">
        <v>90000000</v>
      </c>
      <c r="K35" s="44">
        <v>80000000</v>
      </c>
      <c r="L35" s="44">
        <v>180049000</v>
      </c>
      <c r="M35" s="44">
        <v>16126512.289999999</v>
      </c>
      <c r="N35" s="44">
        <v>55000000</v>
      </c>
      <c r="O35" s="44">
        <v>42000000</v>
      </c>
      <c r="Q35" s="67">
        <f t="shared" si="15"/>
        <v>42000000</v>
      </c>
      <c r="R35" s="33">
        <f t="shared" si="16"/>
        <v>180049000</v>
      </c>
      <c r="S35" s="35">
        <f>+ROUND(AVERAGE(I35,J35,K35,L35,N35,O35),2)</f>
        <v>104508166.67</v>
      </c>
      <c r="T35" s="35">
        <f>+ROUND(AVERAGE(S35,Q35),2)</f>
        <v>73254083.340000004</v>
      </c>
    </row>
    <row r="36" spans="1:20" x14ac:dyDescent="0.25">
      <c r="A36" s="23">
        <v>4</v>
      </c>
      <c r="B36" s="8" t="s">
        <v>140</v>
      </c>
      <c r="C36" s="26" t="s">
        <v>137</v>
      </c>
      <c r="D36" s="14">
        <v>1</v>
      </c>
      <c r="E36" s="28">
        <v>86000000</v>
      </c>
      <c r="F36" s="13"/>
      <c r="G36" s="9">
        <f t="shared" si="12"/>
        <v>86000000</v>
      </c>
      <c r="I36" s="44">
        <v>280000000</v>
      </c>
      <c r="J36" s="44">
        <v>90000000</v>
      </c>
      <c r="K36" s="44">
        <v>80000000</v>
      </c>
      <c r="L36" s="44">
        <v>280049000</v>
      </c>
      <c r="M36" s="44">
        <v>16126512.289999999</v>
      </c>
      <c r="N36" s="44">
        <v>90000000</v>
      </c>
      <c r="O36" s="44">
        <v>84000000</v>
      </c>
      <c r="Q36" s="67">
        <f t="shared" si="15"/>
        <v>80000000</v>
      </c>
      <c r="R36" s="35">
        <f>ROUND(+MAX(J36,K36,M36,N36,O36),2)</f>
        <v>90000000</v>
      </c>
      <c r="S36" s="35">
        <f>+ROUND(AVERAGE(J36,K36,N36,O36),2)</f>
        <v>86000000</v>
      </c>
      <c r="T36" s="33">
        <f>+ROUND(AVERAGE(S36,Q36),2)</f>
        <v>83000000</v>
      </c>
    </row>
    <row r="37" spans="1:20" ht="25.5" x14ac:dyDescent="0.25">
      <c r="A37" s="23">
        <v>5</v>
      </c>
      <c r="B37" s="8" t="s">
        <v>141</v>
      </c>
      <c r="C37" s="26" t="s">
        <v>114</v>
      </c>
      <c r="D37" s="14">
        <v>3</v>
      </c>
      <c r="E37" s="28">
        <v>111674833.33</v>
      </c>
      <c r="F37" s="13"/>
      <c r="G37" s="9">
        <f t="shared" si="12"/>
        <v>335024499.99000001</v>
      </c>
      <c r="I37" s="44">
        <v>150000000</v>
      </c>
      <c r="J37" s="44">
        <v>120000000</v>
      </c>
      <c r="K37" s="44">
        <v>100000000</v>
      </c>
      <c r="L37" s="44">
        <v>150049000</v>
      </c>
      <c r="M37" s="44">
        <v>15000000</v>
      </c>
      <c r="N37" s="44">
        <v>100000000</v>
      </c>
      <c r="O37" s="44">
        <v>50000000</v>
      </c>
      <c r="Q37" s="67">
        <f t="shared" si="15"/>
        <v>50000000</v>
      </c>
      <c r="R37" s="33">
        <f t="shared" si="16"/>
        <v>150049000</v>
      </c>
      <c r="S37" s="35">
        <f>+ROUND(AVERAGE(I37,J37,K37,L37,N37,O37),2)</f>
        <v>111674833.33</v>
      </c>
      <c r="T37" s="33">
        <f t="shared" si="14"/>
        <v>80837416.670000002</v>
      </c>
    </row>
    <row r="38" spans="1:20" x14ac:dyDescent="0.25">
      <c r="A38" s="23">
        <v>6</v>
      </c>
      <c r="B38" s="8" t="s">
        <v>142</v>
      </c>
      <c r="C38" s="26" t="s">
        <v>143</v>
      </c>
      <c r="D38" s="14">
        <v>6</v>
      </c>
      <c r="E38" s="28">
        <v>40004900</v>
      </c>
      <c r="F38" s="13"/>
      <c r="G38" s="9">
        <f t="shared" si="12"/>
        <v>240029400</v>
      </c>
      <c r="I38" s="44">
        <v>50000000</v>
      </c>
      <c r="J38" s="44">
        <v>35000000</v>
      </c>
      <c r="K38" s="44">
        <v>45000000</v>
      </c>
      <c r="L38" s="44">
        <v>50049000</v>
      </c>
      <c r="M38" s="44">
        <v>25000000</v>
      </c>
      <c r="N38" s="44">
        <v>45000000</v>
      </c>
      <c r="O38" s="44">
        <v>250000000</v>
      </c>
      <c r="Q38" s="67">
        <f>ROUND(+MIN(I38,J38,K38,L38,N38,O38),2)</f>
        <v>35000000</v>
      </c>
      <c r="R38" s="35">
        <f>ROUND(+MAX(I38,J38,K38,L38,M38,N38),2)</f>
        <v>50049000</v>
      </c>
      <c r="S38" s="35">
        <f>+ROUND(AVERAGE(I38,J38,K38,L38,N38),2)</f>
        <v>45009800</v>
      </c>
      <c r="T38" s="33">
        <f t="shared" si="14"/>
        <v>40004900</v>
      </c>
    </row>
    <row r="39" spans="1:20" x14ac:dyDescent="0.25">
      <c r="A39" s="92" t="s">
        <v>144</v>
      </c>
      <c r="B39" s="92"/>
      <c r="C39" s="92"/>
      <c r="D39" s="92"/>
      <c r="E39" s="92"/>
      <c r="F39" s="92"/>
      <c r="G39" s="6">
        <f>SUM(G33:G38)</f>
        <v>1155482816.6700001</v>
      </c>
      <c r="I39" s="51"/>
      <c r="J39" s="52"/>
      <c r="K39" s="52"/>
      <c r="L39" s="52"/>
      <c r="M39" s="52"/>
      <c r="N39" s="52"/>
      <c r="O39" s="53"/>
      <c r="Q39" s="51"/>
      <c r="R39" s="52"/>
      <c r="S39" s="52"/>
      <c r="T39" s="50"/>
    </row>
    <row r="41" spans="1:20" ht="15.75" x14ac:dyDescent="0.25">
      <c r="A41" s="93" t="s">
        <v>145</v>
      </c>
      <c r="B41" s="93"/>
      <c r="C41" s="93"/>
      <c r="D41" s="93"/>
      <c r="E41" s="93"/>
      <c r="F41" s="93"/>
      <c r="G41" s="27">
        <f>G10+G20+G30+G39</f>
        <v>8269636042.1499996</v>
      </c>
      <c r="I41" s="36"/>
      <c r="J41" s="36"/>
      <c r="K41" s="36"/>
      <c r="L41" s="36"/>
      <c r="M41" s="36"/>
      <c r="N41" s="36"/>
      <c r="O41" s="36"/>
      <c r="Q41" s="51"/>
      <c r="R41" s="52"/>
      <c r="S41" s="52"/>
      <c r="T41" s="53"/>
    </row>
  </sheetData>
  <mergeCells count="10">
    <mergeCell ref="A1:G1"/>
    <mergeCell ref="A4:G4"/>
    <mergeCell ref="A10:F10"/>
    <mergeCell ref="A12:G12"/>
    <mergeCell ref="A20:F20"/>
    <mergeCell ref="A22:G22"/>
    <mergeCell ref="A30:F30"/>
    <mergeCell ref="A32:G32"/>
    <mergeCell ref="A39:F39"/>
    <mergeCell ref="A41:F4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40"/>
  <sheetViews>
    <sheetView topLeftCell="B1" zoomScaleNormal="100" workbookViewId="0">
      <selection activeCell="N15" sqref="N15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6" customWidth="1"/>
    <col min="5" max="5" width="22" customWidth="1"/>
    <col min="6" max="6" width="28" customWidth="1"/>
    <col min="7" max="7" width="22" customWidth="1"/>
    <col min="9" max="9" width="13.140625" bestFit="1" customWidth="1"/>
    <col min="10" max="11" width="14.140625" bestFit="1" customWidth="1"/>
    <col min="12" max="12" width="13" customWidth="1"/>
    <col min="13" max="13" width="14.140625" bestFit="1" customWidth="1"/>
    <col min="14" max="14" width="14.42578125" customWidth="1"/>
    <col min="15" max="15" width="14.140625" bestFit="1" customWidth="1"/>
    <col min="17" max="17" width="14.5703125" bestFit="1" customWidth="1"/>
    <col min="18" max="19" width="15.5703125" bestFit="1" customWidth="1"/>
    <col min="20" max="20" width="17.85546875" bestFit="1" customWidth="1"/>
    <col min="22" max="22" width="16.42578125" customWidth="1"/>
  </cols>
  <sheetData>
    <row r="1" spans="1:22" ht="30" customHeight="1" x14ac:dyDescent="0.25">
      <c r="A1" s="87" t="s">
        <v>146</v>
      </c>
      <c r="B1" s="87"/>
      <c r="C1" s="87"/>
      <c r="D1" s="87"/>
      <c r="E1" s="87"/>
      <c r="F1" s="87"/>
      <c r="G1" s="87"/>
    </row>
    <row r="2" spans="1:22" x14ac:dyDescent="0.25">
      <c r="A2" s="94" t="s">
        <v>147</v>
      </c>
      <c r="B2" s="94"/>
      <c r="C2" s="94"/>
      <c r="D2" s="94"/>
      <c r="E2" s="94"/>
      <c r="F2" s="94"/>
      <c r="G2" s="94"/>
    </row>
    <row r="4" spans="1:22" ht="37.5" customHeight="1" x14ac:dyDescent="0.25">
      <c r="A4" s="1" t="s">
        <v>61</v>
      </c>
      <c r="B4" s="1" t="s">
        <v>148</v>
      </c>
      <c r="C4" s="1" t="s">
        <v>99</v>
      </c>
      <c r="D4" s="1" t="s">
        <v>149</v>
      </c>
      <c r="E4" s="1" t="s">
        <v>150</v>
      </c>
      <c r="F4" s="1" t="s">
        <v>151</v>
      </c>
      <c r="G4" s="1" t="s">
        <v>152</v>
      </c>
      <c r="I4" s="54" t="s">
        <v>202</v>
      </c>
      <c r="J4" s="54" t="s">
        <v>203</v>
      </c>
      <c r="K4" s="54" t="s">
        <v>204</v>
      </c>
      <c r="L4" s="54" t="s">
        <v>205</v>
      </c>
      <c r="M4" s="54" t="s">
        <v>206</v>
      </c>
      <c r="N4" s="54" t="s">
        <v>207</v>
      </c>
      <c r="O4" s="54" t="s">
        <v>209</v>
      </c>
      <c r="Q4" s="31" t="s">
        <v>198</v>
      </c>
      <c r="R4" s="31" t="s">
        <v>199</v>
      </c>
      <c r="S4" s="31" t="s">
        <v>200</v>
      </c>
      <c r="T4" s="31" t="s">
        <v>201</v>
      </c>
    </row>
    <row r="5" spans="1:22" ht="34.5" customHeight="1" x14ac:dyDescent="0.25">
      <c r="A5" s="23">
        <v>1</v>
      </c>
      <c r="B5" s="8" t="s">
        <v>153</v>
      </c>
      <c r="C5" s="26" t="s">
        <v>154</v>
      </c>
      <c r="D5" s="14">
        <v>6000</v>
      </c>
      <c r="E5" s="66">
        <v>203500</v>
      </c>
      <c r="F5" s="4" t="s">
        <v>155</v>
      </c>
      <c r="G5" s="9">
        <f t="shared" ref="G5:G11" si="0">D5*E5</f>
        <v>1221000000</v>
      </c>
      <c r="I5" s="34">
        <v>300000</v>
      </c>
      <c r="J5" s="34">
        <v>215000</v>
      </c>
      <c r="K5" s="65">
        <v>200000</v>
      </c>
      <c r="L5" s="76">
        <v>360000</v>
      </c>
      <c r="M5" s="68">
        <v>70000</v>
      </c>
      <c r="N5" s="68">
        <v>550000</v>
      </c>
      <c r="O5" s="68">
        <v>160000</v>
      </c>
      <c r="Q5" s="67">
        <f>ROUND(+MIN(I5,J5,K5,L5,N5,O5),2)</f>
        <v>160000</v>
      </c>
      <c r="R5" s="67">
        <f>ROUND(+MAX(I5,J5,K5,L5,M5,O5),2)</f>
        <v>360000</v>
      </c>
      <c r="S5" s="35">
        <f>+ROUND(AVERAGE(I5,J5,K5,L5,O5),2)</f>
        <v>247000</v>
      </c>
      <c r="T5" s="33">
        <f>+ROUND(AVERAGE(S5,Q5),2)</f>
        <v>203500</v>
      </c>
      <c r="V5" s="75"/>
    </row>
    <row r="6" spans="1:22" ht="34.5" customHeight="1" x14ac:dyDescent="0.25">
      <c r="A6" s="23">
        <v>2</v>
      </c>
      <c r="B6" s="8" t="s">
        <v>156</v>
      </c>
      <c r="C6" s="26" t="s">
        <v>157</v>
      </c>
      <c r="D6" s="14">
        <v>876</v>
      </c>
      <c r="E6" s="66">
        <v>675833.34</v>
      </c>
      <c r="F6" s="4" t="s">
        <v>158</v>
      </c>
      <c r="G6" s="9">
        <f t="shared" si="0"/>
        <v>592030005.83999991</v>
      </c>
      <c r="I6" s="34">
        <v>900000</v>
      </c>
      <c r="J6" s="34">
        <v>480000</v>
      </c>
      <c r="K6" s="34">
        <v>500000</v>
      </c>
      <c r="L6" s="34">
        <v>950000</v>
      </c>
      <c r="M6" s="34">
        <v>2800000</v>
      </c>
      <c r="N6" s="34">
        <v>1200000</v>
      </c>
      <c r="O6" s="34">
        <v>1200000</v>
      </c>
      <c r="Q6" s="32">
        <f t="shared" ref="Q6:Q10" si="1">ROUND(+MIN(I6,J6,K6,L6,M6,N6,O6),2)</f>
        <v>480000</v>
      </c>
      <c r="R6" s="67">
        <f>ROUND(+MAX(I6,J6,K6,L6,N6,O6),2)</f>
        <v>1200000</v>
      </c>
      <c r="S6" s="35">
        <f>+ROUND(AVERAGE(I6,J6,K6,L6,N6,O6),2)</f>
        <v>871666.67</v>
      </c>
      <c r="T6" s="74">
        <f>+ROUND(AVERAGE(S6,Q6),2)</f>
        <v>675833.34</v>
      </c>
      <c r="V6" s="75"/>
    </row>
    <row r="7" spans="1:22" ht="34.5" customHeight="1" x14ac:dyDescent="0.25">
      <c r="A7" s="23">
        <v>3</v>
      </c>
      <c r="B7" s="8" t="s">
        <v>159</v>
      </c>
      <c r="C7" s="26" t="s">
        <v>130</v>
      </c>
      <c r="D7" s="14">
        <v>69</v>
      </c>
      <c r="E7" s="66">
        <v>1566666.67</v>
      </c>
      <c r="F7" s="4" t="s">
        <v>160</v>
      </c>
      <c r="G7" s="9">
        <f t="shared" si="0"/>
        <v>108100000.22999999</v>
      </c>
      <c r="I7" s="34">
        <v>1800000</v>
      </c>
      <c r="J7" s="34">
        <v>2250000</v>
      </c>
      <c r="K7" s="34">
        <v>1900000</v>
      </c>
      <c r="L7" s="34">
        <v>1850000</v>
      </c>
      <c r="M7" s="34">
        <v>700000</v>
      </c>
      <c r="N7" s="34">
        <v>900000</v>
      </c>
      <c r="O7" s="34">
        <v>10000000</v>
      </c>
      <c r="Q7" s="32">
        <f t="shared" si="1"/>
        <v>700000</v>
      </c>
      <c r="R7" s="67">
        <f>ROUND(+MAX(I7,J7,K7,L7,M7,N7),2)</f>
        <v>2250000</v>
      </c>
      <c r="S7" s="35">
        <f>+ROUND(AVERAGE(I7,J7,K7,L7,M7,N7),2)</f>
        <v>1566666.67</v>
      </c>
      <c r="T7" s="35">
        <f>+ROUND(AVERAGE(S7,Q7),2)</f>
        <v>1133333.3400000001</v>
      </c>
      <c r="V7" s="75"/>
    </row>
    <row r="8" spans="1:22" ht="34.5" customHeight="1" x14ac:dyDescent="0.25">
      <c r="A8" s="23">
        <v>4</v>
      </c>
      <c r="B8" s="8" t="s">
        <v>161</v>
      </c>
      <c r="C8" s="26" t="s">
        <v>110</v>
      </c>
      <c r="D8" s="14">
        <v>10</v>
      </c>
      <c r="E8" s="66">
        <v>9510000</v>
      </c>
      <c r="F8" s="4" t="s">
        <v>162</v>
      </c>
      <c r="G8" s="9">
        <f t="shared" si="0"/>
        <v>95100000</v>
      </c>
      <c r="I8" s="68">
        <v>7000000</v>
      </c>
      <c r="J8" s="34">
        <v>11500000</v>
      </c>
      <c r="K8" s="34">
        <v>10000000</v>
      </c>
      <c r="L8" s="34">
        <v>7050000</v>
      </c>
      <c r="M8" s="81">
        <v>40000000</v>
      </c>
      <c r="N8" s="34">
        <v>12000000</v>
      </c>
      <c r="O8" s="34">
        <v>35000000</v>
      </c>
      <c r="Q8" s="32">
        <f t="shared" si="1"/>
        <v>7000000</v>
      </c>
      <c r="R8" s="67">
        <f>ROUND(+MAX(I8,J8,K8,L8,N8),2)</f>
        <v>12000000</v>
      </c>
      <c r="S8" s="35">
        <f>+ROUND(AVERAGE(I8,J8,K8,L8,N8),2)</f>
        <v>9510000</v>
      </c>
      <c r="T8" s="33">
        <f>+ROUND(AVERAGE(S8,Q8),2)</f>
        <v>8255000</v>
      </c>
      <c r="V8" s="75"/>
    </row>
    <row r="9" spans="1:22" ht="34.5" customHeight="1" x14ac:dyDescent="0.25">
      <c r="A9" s="23">
        <v>5</v>
      </c>
      <c r="B9" s="8" t="s">
        <v>163</v>
      </c>
      <c r="C9" s="26" t="s">
        <v>164</v>
      </c>
      <c r="D9" s="14">
        <v>876</v>
      </c>
      <c r="E9" s="66">
        <v>2913967.08</v>
      </c>
      <c r="F9" s="4" t="s">
        <v>165</v>
      </c>
      <c r="G9" s="9">
        <f t="shared" si="0"/>
        <v>2552635162.0799999</v>
      </c>
      <c r="I9" s="34">
        <v>3000000</v>
      </c>
      <c r="J9" s="34">
        <v>3200000</v>
      </c>
      <c r="K9" s="34">
        <v>3600000</v>
      </c>
      <c r="L9" s="34">
        <v>3060000</v>
      </c>
      <c r="M9" s="34">
        <v>2758229.2849035165</v>
      </c>
      <c r="N9" s="34">
        <v>2800000</v>
      </c>
      <c r="O9" s="34">
        <v>350000</v>
      </c>
      <c r="Q9" s="67">
        <f>ROUND(+MIN(I9,J9,K9,L9,M9,N9),2)</f>
        <v>2758229.28</v>
      </c>
      <c r="R9" s="32">
        <f t="shared" ref="R9:R11" si="2">ROUND(+MAX(I9,J9,K9,L9,M9,N9,O9),2)</f>
        <v>3600000</v>
      </c>
      <c r="S9" s="35">
        <f>+ROUND(AVERAGE(I9,J9,K9,L9,M9,N9),2)</f>
        <v>3069704.88</v>
      </c>
      <c r="T9" s="33">
        <f>+ROUND(AVERAGE(S9,Q9),2)</f>
        <v>2913967.08</v>
      </c>
      <c r="V9" s="75"/>
    </row>
    <row r="10" spans="1:22" ht="34.5" customHeight="1" x14ac:dyDescent="0.25">
      <c r="A10" s="23">
        <v>6</v>
      </c>
      <c r="B10" s="8" t="s">
        <v>166</v>
      </c>
      <c r="C10" s="26" t="s">
        <v>98</v>
      </c>
      <c r="D10" s="14">
        <v>240</v>
      </c>
      <c r="E10" s="66">
        <v>6708333.3300000001</v>
      </c>
      <c r="F10" s="4" t="s">
        <v>167</v>
      </c>
      <c r="G10" s="9">
        <f t="shared" si="0"/>
        <v>1609999999.2</v>
      </c>
      <c r="I10" s="34">
        <v>8000000</v>
      </c>
      <c r="J10" s="34">
        <v>9000000</v>
      </c>
      <c r="K10" s="34">
        <v>5000000</v>
      </c>
      <c r="L10" s="34">
        <v>8050000</v>
      </c>
      <c r="M10" s="34">
        <v>10702125</v>
      </c>
      <c r="N10" s="34">
        <v>6000000</v>
      </c>
      <c r="O10" s="34">
        <v>4200000</v>
      </c>
      <c r="Q10" s="32">
        <f t="shared" si="1"/>
        <v>4200000</v>
      </c>
      <c r="R10" s="67">
        <f>ROUND(+MAX(I10,J10,K10,L10,N10,O10),2)</f>
        <v>9000000</v>
      </c>
      <c r="S10" s="35">
        <f>+ROUND(AVERAGE(I10,J10,K10,L10,N10,O10),2)</f>
        <v>6708333.3300000001</v>
      </c>
      <c r="T10" s="33">
        <f t="shared" ref="T10" si="3">+ROUND(AVERAGE(S10,Q10),2)</f>
        <v>5454166.6699999999</v>
      </c>
      <c r="V10" s="75"/>
    </row>
    <row r="11" spans="1:22" ht="34.5" customHeight="1" x14ac:dyDescent="0.25">
      <c r="A11" s="23">
        <v>7</v>
      </c>
      <c r="B11" s="8" t="s">
        <v>168</v>
      </c>
      <c r="C11" s="26" t="s">
        <v>169</v>
      </c>
      <c r="D11" s="14">
        <v>876</v>
      </c>
      <c r="E11" s="66">
        <v>1328000</v>
      </c>
      <c r="F11" s="4" t="s">
        <v>170</v>
      </c>
      <c r="G11" s="9">
        <f t="shared" si="0"/>
        <v>1163328000</v>
      </c>
      <c r="I11" s="34">
        <v>1200000</v>
      </c>
      <c r="J11" s="34">
        <v>1680000</v>
      </c>
      <c r="K11" s="34">
        <v>1500000</v>
      </c>
      <c r="L11" s="34">
        <v>1250000</v>
      </c>
      <c r="M11" s="34">
        <v>551645.85698070331</v>
      </c>
      <c r="N11" s="34">
        <v>1650000</v>
      </c>
      <c r="O11" s="34">
        <v>850000</v>
      </c>
      <c r="Q11" s="67">
        <f>ROUND(+MIN(I11,J11,K11,L11,N11),2)</f>
        <v>1200000</v>
      </c>
      <c r="R11" s="32">
        <f t="shared" si="2"/>
        <v>1680000</v>
      </c>
      <c r="S11" s="35">
        <f>+ROUND(AVERAGE(I11,J11,K11,L11,N11),2)</f>
        <v>1456000</v>
      </c>
      <c r="T11" s="35">
        <f>+ROUND(AVERAGE(S11,Q11),2)</f>
        <v>1328000</v>
      </c>
      <c r="V11" s="75"/>
    </row>
    <row r="12" spans="1:22" x14ac:dyDescent="0.25">
      <c r="I12" s="57"/>
      <c r="J12" s="58"/>
      <c r="K12" s="58"/>
      <c r="L12" s="58"/>
      <c r="M12" s="58"/>
      <c r="N12" s="58"/>
      <c r="O12" s="59"/>
      <c r="Q12" s="57"/>
      <c r="R12" s="58"/>
      <c r="S12" s="58"/>
      <c r="T12" s="59"/>
    </row>
    <row r="13" spans="1:22" ht="15.75" x14ac:dyDescent="0.25">
      <c r="A13" s="93" t="s">
        <v>171</v>
      </c>
      <c r="B13" s="93"/>
      <c r="C13" s="93"/>
      <c r="D13" s="93"/>
      <c r="E13" s="93"/>
      <c r="F13" s="93"/>
      <c r="G13" s="27">
        <f>SUM(G5:G11)</f>
        <v>7342193167.3499994</v>
      </c>
      <c r="I13" s="60"/>
      <c r="J13" s="60"/>
      <c r="K13" s="60"/>
      <c r="L13" s="60"/>
      <c r="M13" s="60"/>
      <c r="N13" s="60"/>
      <c r="O13" s="60"/>
      <c r="P13" s="64"/>
      <c r="Q13" s="61"/>
      <c r="R13" s="61"/>
      <c r="S13" s="61"/>
      <c r="T13" s="61"/>
    </row>
    <row r="14" spans="1:22" x14ac:dyDescent="0.25">
      <c r="I14" s="60"/>
      <c r="J14" s="60"/>
      <c r="K14" s="60"/>
      <c r="L14" s="60"/>
      <c r="M14" s="60"/>
      <c r="N14" s="60"/>
      <c r="O14" s="60"/>
      <c r="P14" s="64"/>
      <c r="Q14" s="61"/>
      <c r="R14" s="61"/>
      <c r="S14" s="61"/>
      <c r="T14" s="61"/>
    </row>
    <row r="15" spans="1:22" ht="49.5" customHeight="1" x14ac:dyDescent="0.25">
      <c r="A15" s="83" t="s">
        <v>172</v>
      </c>
      <c r="B15" s="83"/>
      <c r="C15" s="83"/>
      <c r="D15" s="83"/>
      <c r="E15" s="83"/>
      <c r="F15" s="83"/>
      <c r="G15" s="83"/>
      <c r="I15" s="62"/>
      <c r="J15" s="62"/>
      <c r="K15" s="62"/>
      <c r="L15" s="62"/>
      <c r="M15" s="62"/>
      <c r="N15" s="62"/>
      <c r="O15" s="62"/>
      <c r="P15" s="64"/>
      <c r="Q15" s="61"/>
      <c r="R15" s="61"/>
      <c r="S15" s="61"/>
      <c r="T15" s="61"/>
    </row>
    <row r="16" spans="1:22" x14ac:dyDescent="0.25">
      <c r="I16" s="62"/>
      <c r="J16" s="62"/>
      <c r="K16" s="62"/>
      <c r="L16" s="62"/>
      <c r="M16" s="62"/>
      <c r="N16" s="62"/>
      <c r="O16" s="62"/>
      <c r="P16" s="64"/>
      <c r="Q16" s="61"/>
      <c r="R16" s="61"/>
      <c r="S16" s="61"/>
      <c r="T16" s="61"/>
    </row>
    <row r="17" spans="9:20" x14ac:dyDescent="0.25">
      <c r="I17" s="62"/>
      <c r="J17" s="62"/>
      <c r="K17" s="62"/>
      <c r="L17" s="62"/>
      <c r="M17" s="62"/>
      <c r="N17" s="62"/>
      <c r="O17" s="62"/>
      <c r="P17" s="64"/>
      <c r="Q17" s="61"/>
      <c r="R17" s="61"/>
      <c r="S17" s="61"/>
      <c r="T17" s="61"/>
    </row>
    <row r="18" spans="9:20" x14ac:dyDescent="0.25">
      <c r="I18" s="62"/>
      <c r="J18" s="62"/>
      <c r="K18" s="62"/>
      <c r="L18" s="62"/>
      <c r="M18" s="62"/>
      <c r="N18" s="62"/>
      <c r="O18" s="62"/>
      <c r="P18" s="64"/>
      <c r="Q18" s="61"/>
      <c r="R18" s="61"/>
      <c r="S18" s="61"/>
      <c r="T18" s="61"/>
    </row>
    <row r="19" spans="9:20" x14ac:dyDescent="0.25">
      <c r="I19" s="62"/>
      <c r="J19" s="62"/>
      <c r="K19" s="62"/>
      <c r="L19" s="62"/>
      <c r="M19" s="62"/>
      <c r="N19" s="62"/>
      <c r="O19" s="62"/>
      <c r="P19" s="64"/>
      <c r="Q19" s="61"/>
      <c r="R19" s="61"/>
      <c r="S19" s="61"/>
      <c r="T19" s="61"/>
    </row>
    <row r="20" spans="9:20" x14ac:dyDescent="0.25">
      <c r="I20" s="62"/>
      <c r="J20" s="62"/>
      <c r="K20" s="62"/>
      <c r="L20" s="62"/>
      <c r="M20" s="62"/>
      <c r="N20" s="62"/>
      <c r="O20" s="62"/>
      <c r="P20" s="64"/>
      <c r="Q20" s="62"/>
      <c r="R20" s="62"/>
      <c r="S20" s="62"/>
      <c r="T20" s="62"/>
    </row>
    <row r="21" spans="9:20" x14ac:dyDescent="0.25">
      <c r="I21" s="63"/>
      <c r="J21" s="63"/>
      <c r="K21" s="63"/>
      <c r="L21" s="63"/>
      <c r="M21" s="63"/>
      <c r="N21" s="63"/>
      <c r="O21" s="63"/>
      <c r="P21" s="64"/>
      <c r="Q21" s="61"/>
      <c r="R21" s="61"/>
      <c r="S21" s="61"/>
      <c r="T21" s="61"/>
    </row>
    <row r="22" spans="9:20" x14ac:dyDescent="0.25">
      <c r="I22" s="62"/>
      <c r="J22" s="62"/>
      <c r="K22" s="62"/>
      <c r="L22" s="62"/>
      <c r="M22" s="62"/>
      <c r="N22" s="62"/>
      <c r="O22" s="62"/>
      <c r="P22" s="64"/>
      <c r="Q22" s="61"/>
      <c r="R22" s="61"/>
      <c r="S22" s="61"/>
      <c r="T22" s="61"/>
    </row>
    <row r="23" spans="9:20" x14ac:dyDescent="0.25">
      <c r="I23" s="63"/>
      <c r="J23" s="63"/>
      <c r="K23" s="63"/>
      <c r="L23" s="63"/>
      <c r="M23" s="63"/>
      <c r="N23" s="63"/>
      <c r="O23" s="63"/>
      <c r="P23" s="64"/>
      <c r="Q23" s="61"/>
      <c r="R23" s="61"/>
      <c r="S23" s="61"/>
      <c r="T23" s="61"/>
    </row>
    <row r="24" spans="9:20" x14ac:dyDescent="0.25">
      <c r="I24" s="63"/>
      <c r="J24" s="63"/>
      <c r="K24" s="63"/>
      <c r="L24" s="63"/>
      <c r="M24" s="63"/>
      <c r="N24" s="63"/>
      <c r="O24" s="63"/>
      <c r="P24" s="64"/>
      <c r="Q24" s="61"/>
      <c r="R24" s="61"/>
      <c r="S24" s="61"/>
      <c r="T24" s="61"/>
    </row>
    <row r="25" spans="9:20" x14ac:dyDescent="0.25">
      <c r="I25" s="63"/>
      <c r="J25" s="63"/>
      <c r="K25" s="63"/>
      <c r="L25" s="63"/>
      <c r="M25" s="63"/>
      <c r="N25" s="63"/>
      <c r="O25" s="63"/>
      <c r="P25" s="64"/>
      <c r="Q25" s="61"/>
      <c r="R25" s="61"/>
      <c r="S25" s="61"/>
      <c r="T25" s="61"/>
    </row>
    <row r="26" spans="9:20" x14ac:dyDescent="0.25">
      <c r="I26" s="63"/>
      <c r="J26" s="63"/>
      <c r="K26" s="63"/>
      <c r="L26" s="63"/>
      <c r="M26" s="63"/>
      <c r="N26" s="63"/>
      <c r="O26" s="63"/>
      <c r="P26" s="64"/>
      <c r="Q26" s="61"/>
      <c r="R26" s="61"/>
      <c r="S26" s="61"/>
      <c r="T26" s="61"/>
    </row>
    <row r="27" spans="9:20" x14ac:dyDescent="0.25">
      <c r="I27" s="63"/>
      <c r="J27" s="63"/>
      <c r="K27" s="63"/>
      <c r="L27" s="63"/>
      <c r="M27" s="63"/>
      <c r="N27" s="63"/>
      <c r="O27" s="63"/>
      <c r="P27" s="64"/>
      <c r="Q27" s="61"/>
      <c r="R27" s="61"/>
      <c r="S27" s="61"/>
      <c r="T27" s="61"/>
    </row>
    <row r="28" spans="9:20" x14ac:dyDescent="0.25">
      <c r="I28" s="63"/>
      <c r="J28" s="63"/>
      <c r="K28" s="63"/>
      <c r="L28" s="63"/>
      <c r="M28" s="63"/>
      <c r="N28" s="63"/>
      <c r="O28" s="63"/>
      <c r="P28" s="64"/>
      <c r="Q28" s="61"/>
      <c r="R28" s="61"/>
      <c r="S28" s="61"/>
      <c r="T28" s="61"/>
    </row>
    <row r="29" spans="9:20" x14ac:dyDescent="0.25">
      <c r="I29" s="63"/>
      <c r="J29" s="63"/>
      <c r="K29" s="63"/>
      <c r="L29" s="63"/>
      <c r="M29" s="63"/>
      <c r="N29" s="63"/>
      <c r="O29" s="63"/>
      <c r="P29" s="64"/>
      <c r="Q29" s="61"/>
      <c r="R29" s="61"/>
      <c r="S29" s="61"/>
      <c r="T29" s="61"/>
    </row>
    <row r="30" spans="9:20" x14ac:dyDescent="0.25">
      <c r="I30" s="63"/>
      <c r="J30" s="63"/>
      <c r="K30" s="63"/>
      <c r="L30" s="63"/>
      <c r="M30" s="63"/>
      <c r="N30" s="63"/>
      <c r="O30" s="63"/>
      <c r="P30" s="64"/>
      <c r="Q30" s="62"/>
      <c r="R30" s="62"/>
      <c r="S30" s="62"/>
      <c r="T30" s="62"/>
    </row>
    <row r="31" spans="9:20" x14ac:dyDescent="0.25">
      <c r="I31" s="63"/>
      <c r="J31" s="63"/>
      <c r="K31" s="63"/>
      <c r="L31" s="63"/>
      <c r="M31" s="63"/>
      <c r="N31" s="63"/>
      <c r="O31" s="63"/>
      <c r="P31" s="64"/>
      <c r="Q31" s="64"/>
      <c r="R31" s="64"/>
      <c r="S31" s="64"/>
      <c r="T31" s="64"/>
    </row>
    <row r="32" spans="9:20" x14ac:dyDescent="0.25">
      <c r="I32" s="62"/>
      <c r="J32" s="62"/>
      <c r="K32" s="62"/>
      <c r="L32" s="62"/>
      <c r="M32" s="62"/>
      <c r="N32" s="62"/>
      <c r="O32" s="62"/>
      <c r="P32" s="64"/>
      <c r="Q32" s="62"/>
      <c r="R32" s="62"/>
      <c r="S32" s="62"/>
      <c r="T32" s="62"/>
    </row>
    <row r="33" spans="9:20" x14ac:dyDescent="0.25">
      <c r="I33" s="63"/>
      <c r="J33" s="63"/>
      <c r="K33" s="63"/>
      <c r="L33" s="63"/>
      <c r="M33" s="63"/>
      <c r="N33" s="63"/>
      <c r="O33" s="63"/>
      <c r="P33" s="64"/>
      <c r="Q33" s="61"/>
      <c r="R33" s="61"/>
      <c r="S33" s="61"/>
      <c r="T33" s="61"/>
    </row>
    <row r="34" spans="9:20" x14ac:dyDescent="0.25">
      <c r="I34" s="63"/>
      <c r="J34" s="63"/>
      <c r="K34" s="63"/>
      <c r="L34" s="63"/>
      <c r="M34" s="63"/>
      <c r="N34" s="63"/>
      <c r="O34" s="63"/>
      <c r="P34" s="64"/>
      <c r="Q34" s="61"/>
      <c r="R34" s="61"/>
      <c r="S34" s="61"/>
      <c r="T34" s="61"/>
    </row>
    <row r="35" spans="9:20" x14ac:dyDescent="0.25">
      <c r="I35" s="63"/>
      <c r="J35" s="63"/>
      <c r="K35" s="63"/>
      <c r="L35" s="63"/>
      <c r="M35" s="63"/>
      <c r="N35" s="63"/>
      <c r="O35" s="63"/>
      <c r="P35" s="64"/>
      <c r="Q35" s="61"/>
      <c r="R35" s="61"/>
      <c r="S35" s="61"/>
      <c r="T35" s="61"/>
    </row>
    <row r="36" spans="9:20" x14ac:dyDescent="0.25">
      <c r="I36" s="63"/>
      <c r="J36" s="63"/>
      <c r="K36" s="63"/>
      <c r="L36" s="63"/>
      <c r="M36" s="63"/>
      <c r="N36" s="63"/>
      <c r="O36" s="63"/>
      <c r="P36" s="64"/>
      <c r="Q36" s="61"/>
      <c r="R36" s="61"/>
      <c r="S36" s="61"/>
      <c r="T36" s="61"/>
    </row>
    <row r="37" spans="9:20" x14ac:dyDescent="0.25">
      <c r="I37" s="63"/>
      <c r="J37" s="63"/>
      <c r="K37" s="63"/>
      <c r="L37" s="63"/>
      <c r="M37" s="63"/>
      <c r="N37" s="63"/>
      <c r="O37" s="63"/>
      <c r="P37" s="64"/>
      <c r="Q37" s="61"/>
      <c r="R37" s="61"/>
      <c r="S37" s="61"/>
      <c r="T37" s="61"/>
    </row>
    <row r="38" spans="9:20" x14ac:dyDescent="0.25">
      <c r="I38" s="63"/>
      <c r="J38" s="63"/>
      <c r="K38" s="63"/>
      <c r="L38" s="63"/>
      <c r="M38" s="63"/>
      <c r="N38" s="63"/>
      <c r="O38" s="63"/>
      <c r="P38" s="64"/>
      <c r="Q38" s="61"/>
      <c r="R38" s="61"/>
      <c r="S38" s="61"/>
      <c r="T38" s="61"/>
    </row>
    <row r="39" spans="9:20" x14ac:dyDescent="0.25">
      <c r="I39" s="62"/>
      <c r="J39" s="62"/>
      <c r="K39" s="62"/>
      <c r="L39" s="62"/>
      <c r="M39" s="62"/>
      <c r="N39" s="62"/>
      <c r="O39" s="62"/>
      <c r="P39" s="64"/>
      <c r="Q39" s="62"/>
      <c r="R39" s="62"/>
      <c r="S39" s="62"/>
      <c r="T39" s="62"/>
    </row>
    <row r="40" spans="9:20" x14ac:dyDescent="0.25"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</row>
  </sheetData>
  <mergeCells count="4">
    <mergeCell ref="A1:G1"/>
    <mergeCell ref="A2:G2"/>
    <mergeCell ref="A13:F13"/>
    <mergeCell ref="A15:G15"/>
  </mergeCells>
  <printOptions horizontalCentered="1"/>
  <pageMargins left="0.75" right="0.75" top="1" bottom="1" header="0.511811023622047" footer="0.511811023622047"/>
  <pageSetup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zoomScaleNormal="100" workbookViewId="0">
      <selection activeCell="F5" sqref="F5"/>
    </sheetView>
  </sheetViews>
  <sheetFormatPr baseColWidth="10" defaultColWidth="8.5703125" defaultRowHeight="15" x14ac:dyDescent="0.25"/>
  <cols>
    <col min="1" max="1" width="8" customWidth="1"/>
    <col min="2" max="2" width="55" customWidth="1"/>
    <col min="3" max="3" width="32" customWidth="1"/>
    <col min="4" max="4" width="28.28515625" customWidth="1"/>
    <col min="5" max="5" width="13" customWidth="1"/>
    <col min="6" max="6" width="35.140625" customWidth="1"/>
  </cols>
  <sheetData>
    <row r="1" spans="1:6" ht="34.5" customHeight="1" x14ac:dyDescent="0.25">
      <c r="A1" s="87" t="s">
        <v>173</v>
      </c>
      <c r="B1" s="87"/>
      <c r="C1" s="87"/>
      <c r="D1" s="87"/>
      <c r="E1" s="87"/>
    </row>
    <row r="2" spans="1:6" ht="24.75" customHeight="1" x14ac:dyDescent="0.25">
      <c r="A2" s="88" t="s">
        <v>211</v>
      </c>
      <c r="B2" s="88"/>
      <c r="C2" s="88"/>
      <c r="D2" s="88"/>
      <c r="E2" s="88"/>
    </row>
    <row r="4" spans="1:6" ht="30" customHeight="1" x14ac:dyDescent="0.25">
      <c r="A4" s="1" t="s">
        <v>61</v>
      </c>
      <c r="B4" s="1" t="s">
        <v>174</v>
      </c>
      <c r="C4" s="1" t="s">
        <v>175</v>
      </c>
      <c r="D4" s="1" t="s">
        <v>176</v>
      </c>
      <c r="E4" s="1" t="s">
        <v>177</v>
      </c>
    </row>
    <row r="5" spans="1:6" x14ac:dyDescent="0.25">
      <c r="A5" s="2" t="s">
        <v>178</v>
      </c>
      <c r="B5" s="3" t="s">
        <v>179</v>
      </c>
      <c r="C5" s="4" t="s">
        <v>180</v>
      </c>
      <c r="D5" s="69">
        <f>'2. Personal 36 meses'!J27</f>
        <v>14290116753.906004</v>
      </c>
      <c r="E5" s="5">
        <f>D5/$D$8</f>
        <v>0.47789922339483348</v>
      </c>
    </row>
    <row r="6" spans="1:6" x14ac:dyDescent="0.25">
      <c r="A6" s="2" t="s">
        <v>181</v>
      </c>
      <c r="B6" s="3" t="s">
        <v>182</v>
      </c>
      <c r="C6" s="4" t="s">
        <v>183</v>
      </c>
      <c r="D6" s="69">
        <f>'3. Costos Operativos'!G41</f>
        <v>8269636042.1499996</v>
      </c>
      <c r="E6" s="5">
        <f>D6/$D$8</f>
        <v>0.27655845717433841</v>
      </c>
    </row>
    <row r="7" spans="1:6" x14ac:dyDescent="0.25">
      <c r="A7" s="2" t="s">
        <v>184</v>
      </c>
      <c r="B7" s="3" t="s">
        <v>185</v>
      </c>
      <c r="C7" s="4" t="s">
        <v>186</v>
      </c>
      <c r="D7" s="69">
        <f>'4. Costos por Demanda'!G13</f>
        <v>7342193167.3499994</v>
      </c>
      <c r="E7" s="5">
        <f>D7/$D$8</f>
        <v>0.24554231943082816</v>
      </c>
    </row>
    <row r="8" spans="1:6" x14ac:dyDescent="0.25">
      <c r="A8" s="89" t="s">
        <v>187</v>
      </c>
      <c r="B8" s="89"/>
      <c r="C8" s="89"/>
      <c r="D8" s="70">
        <f>SUM(D5:D7)</f>
        <v>29901945963.406002</v>
      </c>
      <c r="E8" s="7">
        <f>SUM(E5:E7)</f>
        <v>1</v>
      </c>
    </row>
    <row r="10" spans="1:6" x14ac:dyDescent="0.25">
      <c r="A10" s="89" t="s">
        <v>188</v>
      </c>
      <c r="B10" s="89"/>
      <c r="C10" s="89"/>
      <c r="D10" s="70">
        <f>D8</f>
        <v>29901945963.406002</v>
      </c>
      <c r="E10" s="10"/>
    </row>
    <row r="11" spans="1:6" x14ac:dyDescent="0.25">
      <c r="A11" s="2">
        <v>4</v>
      </c>
      <c r="B11" s="8" t="s">
        <v>189</v>
      </c>
      <c r="C11" s="4" t="s">
        <v>34</v>
      </c>
      <c r="D11" s="71">
        <f>D10*'1. Parámetros'!$B$16</f>
        <v>5681369733.0471401</v>
      </c>
      <c r="E11" s="11">
        <f>'1. Parámetros'!$B$16</f>
        <v>0.19</v>
      </c>
    </row>
    <row r="13" spans="1:6" ht="31.5" customHeight="1" x14ac:dyDescent="0.25">
      <c r="A13" s="84" t="s">
        <v>190</v>
      </c>
      <c r="B13" s="84"/>
      <c r="C13" s="84"/>
      <c r="D13" s="77">
        <f>D10+D11</f>
        <v>35583315696.45314</v>
      </c>
      <c r="E13" s="12"/>
      <c r="F13" s="75"/>
    </row>
    <row r="14" spans="1:6" x14ac:dyDescent="0.25">
      <c r="A14" s="85" t="s">
        <v>191</v>
      </c>
      <c r="B14" s="85"/>
      <c r="C14" s="85"/>
      <c r="D14" s="78">
        <f>D13/'1. Parámetros'!$B$4</f>
        <v>988425436.01258719</v>
      </c>
      <c r="E14" s="13"/>
    </row>
    <row r="15" spans="1:6" x14ac:dyDescent="0.25">
      <c r="F15" s="79"/>
    </row>
    <row r="16" spans="1:6" ht="15" customHeight="1" x14ac:dyDescent="0.25">
      <c r="A16" s="86" t="s">
        <v>192</v>
      </c>
      <c r="B16" s="86"/>
      <c r="C16" s="86"/>
      <c r="D16" s="86"/>
      <c r="E16" s="86"/>
      <c r="F16" s="80"/>
    </row>
    <row r="17" spans="1:5" ht="34.5" customHeight="1" x14ac:dyDescent="0.25">
      <c r="A17" s="83" t="s">
        <v>210</v>
      </c>
      <c r="B17" s="83"/>
      <c r="C17" s="83"/>
      <c r="D17" s="83"/>
      <c r="E17" s="83"/>
    </row>
    <row r="18" spans="1:5" ht="34.5" customHeight="1" x14ac:dyDescent="0.25">
      <c r="A18" s="83" t="s">
        <v>193</v>
      </c>
      <c r="B18" s="83"/>
      <c r="C18" s="83"/>
      <c r="D18" s="83"/>
      <c r="E18" s="83"/>
    </row>
    <row r="19" spans="1:5" ht="34.5" customHeight="1" x14ac:dyDescent="0.25">
      <c r="A19" s="83" t="s">
        <v>194</v>
      </c>
      <c r="B19" s="83"/>
      <c r="C19" s="83"/>
      <c r="D19" s="83"/>
      <c r="E19" s="83"/>
    </row>
    <row r="20" spans="1:5" ht="34.5" customHeight="1" x14ac:dyDescent="0.25">
      <c r="A20" s="83" t="s">
        <v>195</v>
      </c>
      <c r="B20" s="83"/>
      <c r="C20" s="83"/>
      <c r="D20" s="83"/>
      <c r="E20" s="83"/>
    </row>
    <row r="21" spans="1:5" ht="34.5" customHeight="1" x14ac:dyDescent="0.25">
      <c r="A21" s="83" t="s">
        <v>196</v>
      </c>
      <c r="B21" s="83"/>
      <c r="C21" s="83"/>
      <c r="D21" s="83"/>
      <c r="E21" s="83"/>
    </row>
    <row r="22" spans="1:5" ht="34.5" customHeight="1" x14ac:dyDescent="0.25">
      <c r="A22" s="83" t="s">
        <v>197</v>
      </c>
      <c r="B22" s="83"/>
      <c r="C22" s="83"/>
      <c r="D22" s="83"/>
      <c r="E22" s="83"/>
    </row>
  </sheetData>
  <mergeCells count="13">
    <mergeCell ref="A1:E1"/>
    <mergeCell ref="A2:E2"/>
    <mergeCell ref="A8:C8"/>
    <mergeCell ref="A10:C10"/>
    <mergeCell ref="A19:E19"/>
    <mergeCell ref="A20:E20"/>
    <mergeCell ref="A21:E21"/>
    <mergeCell ref="A22:E22"/>
    <mergeCell ref="A13:C13"/>
    <mergeCell ref="A14:C14"/>
    <mergeCell ref="A16:E16"/>
    <mergeCell ref="A17:E17"/>
    <mergeCell ref="A18:E18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Parámetros</vt:lpstr>
      <vt:lpstr>2. Personal 36 meses</vt:lpstr>
      <vt:lpstr>3. Costos Operativos</vt:lpstr>
      <vt:lpstr>4. Costos por Demanda</vt:lpstr>
      <vt:lpstr>5. Resumen Ejecutivo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Maria Catalina Karam Palacios</cp:lastModifiedBy>
  <cp:revision>0</cp:revision>
  <dcterms:created xsi:type="dcterms:W3CDTF">2026-05-29T22:44:56Z</dcterms:created>
  <dcterms:modified xsi:type="dcterms:W3CDTF">2026-08-19T17:10:08Z</dcterms:modified>
  <cp:category/>
  <cp:contentStatus/>
</cp:coreProperties>
</file>