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36FA0AA6-8AD9-4940-8C2A-87106571365B}" xr6:coauthVersionLast="47" xr6:coauthVersionMax="47" xr10:uidLastSave="{00000000-0000-0000-0000-000000000000}"/>
  <bookViews>
    <workbookView xWindow="-108" yWindow="-108" windowWidth="23256" windowHeight="12456" tabRatio="599" activeTab="3" xr2:uid="{00000000-000D-0000-FFFF-FFFF00000000}"/>
  </bookViews>
  <sheets>
    <sheet name="COTIZACIONES " sheetId="17" r:id="rId1"/>
    <sheet name="ALTOS " sheetId="18" r:id="rId2"/>
    <sheet name="ANÁLISIS ESTADÍSTICO" sheetId="19" r:id="rId3"/>
    <sheet name="PRECIOS DE REFERENCIA" sheetId="20" r:id="rId4"/>
  </sheets>
  <definedNames>
    <definedName name="_xlnm._FilterDatabase" localSheetId="1" hidden="1">'ALTOS '!$A$2:$S$3</definedName>
    <definedName name="_xlnm._FilterDatabase" localSheetId="2" hidden="1">'ANÁLISIS ESTADÍSTICO'!$J$2:$R$16</definedName>
    <definedName name="_xlnm._FilterDatabase" localSheetId="3" hidden="1">'PRECIOS DE REFERENCIA'!$A$2:$E$4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0" l="1"/>
  <c r="F15" i="20"/>
  <c r="F12" i="20"/>
  <c r="F11" i="20"/>
  <c r="F8" i="20"/>
  <c r="F7" i="20"/>
  <c r="F6" i="20"/>
  <c r="F5" i="20"/>
  <c r="F4" i="20"/>
  <c r="I16" i="19"/>
  <c r="E16" i="19"/>
  <c r="O16" i="19" s="1"/>
  <c r="I15" i="19"/>
  <c r="G15" i="19"/>
  <c r="E15" i="19"/>
  <c r="O14" i="19"/>
  <c r="N14" i="19"/>
  <c r="I14" i="19"/>
  <c r="E14" i="19"/>
  <c r="M14" i="19" s="1"/>
  <c r="I13" i="19"/>
  <c r="G13" i="19"/>
  <c r="E13" i="19"/>
  <c r="O13" i="19" s="1"/>
  <c r="I12" i="19"/>
  <c r="G12" i="19"/>
  <c r="E12" i="19"/>
  <c r="O12" i="19" s="1"/>
  <c r="G11" i="19"/>
  <c r="F11" i="19"/>
  <c r="E11" i="19"/>
  <c r="G10" i="19"/>
  <c r="F10" i="19"/>
  <c r="E10" i="19"/>
  <c r="J10" i="19" s="1"/>
  <c r="H9" i="19"/>
  <c r="G9" i="19"/>
  <c r="F9" i="19"/>
  <c r="E9" i="19"/>
  <c r="H8" i="19"/>
  <c r="G8" i="19"/>
  <c r="F8" i="19"/>
  <c r="E8" i="19"/>
  <c r="L8" i="19" s="1"/>
  <c r="I7" i="19"/>
  <c r="F7" i="19"/>
  <c r="E7" i="19"/>
  <c r="L7" i="19" s="1"/>
  <c r="Q7" i="19" s="1"/>
  <c r="I6" i="19"/>
  <c r="F6" i="19"/>
  <c r="E6" i="19"/>
  <c r="M6" i="19" s="1"/>
  <c r="F5" i="19"/>
  <c r="E5" i="19"/>
  <c r="J5" i="19" s="1"/>
  <c r="I4" i="19"/>
  <c r="O4" i="19"/>
  <c r="F4" i="19"/>
  <c r="E4" i="19"/>
  <c r="I3" i="19"/>
  <c r="F3" i="19"/>
  <c r="E3" i="19"/>
  <c r="O3" i="19" s="1"/>
  <c r="T17" i="18"/>
  <c r="I17" i="18"/>
  <c r="G17" i="18"/>
  <c r="E17" i="18"/>
  <c r="Q17" i="18" s="1"/>
  <c r="S17" i="18" s="1"/>
  <c r="U17" i="18" s="1"/>
  <c r="T16" i="18"/>
  <c r="I16" i="18"/>
  <c r="G16" i="18"/>
  <c r="E16" i="18"/>
  <c r="L16" i="18" s="1"/>
  <c r="T15" i="18"/>
  <c r="I15" i="18"/>
  <c r="G15" i="18"/>
  <c r="E15" i="18"/>
  <c r="T14" i="18"/>
  <c r="I14" i="18"/>
  <c r="G14" i="18"/>
  <c r="E14" i="18"/>
  <c r="Q14" i="18" s="1"/>
  <c r="S14" i="18" s="1"/>
  <c r="U14" i="18" s="1"/>
  <c r="T13" i="18"/>
  <c r="I13" i="18"/>
  <c r="G13" i="18"/>
  <c r="E13" i="18"/>
  <c r="J12" i="18"/>
  <c r="T11" i="18"/>
  <c r="I11" i="18"/>
  <c r="G11" i="18"/>
  <c r="M11" i="18" s="1"/>
  <c r="F11" i="18"/>
  <c r="E11" i="18"/>
  <c r="T10" i="18"/>
  <c r="I10" i="18"/>
  <c r="G10" i="18"/>
  <c r="F10" i="18"/>
  <c r="E10" i="18"/>
  <c r="M10" i="18" s="1"/>
  <c r="Q10" i="18" s="1"/>
  <c r="S10" i="18" s="1"/>
  <c r="U10" i="18" s="1"/>
  <c r="T9" i="18"/>
  <c r="I9" i="18"/>
  <c r="H9" i="18"/>
  <c r="G9" i="18"/>
  <c r="F9" i="18"/>
  <c r="E9" i="18"/>
  <c r="N9" i="18"/>
  <c r="Q9" i="18" s="1"/>
  <c r="S9" i="18" s="1"/>
  <c r="U9" i="18" s="1"/>
  <c r="T8" i="18"/>
  <c r="I8" i="18"/>
  <c r="H8" i="18"/>
  <c r="G8" i="18"/>
  <c r="F8" i="18"/>
  <c r="E8" i="18"/>
  <c r="O8" i="18" s="1"/>
  <c r="T7" i="18"/>
  <c r="I7" i="18"/>
  <c r="G7" i="18"/>
  <c r="F7" i="18"/>
  <c r="E7" i="18"/>
  <c r="M7" i="18" s="1"/>
  <c r="T6" i="18"/>
  <c r="I6" i="18"/>
  <c r="G6" i="18"/>
  <c r="F6" i="18"/>
  <c r="E6" i="18"/>
  <c r="N6" i="18" s="1"/>
  <c r="T5" i="18"/>
  <c r="O5" i="18"/>
  <c r="P5" i="18" s="1"/>
  <c r="N5" i="18"/>
  <c r="M5" i="18"/>
  <c r="I5" i="18"/>
  <c r="G5" i="18"/>
  <c r="F5" i="18"/>
  <c r="E5" i="18"/>
  <c r="K5" i="18" s="1"/>
  <c r="T4" i="18"/>
  <c r="I4" i="18"/>
  <c r="G4" i="18"/>
  <c r="F4" i="18"/>
  <c r="E4" i="18"/>
  <c r="M4" i="18" s="1"/>
  <c r="T3" i="18"/>
  <c r="O3" i="18"/>
  <c r="N3" i="18"/>
  <c r="M3" i="18"/>
  <c r="I3" i="18"/>
  <c r="G3" i="18"/>
  <c r="F3" i="18"/>
  <c r="E3" i="18"/>
  <c r="J3" i="18" s="1"/>
  <c r="O18" i="17"/>
  <c r="O17" i="17"/>
  <c r="L3" i="17"/>
  <c r="M3" i="17" s="1"/>
  <c r="L4" i="17"/>
  <c r="M4" i="17" s="1"/>
  <c r="L5" i="17"/>
  <c r="M5" i="17" s="1"/>
  <c r="L6" i="17"/>
  <c r="M6" i="17" s="1"/>
  <c r="L7" i="17"/>
  <c r="M7" i="17" s="1"/>
  <c r="L8" i="17"/>
  <c r="M8" i="17" s="1"/>
  <c r="L9" i="17"/>
  <c r="M9" i="17"/>
  <c r="L10" i="17"/>
  <c r="M10" i="17" s="1"/>
  <c r="L11" i="17"/>
  <c r="M11" i="17"/>
  <c r="L12" i="17"/>
  <c r="M12" i="17" s="1"/>
  <c r="L13" i="17"/>
  <c r="M13" i="17" s="1"/>
  <c r="L14" i="17"/>
  <c r="M14" i="17" s="1"/>
  <c r="L15" i="17"/>
  <c r="M15" i="17" s="1"/>
  <c r="L16" i="17"/>
  <c r="M16" i="17" s="1"/>
  <c r="R16" i="17"/>
  <c r="S16" i="17" s="1"/>
  <c r="R15" i="17"/>
  <c r="S15" i="17" s="1"/>
  <c r="R14" i="17"/>
  <c r="S14" i="17" s="1"/>
  <c r="R13" i="17"/>
  <c r="S13" i="17" s="1"/>
  <c r="R12" i="17"/>
  <c r="S12" i="17" s="1"/>
  <c r="R11" i="17"/>
  <c r="S11" i="17" s="1"/>
  <c r="R10" i="17"/>
  <c r="S10" i="17" s="1"/>
  <c r="R9" i="17"/>
  <c r="S9" i="17" s="1"/>
  <c r="R8" i="17"/>
  <c r="S8" i="17" s="1"/>
  <c r="R7" i="17"/>
  <c r="S7" i="17" s="1"/>
  <c r="R6" i="17"/>
  <c r="S6" i="17" s="1"/>
  <c r="R5" i="17"/>
  <c r="S5" i="17" s="1"/>
  <c r="R4" i="17"/>
  <c r="S4" i="17" s="1"/>
  <c r="R3" i="17"/>
  <c r="S3" i="17" s="1"/>
  <c r="O16" i="17"/>
  <c r="P16" i="17" s="1"/>
  <c r="O15" i="17"/>
  <c r="P15" i="17" s="1"/>
  <c r="O14" i="17"/>
  <c r="P14" i="17" s="1"/>
  <c r="O13" i="17"/>
  <c r="P13" i="17" s="1"/>
  <c r="O12" i="17"/>
  <c r="P12" i="17" s="1"/>
  <c r="O11" i="17"/>
  <c r="P11" i="17" s="1"/>
  <c r="O10" i="17"/>
  <c r="P10" i="17" s="1"/>
  <c r="O9" i="17"/>
  <c r="P9" i="17" s="1"/>
  <c r="O8" i="17"/>
  <c r="P8" i="17" s="1"/>
  <c r="O7" i="17"/>
  <c r="P7" i="17" s="1"/>
  <c r="O6" i="17"/>
  <c r="P6" i="17" s="1"/>
  <c r="O5" i="17"/>
  <c r="P5" i="17" s="1"/>
  <c r="O4" i="17"/>
  <c r="P4" i="17" s="1"/>
  <c r="O3" i="17"/>
  <c r="P3" i="17" s="1"/>
  <c r="I4" i="17"/>
  <c r="J4" i="17" s="1"/>
  <c r="I5" i="17"/>
  <c r="J5" i="17" s="1"/>
  <c r="I6" i="17"/>
  <c r="J6" i="17" s="1"/>
  <c r="I7" i="17"/>
  <c r="J7" i="17" s="1"/>
  <c r="I8" i="17"/>
  <c r="J8" i="17" s="1"/>
  <c r="I9" i="17"/>
  <c r="J9" i="17" s="1"/>
  <c r="I10" i="17"/>
  <c r="J10" i="17" s="1"/>
  <c r="I11" i="17"/>
  <c r="J11" i="17" s="1"/>
  <c r="I12" i="17"/>
  <c r="J12" i="17" s="1"/>
  <c r="I13" i="17"/>
  <c r="J13" i="17" s="1"/>
  <c r="I14" i="17"/>
  <c r="J14" i="17" s="1"/>
  <c r="I15" i="17"/>
  <c r="J15" i="17" s="1"/>
  <c r="I16" i="17"/>
  <c r="J16" i="17" s="1"/>
  <c r="F4" i="17"/>
  <c r="G4" i="17" s="1"/>
  <c r="F5" i="17"/>
  <c r="G5" i="17" s="1"/>
  <c r="F6" i="17"/>
  <c r="G6" i="17" s="1"/>
  <c r="F7" i="17"/>
  <c r="G7" i="17" s="1"/>
  <c r="F8" i="17"/>
  <c r="G8" i="17" s="1"/>
  <c r="F9" i="17"/>
  <c r="G9" i="17" s="1"/>
  <c r="F10" i="17"/>
  <c r="G10" i="17" s="1"/>
  <c r="F11" i="17"/>
  <c r="G11" i="17" s="1"/>
  <c r="F12" i="17"/>
  <c r="G12" i="17" s="1"/>
  <c r="F13" i="17"/>
  <c r="G13" i="17" s="1"/>
  <c r="F14" i="17"/>
  <c r="G14" i="17" s="1"/>
  <c r="F15" i="17"/>
  <c r="G15" i="17" s="1"/>
  <c r="F16" i="17"/>
  <c r="G16" i="17" s="1"/>
  <c r="I3" i="17"/>
  <c r="J3" i="17" s="1"/>
  <c r="F3" i="17"/>
  <c r="G3" i="17" s="1"/>
  <c r="J12" i="19" l="1"/>
  <c r="E8" i="20"/>
  <c r="G8" i="20" s="1"/>
  <c r="O9" i="19"/>
  <c r="N13" i="19"/>
  <c r="Q13" i="19" s="1"/>
  <c r="K3" i="19"/>
  <c r="Q3" i="19" s="1"/>
  <c r="J11" i="19"/>
  <c r="M13" i="19"/>
  <c r="O5" i="19"/>
  <c r="J3" i="19"/>
  <c r="L3" i="19"/>
  <c r="M3" i="19"/>
  <c r="N6" i="19"/>
  <c r="O6" i="19"/>
  <c r="J13" i="19"/>
  <c r="K13" i="19"/>
  <c r="P13" i="19" s="1"/>
  <c r="K5" i="19"/>
  <c r="L13" i="19"/>
  <c r="L5" i="19"/>
  <c r="Q5" i="19" s="1"/>
  <c r="M5" i="19"/>
  <c r="N5" i="19"/>
  <c r="N3" i="19"/>
  <c r="J4" i="19"/>
  <c r="L12" i="19"/>
  <c r="J16" i="19"/>
  <c r="K11" i="19"/>
  <c r="Q11" i="19" s="1"/>
  <c r="K16" i="19"/>
  <c r="P16" i="19" s="1"/>
  <c r="L11" i="19"/>
  <c r="M11" i="19"/>
  <c r="M16" i="19"/>
  <c r="K8" i="19"/>
  <c r="N11" i="19"/>
  <c r="N16" i="19"/>
  <c r="Q16" i="19" s="1"/>
  <c r="O11" i="19"/>
  <c r="K15" i="19"/>
  <c r="M8" i="19"/>
  <c r="Q8" i="19" s="1"/>
  <c r="M10" i="19"/>
  <c r="Q10" i="19" s="1"/>
  <c r="N8" i="19"/>
  <c r="K9" i="19"/>
  <c r="N10" i="19"/>
  <c r="M15" i="19"/>
  <c r="J6" i="19"/>
  <c r="M7" i="19"/>
  <c r="O8" i="19"/>
  <c r="L9" i="19"/>
  <c r="O10" i="19"/>
  <c r="J14" i="19"/>
  <c r="Q14" i="19" s="1"/>
  <c r="N15" i="19"/>
  <c r="Q15" i="19" s="1"/>
  <c r="L4" i="19"/>
  <c r="M4" i="19"/>
  <c r="K12" i="19"/>
  <c r="P12" i="19" s="1"/>
  <c r="M12" i="19"/>
  <c r="L16" i="19"/>
  <c r="K10" i="19"/>
  <c r="J15" i="19"/>
  <c r="J7" i="19"/>
  <c r="L10" i="19"/>
  <c r="K7" i="19"/>
  <c r="J9" i="19"/>
  <c r="K6" i="19"/>
  <c r="N7" i="19"/>
  <c r="K14" i="19"/>
  <c r="P14" i="19" s="1"/>
  <c r="O15" i="19"/>
  <c r="L6" i="19"/>
  <c r="O7" i="19"/>
  <c r="N9" i="19"/>
  <c r="L14" i="19"/>
  <c r="K4" i="19"/>
  <c r="N4" i="19"/>
  <c r="N12" i="19"/>
  <c r="Q12" i="19" s="1"/>
  <c r="J8" i="19"/>
  <c r="L15" i="19"/>
  <c r="M9" i="19"/>
  <c r="O13" i="18"/>
  <c r="O4" i="18"/>
  <c r="O6" i="18"/>
  <c r="O14" i="18"/>
  <c r="L14" i="18"/>
  <c r="L15" i="18"/>
  <c r="O15" i="18"/>
  <c r="Q16" i="18"/>
  <c r="S16" i="18" s="1"/>
  <c r="U16" i="18" s="1"/>
  <c r="K14" i="18"/>
  <c r="M14" i="18"/>
  <c r="M15" i="18"/>
  <c r="N15" i="18"/>
  <c r="Q15" i="18"/>
  <c r="S15" i="18" s="1"/>
  <c r="U15" i="18" s="1"/>
  <c r="J4" i="18"/>
  <c r="K4" i="18"/>
  <c r="L4" i="18"/>
  <c r="Q4" i="18" s="1"/>
  <c r="S4" i="18" s="1"/>
  <c r="U4" i="18" s="1"/>
  <c r="J14" i="18"/>
  <c r="K3" i="18"/>
  <c r="P3" i="18" s="1"/>
  <c r="O11" i="18"/>
  <c r="L3" i="18"/>
  <c r="Q3" i="18" s="1"/>
  <c r="S3" i="18" s="1"/>
  <c r="U3" i="18" s="1"/>
  <c r="L5" i="18"/>
  <c r="Q5" i="18" s="1"/>
  <c r="S5" i="18" s="1"/>
  <c r="U5" i="18" s="1"/>
  <c r="O9" i="18"/>
  <c r="K10" i="18"/>
  <c r="N17" i="18"/>
  <c r="L7" i="18"/>
  <c r="Q7" i="18" s="1"/>
  <c r="S7" i="18" s="1"/>
  <c r="U7" i="18" s="1"/>
  <c r="L10" i="18"/>
  <c r="Q13" i="18"/>
  <c r="S13" i="18" s="1"/>
  <c r="U13" i="18" s="1"/>
  <c r="O17" i="18"/>
  <c r="P17" i="18" s="1"/>
  <c r="J6" i="18"/>
  <c r="N8" i="18"/>
  <c r="J9" i="18"/>
  <c r="N7" i="18"/>
  <c r="N10" i="18"/>
  <c r="L6" i="18"/>
  <c r="Q6" i="18" s="1"/>
  <c r="S6" i="18" s="1"/>
  <c r="U6" i="18" s="1"/>
  <c r="O7" i="18"/>
  <c r="L9" i="18"/>
  <c r="O10" i="18"/>
  <c r="J15" i="18"/>
  <c r="N16" i="18"/>
  <c r="J13" i="18"/>
  <c r="M13" i="18"/>
  <c r="L11" i="18"/>
  <c r="J7" i="18"/>
  <c r="J16" i="18"/>
  <c r="M8" i="18"/>
  <c r="K16" i="18"/>
  <c r="M16" i="18"/>
  <c r="J5" i="18"/>
  <c r="M6" i="18"/>
  <c r="M9" i="18"/>
  <c r="K15" i="18"/>
  <c r="P15" i="18" s="1"/>
  <c r="O16" i="18"/>
  <c r="N4" i="18"/>
  <c r="N14" i="18"/>
  <c r="K13" i="18"/>
  <c r="P13" i="18" s="1"/>
  <c r="J11" i="18"/>
  <c r="L13" i="18"/>
  <c r="J17" i="18"/>
  <c r="K11" i="18"/>
  <c r="Q11" i="18" s="1"/>
  <c r="S11" i="18" s="1"/>
  <c r="U11" i="18" s="1"/>
  <c r="V18" i="18" s="1"/>
  <c r="K17" i="18"/>
  <c r="J8" i="18"/>
  <c r="N13" i="18"/>
  <c r="L17" i="18"/>
  <c r="K8" i="18"/>
  <c r="P8" i="18" s="1"/>
  <c r="J10" i="18"/>
  <c r="M17" i="18"/>
  <c r="K7" i="18"/>
  <c r="L8" i="18"/>
  <c r="Q8" i="18" s="1"/>
  <c r="S8" i="18" s="1"/>
  <c r="U8" i="18" s="1"/>
  <c r="V8" i="18" s="1"/>
  <c r="N11" i="18"/>
  <c r="K6" i="18"/>
  <c r="P6" i="18" s="1"/>
  <c r="K9" i="18"/>
  <c r="E20" i="20" l="1"/>
  <c r="G20" i="20" s="1"/>
  <c r="E21" i="20"/>
  <c r="G21" i="20" s="1"/>
  <c r="E15" i="20"/>
  <c r="G15" i="20" s="1"/>
  <c r="E4" i="20"/>
  <c r="G4" i="20" s="1"/>
  <c r="E11" i="20"/>
  <c r="G11" i="20" s="1"/>
  <c r="E6" i="20"/>
  <c r="G6" i="20" s="1"/>
  <c r="E16" i="20"/>
  <c r="G16" i="20" s="1"/>
  <c r="E19" i="20"/>
  <c r="G19" i="20" s="1"/>
  <c r="E23" i="20"/>
  <c r="G23" i="20" s="1"/>
  <c r="E22" i="20"/>
  <c r="G22" i="20" s="1"/>
  <c r="P5" i="19"/>
  <c r="P3" i="19"/>
  <c r="P9" i="19"/>
  <c r="Q9" i="19"/>
  <c r="P4" i="19"/>
  <c r="Q4" i="19"/>
  <c r="P6" i="19"/>
  <c r="Q6" i="19"/>
  <c r="P7" i="19"/>
  <c r="P15" i="19"/>
  <c r="P10" i="19"/>
  <c r="P8" i="19"/>
  <c r="P11" i="19"/>
  <c r="P9" i="18"/>
  <c r="P14" i="18"/>
  <c r="P4" i="18"/>
  <c r="U18" i="18"/>
  <c r="U19" i="18" s="1"/>
  <c r="U20" i="18" s="1"/>
  <c r="U21" i="18" s="1"/>
  <c r="U22" i="18" s="1"/>
  <c r="U12" i="18"/>
  <c r="AD8" i="18"/>
  <c r="X8" i="18"/>
  <c r="P11" i="18"/>
  <c r="V3" i="18"/>
  <c r="P10" i="18"/>
  <c r="P7" i="18"/>
  <c r="P16" i="18"/>
  <c r="G24" i="20" l="1"/>
  <c r="G17" i="20"/>
  <c r="E7" i="20"/>
  <c r="G7" i="20" s="1"/>
  <c r="E5" i="20"/>
  <c r="G5" i="20" s="1"/>
  <c r="E12" i="20"/>
  <c r="G12" i="20" s="1"/>
  <c r="G13" i="20" s="1"/>
  <c r="V19" i="18"/>
  <c r="V20" i="18" s="1"/>
  <c r="V21" i="18" s="1"/>
  <c r="AD3" i="18"/>
  <c r="X3" i="18"/>
  <c r="Y3" i="18"/>
  <c r="Y8" i="18"/>
  <c r="Z8" i="18" s="1"/>
  <c r="G9" i="20" l="1"/>
  <c r="AD21" i="18"/>
  <c r="X21" i="18"/>
  <c r="X22" i="18" s="1"/>
  <c r="V22" i="18"/>
  <c r="Z3" i="18"/>
  <c r="AD22" i="18"/>
  <c r="G25" i="20" l="1"/>
  <c r="Y21" i="18"/>
  <c r="Y22" i="18" s="1"/>
  <c r="Z22" i="18" s="1"/>
  <c r="Z21" i="18" l="1"/>
  <c r="AA21" i="18" s="1"/>
</calcChain>
</file>

<file path=xl/sharedStrings.xml><?xml version="1.0" encoding="utf-8"?>
<sst xmlns="http://schemas.openxmlformats.org/spreadsheetml/2006/main" count="253" uniqueCount="77">
  <si>
    <t>ITEM</t>
  </si>
  <si>
    <t>% DISPERSIÓN</t>
  </si>
  <si>
    <t xml:space="preserve">CRITERIO </t>
  </si>
  <si>
    <t>PROYECCIÓN PRECIOS DE REFERENCIA</t>
  </si>
  <si>
    <t>PRECIOS DE REFERENCIA</t>
  </si>
  <si>
    <t xml:space="preserve">CANTIDAD </t>
  </si>
  <si>
    <t>VALOR DE REFERENCIA</t>
  </si>
  <si>
    <t>DESCRIPCIÓN DEL SERVICIO</t>
  </si>
  <si>
    <t xml:space="preserve">VALOR TOTAL </t>
  </si>
  <si>
    <t xml:space="preserve">CANTIDAD  </t>
  </si>
  <si>
    <t xml:space="preserve">UNIDAD DE MEDIDA </t>
  </si>
  <si>
    <t xml:space="preserve">VALOR UNITARIO </t>
  </si>
  <si>
    <t>RECARGA DE EXTINTOR POLVO QUÍMICO SECO CLASE ABC PORTÁTIL DE 10 LIBRAS</t>
  </si>
  <si>
    <t>RECARGA DE EXTINTOR POLVO QUÍMICO SECO CLASE ABC PORTÁTIL DE 20 LIBRAS</t>
  </si>
  <si>
    <t>RECARGA DE EXTINTOR POLVO QUÍMICO SECO CLASE ABC RODANTE DE 150 LIBRAS</t>
  </si>
  <si>
    <t>RECARGA DE EXTINTOR POLVO QUÍMICO SECO CLASE BC PORTÁTIL DE 10 LIBRAS</t>
  </si>
  <si>
    <t>RECARGA DE EXTINTOR DE AGUA A PRESIÓN DE 2.5 GALONES</t>
  </si>
  <si>
    <t xml:space="preserve">BASE PARA EXTINTOR DE CO2 DE 10 LIBRAS </t>
  </si>
  <si>
    <t xml:space="preserve">BASE PARA EXTINTOR DE CO2 DE 20 LIBRAS </t>
  </si>
  <si>
    <t>MANTENIMIENTO PREVENTIVO Y REVISIÓN DE EXTINTOR DE CO2 DE 10 LIBRAS</t>
  </si>
  <si>
    <t>MANTENIMIENTO PREVENTIVO Y REVISIÓN DE EXTINTOR DE CO2 DE 20 LIBRAS</t>
  </si>
  <si>
    <t>MANTENIMIENTO CORRECTIVO DE EXTINTOR POLVO QUÍMICO SECO CLASE ABC PORTÁTIL DE 10 LIBRAS</t>
  </si>
  <si>
    <t>MANTENIMIENTO CORRECTIVO DE EXTINTOR POLVO QUÍMICO SECO CLASE ABC PORTÁTIL DE 20 LIBRAS</t>
  </si>
  <si>
    <t>MANTENIMIENTO CORRECTIVO DE EXTINTOR POLVO QUÍMICO SECO CLASE ABC RODANTE DE 150 LIBRAS</t>
  </si>
  <si>
    <t>MANTENIMIENTO CORRECTIVO DE EXTINTOR POLVO QUÍMICO SECO CLASE BC PORTÁTIL DE 10 LIBRAS</t>
  </si>
  <si>
    <t>MANTENIMIENTO CORRECTIVO DE EXTINTOR DE AGUA A PRESIÓN DE 2.5 GALONES</t>
  </si>
  <si>
    <t xml:space="preserve">UNIDAD </t>
  </si>
  <si>
    <t>IVA 19%</t>
  </si>
  <si>
    <t xml:space="preserve"> PROCOLDEXT SAS</t>
  </si>
  <si>
    <t>RODOLFO GUZMAN PARRA</t>
  </si>
  <si>
    <t xml:space="preserve">VALOR TOTAL INCLUIDO IVA </t>
  </si>
  <si>
    <t>PROMEDIO</t>
  </si>
  <si>
    <t xml:space="preserve">MENOR VALOR </t>
  </si>
  <si>
    <t xml:space="preserve">PROMEDIO  </t>
  </si>
  <si>
    <t xml:space="preserve">MEDIA GEOMETRICA </t>
  </si>
  <si>
    <t xml:space="preserve">DESVIACIÓN ESTANDAR </t>
  </si>
  <si>
    <t xml:space="preserve">UNICO VALOR COTIZADO </t>
  </si>
  <si>
    <t>MEDIANA</t>
  </si>
  <si>
    <t xml:space="preserve">MEDIA ARMONICA </t>
  </si>
  <si>
    <t>MEDIA ARMONICA</t>
  </si>
  <si>
    <t xml:space="preserve">PRESUPUESTO TOTAL </t>
  </si>
  <si>
    <t xml:space="preserve">VALOR UNITARIO INCLUIDO IVA </t>
  </si>
  <si>
    <t xml:space="preserve">VALOR UNITARIO INCLUIDO IVA    </t>
  </si>
  <si>
    <t xml:space="preserve">VALOR UNITARIO  INCLUIDO IVA </t>
  </si>
  <si>
    <t>COLOMBIA EXTINTORES SEGURIDAD INDUSTRIAL - RODOLFO GUZMAN PARRA</t>
  </si>
  <si>
    <t xml:space="preserve">PRESUPUESTO ÍTEMS FIJOS + CORRECTIVOS  </t>
  </si>
  <si>
    <t xml:space="preserve">PRESUPUESTO ÍTEMS FIJOS (ITEMS DEL 1 AL 9) </t>
  </si>
  <si>
    <t xml:space="preserve">PRESUPUESTO CORRECTIVOS (ITEMS DEL 10 AL 14) </t>
  </si>
  <si>
    <t>BOLSA REPUESTOS, INSUMOS E IMPREVISTOS 30%</t>
  </si>
  <si>
    <t xml:space="preserve">BOLSA CORRECTIVOS, REPUESTOS, INSUMOS E IMPREVISTOS </t>
  </si>
  <si>
    <t>mezclas quimicas para extintores</t>
  </si>
  <si>
    <t xml:space="preserve">equipos extintores de incendios </t>
  </si>
  <si>
    <t xml:space="preserve">rubro en blanco </t>
  </si>
  <si>
    <t xml:space="preserve">30% Formación Artistica </t>
  </si>
  <si>
    <t xml:space="preserve">70% SAF </t>
  </si>
  <si>
    <t xml:space="preserve">Distribución presupuestal </t>
  </si>
  <si>
    <t xml:space="preserve">servicio de recarga </t>
  </si>
  <si>
    <t xml:space="preserve">Recargas items 1 al 5 </t>
  </si>
  <si>
    <t xml:space="preserve">bases item 6 y 7 </t>
  </si>
  <si>
    <t xml:space="preserve">bienes </t>
  </si>
  <si>
    <t xml:space="preserve">servicios </t>
  </si>
  <si>
    <t xml:space="preserve">servicio mantenimientos preventivos items 8 y 9 + servicios mantenimientos correctivos 110 al 14 + bolsa de repuestos </t>
  </si>
  <si>
    <t xml:space="preserve">30% bolsa de repuestos </t>
  </si>
  <si>
    <t xml:space="preserve">del item 8 al 14 preventivos + correctivos </t>
  </si>
  <si>
    <t>EXSOLVEN</t>
  </si>
  <si>
    <t>PROEXT S.A.S.</t>
  </si>
  <si>
    <t>GLOBAL DE SUMINISTROS INDUSTRIALES S.A.S.</t>
  </si>
  <si>
    <t>MENOR VALOR</t>
  </si>
  <si>
    <t xml:space="preserve">RECARGAS </t>
  </si>
  <si>
    <t>BASES</t>
  </si>
  <si>
    <t xml:space="preserve">MANTENIMIENTOS PREVENTIVOS </t>
  </si>
  <si>
    <t xml:space="preserve">MANTENIMIENTOS CORRECTIVOS </t>
  </si>
  <si>
    <t xml:space="preserve">VALOR TOTAL PRESUPUESTO OFICIAL </t>
  </si>
  <si>
    <t>VALOR TOTAL RECARGAS</t>
  </si>
  <si>
    <t xml:space="preserve"> VALOR TOTAL BASES </t>
  </si>
  <si>
    <t>VALOR TOTAL MANTENIMIENTOS CORRECTIVOS</t>
  </si>
  <si>
    <t xml:space="preserve"> VALOR TOTAL MANTENIMIENTOS PREVENTIVOS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</si>
</sst>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  <numFmt numFmtId="168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7"/>
      <color rgb="FFFF0000"/>
      <name val="Arial Narrow"/>
      <family val="2"/>
    </font>
    <font>
      <sz val="11"/>
      <color theme="0"/>
      <name val="Calibri"/>
      <family val="2"/>
      <scheme val="minor"/>
    </font>
    <font>
      <sz val="9"/>
      <color theme="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5" tint="0.79998168889431442"/>
        <bgColor rgb="FFFFFFFF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44" fontId="8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80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43" fontId="4" fillId="0" borderId="0" xfId="2" applyFont="1" applyAlignment="1">
      <alignment horizontal="right" vertical="center" wrapText="1"/>
    </xf>
    <xf numFmtId="0" fontId="4" fillId="3" borderId="0" xfId="0" applyFont="1" applyFill="1" applyAlignment="1">
      <alignment wrapText="1"/>
    </xf>
    <xf numFmtId="43" fontId="4" fillId="0" borderId="0" xfId="2" applyFont="1" applyAlignment="1">
      <alignment horizontal="center" vertical="center" wrapText="1"/>
    </xf>
    <xf numFmtId="9" fontId="4" fillId="0" borderId="0" xfId="3" applyFont="1" applyAlignment="1">
      <alignment horizontal="right" vertical="center" wrapText="1"/>
    </xf>
    <xf numFmtId="168" fontId="4" fillId="3" borderId="2" xfId="2" applyNumberFormat="1" applyFont="1" applyFill="1" applyBorder="1" applyAlignment="1">
      <alignment horizontal="right" vertical="center"/>
    </xf>
    <xf numFmtId="168" fontId="4" fillId="0" borderId="0" xfId="0" applyNumberFormat="1" applyFont="1" applyAlignment="1">
      <alignment wrapText="1"/>
    </xf>
    <xf numFmtId="168" fontId="4" fillId="3" borderId="7" xfId="2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9" fontId="4" fillId="3" borderId="2" xfId="3" applyFont="1" applyFill="1" applyBorder="1" applyAlignment="1">
      <alignment horizontal="center" vertical="center"/>
    </xf>
    <xf numFmtId="168" fontId="4" fillId="3" borderId="1" xfId="2" applyNumberFormat="1" applyFont="1" applyFill="1" applyBorder="1" applyAlignment="1">
      <alignment horizontal="right" vertical="center" wrapText="1"/>
    </xf>
    <xf numFmtId="168" fontId="4" fillId="3" borderId="1" xfId="2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left" vertical="center" wrapText="1"/>
    </xf>
    <xf numFmtId="168" fontId="4" fillId="3" borderId="9" xfId="2" applyNumberFormat="1" applyFont="1" applyFill="1" applyBorder="1" applyAlignment="1">
      <alignment horizontal="center" vertical="center" wrapText="1"/>
    </xf>
    <xf numFmtId="3" fontId="9" fillId="7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/>
    </xf>
    <xf numFmtId="168" fontId="11" fillId="3" borderId="1" xfId="2" applyNumberFormat="1" applyFont="1" applyFill="1" applyBorder="1" applyAlignment="1">
      <alignment horizontal="center" vertical="center" wrapText="1"/>
    </xf>
    <xf numFmtId="44" fontId="11" fillId="0" borderId="1" xfId="14" applyFont="1" applyBorder="1" applyAlignment="1">
      <alignment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7" borderId="0" xfId="0" applyFont="1" applyFill="1" applyAlignment="1">
      <alignment horizontal="left" vertical="center" wrapText="1"/>
    </xf>
    <xf numFmtId="168" fontId="4" fillId="3" borderId="0" xfId="2" applyNumberFormat="1" applyFont="1" applyFill="1" applyBorder="1" applyAlignment="1">
      <alignment horizontal="center" vertical="center" wrapText="1"/>
    </xf>
    <xf numFmtId="3" fontId="9" fillId="7" borderId="0" xfId="0" applyNumberFormat="1" applyFont="1" applyFill="1" applyAlignment="1">
      <alignment horizontal="center" vertical="center" wrapText="1"/>
    </xf>
    <xf numFmtId="168" fontId="4" fillId="3" borderId="0" xfId="2" applyNumberFormat="1" applyFont="1" applyFill="1" applyBorder="1" applyAlignment="1">
      <alignment horizontal="right" vertical="center"/>
    </xf>
    <xf numFmtId="9" fontId="4" fillId="3" borderId="0" xfId="3" applyFont="1" applyFill="1" applyBorder="1" applyAlignment="1">
      <alignment horizontal="center" vertical="center"/>
    </xf>
    <xf numFmtId="168" fontId="4" fillId="3" borderId="11" xfId="0" applyNumberFormat="1" applyFont="1" applyFill="1" applyBorder="1" applyAlignment="1">
      <alignment vertical="center" wrapText="1"/>
    </xf>
    <xf numFmtId="168" fontId="4" fillId="4" borderId="11" xfId="0" applyNumberFormat="1" applyFont="1" applyFill="1" applyBorder="1" applyAlignment="1">
      <alignment vertical="center" wrapText="1"/>
    </xf>
    <xf numFmtId="168" fontId="4" fillId="4" borderId="10" xfId="0" applyNumberFormat="1" applyFont="1" applyFill="1" applyBorder="1" applyAlignment="1">
      <alignment vertical="center" wrapText="1"/>
    </xf>
    <xf numFmtId="168" fontId="4" fillId="6" borderId="10" xfId="0" applyNumberFormat="1" applyFont="1" applyFill="1" applyBorder="1" applyAlignment="1">
      <alignment horizontal="right" vertical="center" wrapText="1"/>
    </xf>
    <xf numFmtId="168" fontId="4" fillId="8" borderId="10" xfId="0" applyNumberFormat="1" applyFont="1" applyFill="1" applyBorder="1" applyAlignment="1">
      <alignment horizontal="right" vertical="center" wrapText="1"/>
    </xf>
    <xf numFmtId="168" fontId="4" fillId="0" borderId="10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168" fontId="4" fillId="9" borderId="1" xfId="0" applyNumberFormat="1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168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168" fontId="4" fillId="0" borderId="1" xfId="0" applyNumberFormat="1" applyFont="1" applyBorder="1" applyAlignment="1">
      <alignment wrapText="1"/>
    </xf>
    <xf numFmtId="168" fontId="4" fillId="0" borderId="1" xfId="0" applyNumberFormat="1" applyFont="1" applyBorder="1" applyAlignment="1">
      <alignment vertical="center" wrapText="1"/>
    </xf>
    <xf numFmtId="9" fontId="4" fillId="9" borderId="1" xfId="0" applyNumberFormat="1" applyFont="1" applyFill="1" applyBorder="1" applyAlignment="1">
      <alignment vertical="center" wrapText="1"/>
    </xf>
    <xf numFmtId="168" fontId="13" fillId="10" borderId="1" xfId="0" applyNumberFormat="1" applyFont="1" applyFill="1" applyBorder="1" applyAlignment="1">
      <alignment vertical="center" wrapText="1"/>
    </xf>
    <xf numFmtId="0" fontId="13" fillId="10" borderId="1" xfId="0" applyFont="1" applyFill="1" applyBorder="1" applyAlignment="1">
      <alignment vertical="center" wrapText="1"/>
    </xf>
    <xf numFmtId="168" fontId="4" fillId="9" borderId="1" xfId="0" applyNumberFormat="1" applyFont="1" applyFill="1" applyBorder="1" applyAlignment="1">
      <alignment wrapText="1"/>
    </xf>
    <xf numFmtId="168" fontId="4" fillId="3" borderId="9" xfId="2" applyNumberFormat="1" applyFont="1" applyFill="1" applyBorder="1" applyAlignment="1">
      <alignment horizontal="right" vertical="center" wrapText="1"/>
    </xf>
    <xf numFmtId="0" fontId="12" fillId="11" borderId="1" xfId="0" applyFont="1" applyFill="1" applyBorder="1" applyAlignment="1">
      <alignment horizontal="center"/>
    </xf>
    <xf numFmtId="43" fontId="5" fillId="11" borderId="1" xfId="2" applyFont="1" applyFill="1" applyBorder="1" applyAlignment="1">
      <alignment horizontal="center" vertical="center" wrapText="1"/>
    </xf>
    <xf numFmtId="43" fontId="5" fillId="11" borderId="11" xfId="2" applyFont="1" applyFill="1" applyBorder="1" applyAlignment="1">
      <alignment horizontal="center" vertical="center" wrapText="1"/>
    </xf>
    <xf numFmtId="43" fontId="6" fillId="11" borderId="1" xfId="2" applyFont="1" applyFill="1" applyBorder="1" applyAlignment="1">
      <alignment horizontal="center" vertical="center" wrapText="1"/>
    </xf>
    <xf numFmtId="43" fontId="5" fillId="11" borderId="8" xfId="2" applyFont="1" applyFill="1" applyBorder="1" applyAlignment="1">
      <alignment horizontal="center" vertical="center" wrapText="1"/>
    </xf>
    <xf numFmtId="9" fontId="5" fillId="11" borderId="1" xfId="3" applyFont="1" applyFill="1" applyBorder="1" applyAlignment="1">
      <alignment horizontal="center" vertical="center" wrapText="1"/>
    </xf>
    <xf numFmtId="43" fontId="5" fillId="11" borderId="5" xfId="2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43" fontId="5" fillId="5" borderId="3" xfId="2" applyFont="1" applyFill="1" applyBorder="1" applyAlignment="1">
      <alignment horizontal="center" vertical="center" wrapText="1"/>
    </xf>
    <xf numFmtId="168" fontId="4" fillId="5" borderId="4" xfId="2" applyNumberFormat="1" applyFont="1" applyFill="1" applyBorder="1" applyAlignment="1">
      <alignment horizontal="center" vertical="center" wrapText="1"/>
    </xf>
    <xf numFmtId="0" fontId="14" fillId="0" borderId="0" xfId="0" applyFont="1"/>
    <xf numFmtId="44" fontId="15" fillId="0" borderId="0" xfId="14" applyFont="1" applyFill="1" applyBorder="1" applyAlignment="1">
      <alignment vertical="center"/>
    </xf>
    <xf numFmtId="168" fontId="4" fillId="12" borderId="1" xfId="2" applyNumberFormat="1" applyFont="1" applyFill="1" applyBorder="1" applyAlignment="1">
      <alignment horizontal="right" vertical="center" wrapText="1"/>
    </xf>
    <xf numFmtId="168" fontId="4" fillId="12" borderId="9" xfId="2" applyNumberFormat="1" applyFont="1" applyFill="1" applyBorder="1" applyAlignment="1">
      <alignment horizontal="right" vertical="center" wrapText="1"/>
    </xf>
    <xf numFmtId="0" fontId="9" fillId="13" borderId="1" xfId="0" applyFont="1" applyFill="1" applyBorder="1" applyAlignment="1">
      <alignment horizontal="left" vertical="center" wrapText="1"/>
    </xf>
    <xf numFmtId="168" fontId="11" fillId="6" borderId="1" xfId="2" applyNumberFormat="1" applyFont="1" applyFill="1" applyBorder="1" applyAlignment="1">
      <alignment horizontal="center" vertical="center" wrapText="1"/>
    </xf>
    <xf numFmtId="3" fontId="9" fillId="13" borderId="1" xfId="0" applyNumberFormat="1" applyFont="1" applyFill="1" applyBorder="1" applyAlignment="1">
      <alignment horizontal="center" vertical="center" wrapText="1"/>
    </xf>
    <xf numFmtId="168" fontId="11" fillId="6" borderId="7" xfId="2" applyNumberFormat="1" applyFont="1" applyFill="1" applyBorder="1" applyAlignment="1">
      <alignment horizontal="right" vertical="center" wrapText="1"/>
    </xf>
    <xf numFmtId="3" fontId="9" fillId="6" borderId="2" xfId="0" applyNumberFormat="1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/>
    </xf>
    <xf numFmtId="0" fontId="9" fillId="13" borderId="20" xfId="0" applyFont="1" applyFill="1" applyBorder="1" applyAlignment="1">
      <alignment horizontal="left" vertical="center" wrapText="1"/>
    </xf>
    <xf numFmtId="168" fontId="11" fillId="6" borderId="20" xfId="2" applyNumberFormat="1" applyFont="1" applyFill="1" applyBorder="1" applyAlignment="1">
      <alignment horizontal="center" vertical="center" wrapText="1"/>
    </xf>
    <xf numFmtId="3" fontId="9" fillId="13" borderId="20" xfId="0" applyNumberFormat="1" applyFont="1" applyFill="1" applyBorder="1" applyAlignment="1">
      <alignment horizontal="center" vertical="center" wrapText="1"/>
    </xf>
    <xf numFmtId="168" fontId="11" fillId="6" borderId="6" xfId="2" applyNumberFormat="1" applyFont="1" applyFill="1" applyBorder="1" applyAlignment="1">
      <alignment horizontal="right" vertical="center" wrapText="1"/>
    </xf>
    <xf numFmtId="3" fontId="9" fillId="6" borderId="20" xfId="0" applyNumberFormat="1" applyFont="1" applyFill="1" applyBorder="1" applyAlignment="1">
      <alignment horizontal="center" vertical="center" wrapText="1"/>
    </xf>
    <xf numFmtId="168" fontId="11" fillId="6" borderId="21" xfId="0" applyNumberFormat="1" applyFont="1" applyFill="1" applyBorder="1" applyAlignment="1">
      <alignment vertical="center" wrapText="1"/>
    </xf>
    <xf numFmtId="0" fontId="11" fillId="6" borderId="3" xfId="0" applyFont="1" applyFill="1" applyBorder="1" applyAlignment="1">
      <alignment horizontal="center" vertical="center"/>
    </xf>
    <xf numFmtId="168" fontId="11" fillId="6" borderId="4" xfId="0" applyNumberFormat="1" applyFont="1" applyFill="1" applyBorder="1" applyAlignment="1">
      <alignment vertical="center" wrapText="1"/>
    </xf>
    <xf numFmtId="0" fontId="11" fillId="6" borderId="17" xfId="0" applyFont="1" applyFill="1" applyBorder="1" applyAlignment="1">
      <alignment horizontal="center" vertical="center"/>
    </xf>
    <xf numFmtId="0" fontId="9" fillId="13" borderId="18" xfId="0" applyFont="1" applyFill="1" applyBorder="1" applyAlignment="1">
      <alignment horizontal="left" vertical="center" wrapText="1"/>
    </xf>
    <xf numFmtId="168" fontId="11" fillId="6" borderId="18" xfId="2" applyNumberFormat="1" applyFont="1" applyFill="1" applyBorder="1" applyAlignment="1">
      <alignment horizontal="center" vertical="center" wrapText="1"/>
    </xf>
    <xf numFmtId="3" fontId="9" fillId="13" borderId="18" xfId="0" applyNumberFormat="1" applyFont="1" applyFill="1" applyBorder="1" applyAlignment="1">
      <alignment horizontal="center" vertical="center" wrapText="1"/>
    </xf>
    <xf numFmtId="168" fontId="11" fillId="6" borderId="22" xfId="2" applyNumberFormat="1" applyFont="1" applyFill="1" applyBorder="1" applyAlignment="1">
      <alignment horizontal="right" vertical="center" wrapText="1"/>
    </xf>
    <xf numFmtId="3" fontId="9" fillId="6" borderId="23" xfId="0" applyNumberFormat="1" applyFont="1" applyFill="1" applyBorder="1" applyAlignment="1">
      <alignment horizontal="center" vertical="center" wrapText="1"/>
    </xf>
    <xf numFmtId="168" fontId="11" fillId="6" borderId="24" xfId="0" applyNumberFormat="1" applyFont="1" applyFill="1" applyBorder="1" applyAlignment="1">
      <alignment vertical="center" wrapText="1"/>
    </xf>
    <xf numFmtId="168" fontId="12" fillId="8" borderId="19" xfId="0" applyNumberFormat="1" applyFont="1" applyFill="1" applyBorder="1" applyAlignment="1">
      <alignment vertical="center" wrapText="1"/>
    </xf>
    <xf numFmtId="168" fontId="12" fillId="6" borderId="28" xfId="0" applyNumberFormat="1" applyFont="1" applyFill="1" applyBorder="1" applyAlignment="1">
      <alignment horizontal="right" vertical="center" wrapText="1"/>
    </xf>
    <xf numFmtId="0" fontId="11" fillId="8" borderId="7" xfId="0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left" vertical="center" wrapText="1"/>
    </xf>
    <xf numFmtId="168" fontId="11" fillId="8" borderId="2" xfId="2" applyNumberFormat="1" applyFont="1" applyFill="1" applyBorder="1" applyAlignment="1">
      <alignment horizontal="center" vertical="center" wrapText="1"/>
    </xf>
    <xf numFmtId="3" fontId="9" fillId="14" borderId="2" xfId="0" applyNumberFormat="1" applyFont="1" applyFill="1" applyBorder="1" applyAlignment="1">
      <alignment horizontal="center" vertical="center" wrapText="1"/>
    </xf>
    <xf numFmtId="168" fontId="11" fillId="8" borderId="7" xfId="2" applyNumberFormat="1" applyFont="1" applyFill="1" applyBorder="1" applyAlignment="1">
      <alignment horizontal="right" vertical="center" wrapText="1"/>
    </xf>
    <xf numFmtId="3" fontId="9" fillId="8" borderId="2" xfId="0" applyNumberFormat="1" applyFont="1" applyFill="1" applyBorder="1" applyAlignment="1">
      <alignment horizontal="center" vertical="center" wrapText="1"/>
    </xf>
    <xf numFmtId="168" fontId="11" fillId="8" borderId="4" xfId="0" applyNumberFormat="1" applyFont="1" applyFill="1" applyBorder="1" applyAlignment="1">
      <alignment vertical="center" wrapText="1"/>
    </xf>
    <xf numFmtId="0" fontId="11" fillId="8" borderId="3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left" vertical="center" wrapText="1"/>
    </xf>
    <xf numFmtId="168" fontId="11" fillId="8" borderId="1" xfId="2" applyNumberFormat="1" applyFont="1" applyFill="1" applyBorder="1" applyAlignment="1">
      <alignment horizontal="center" vertical="center" wrapText="1"/>
    </xf>
    <xf numFmtId="3" fontId="9" fillId="14" borderId="1" xfId="0" applyNumberFormat="1" applyFont="1" applyFill="1" applyBorder="1" applyAlignment="1">
      <alignment horizontal="center" vertical="center" wrapText="1"/>
    </xf>
    <xf numFmtId="168" fontId="11" fillId="8" borderId="29" xfId="0" applyNumberFormat="1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left" vertical="center" wrapText="1"/>
    </xf>
    <xf numFmtId="168" fontId="11" fillId="4" borderId="20" xfId="2" applyNumberFormat="1" applyFont="1" applyFill="1" applyBorder="1" applyAlignment="1">
      <alignment horizontal="center" vertical="center" wrapText="1"/>
    </xf>
    <xf numFmtId="3" fontId="9" fillId="15" borderId="20" xfId="0" applyNumberFormat="1" applyFont="1" applyFill="1" applyBorder="1" applyAlignment="1">
      <alignment horizontal="center" vertical="center" wrapText="1"/>
    </xf>
    <xf numFmtId="168" fontId="11" fillId="4" borderId="6" xfId="2" applyNumberFormat="1" applyFont="1" applyFill="1" applyBorder="1" applyAlignment="1">
      <alignment horizontal="right" vertical="center" wrapText="1"/>
    </xf>
    <xf numFmtId="3" fontId="9" fillId="4" borderId="20" xfId="0" applyNumberFormat="1" applyFont="1" applyFill="1" applyBorder="1" applyAlignment="1">
      <alignment horizontal="center" vertical="center" wrapText="1"/>
    </xf>
    <xf numFmtId="168" fontId="11" fillId="4" borderId="21" xfId="0" applyNumberFormat="1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 wrapText="1"/>
    </xf>
    <xf numFmtId="168" fontId="11" fillId="4" borderId="1" xfId="2" applyNumberFormat="1" applyFont="1" applyFill="1" applyBorder="1" applyAlignment="1">
      <alignment horizontal="center" vertical="center" wrapText="1"/>
    </xf>
    <xf numFmtId="3" fontId="9" fillId="15" borderId="1" xfId="0" applyNumberFormat="1" applyFont="1" applyFill="1" applyBorder="1" applyAlignment="1">
      <alignment horizontal="center" vertical="center" wrapText="1"/>
    </xf>
    <xf numFmtId="168" fontId="11" fillId="4" borderId="7" xfId="2" applyNumberFormat="1" applyFont="1" applyFill="1" applyBorder="1" applyAlignment="1">
      <alignment horizontal="right"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168" fontId="11" fillId="4" borderId="29" xfId="0" applyNumberFormat="1" applyFont="1" applyFill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/>
    </xf>
    <xf numFmtId="0" fontId="9" fillId="16" borderId="1" xfId="0" applyFont="1" applyFill="1" applyBorder="1" applyAlignment="1">
      <alignment horizontal="left" vertical="center" wrapText="1"/>
    </xf>
    <xf numFmtId="168" fontId="11" fillId="5" borderId="1" xfId="2" applyNumberFormat="1" applyFont="1" applyFill="1" applyBorder="1" applyAlignment="1">
      <alignment horizontal="center" vertical="center" wrapText="1"/>
    </xf>
    <xf numFmtId="3" fontId="9" fillId="16" borderId="1" xfId="0" applyNumberFormat="1" applyFont="1" applyFill="1" applyBorder="1" applyAlignment="1">
      <alignment horizontal="center" vertical="center" wrapText="1"/>
    </xf>
    <xf numFmtId="168" fontId="11" fillId="5" borderId="7" xfId="2" applyNumberFormat="1" applyFont="1" applyFill="1" applyBorder="1" applyAlignment="1">
      <alignment horizontal="right" vertical="center" wrapText="1"/>
    </xf>
    <xf numFmtId="3" fontId="9" fillId="5" borderId="2" xfId="0" applyNumberFormat="1" applyFont="1" applyFill="1" applyBorder="1" applyAlignment="1">
      <alignment horizontal="center" vertical="center" wrapText="1"/>
    </xf>
    <xf numFmtId="168" fontId="11" fillId="5" borderId="4" xfId="0" applyNumberFormat="1" applyFont="1" applyFill="1" applyBorder="1" applyAlignment="1">
      <alignment vertical="center" wrapText="1"/>
    </xf>
    <xf numFmtId="0" fontId="11" fillId="5" borderId="17" xfId="0" applyFont="1" applyFill="1" applyBorder="1" applyAlignment="1">
      <alignment horizontal="center" vertical="center"/>
    </xf>
    <xf numFmtId="0" fontId="9" fillId="16" borderId="18" xfId="0" applyFont="1" applyFill="1" applyBorder="1" applyAlignment="1">
      <alignment horizontal="left" vertical="center" wrapText="1"/>
    </xf>
    <xf numFmtId="168" fontId="11" fillId="5" borderId="18" xfId="2" applyNumberFormat="1" applyFont="1" applyFill="1" applyBorder="1" applyAlignment="1">
      <alignment horizontal="center" vertical="center" wrapText="1"/>
    </xf>
    <xf numFmtId="3" fontId="9" fillId="16" borderId="18" xfId="0" applyNumberFormat="1" applyFont="1" applyFill="1" applyBorder="1" applyAlignment="1">
      <alignment horizontal="center" vertical="center" wrapText="1"/>
    </xf>
    <xf numFmtId="168" fontId="11" fillId="5" borderId="22" xfId="2" applyNumberFormat="1" applyFont="1" applyFill="1" applyBorder="1" applyAlignment="1">
      <alignment horizontal="right" vertical="center" wrapText="1"/>
    </xf>
    <xf numFmtId="3" fontId="9" fillId="5" borderId="23" xfId="0" applyNumberFormat="1" applyFont="1" applyFill="1" applyBorder="1" applyAlignment="1">
      <alignment horizontal="center" vertical="center" wrapText="1"/>
    </xf>
    <xf numFmtId="168" fontId="11" fillId="5" borderId="24" xfId="0" applyNumberFormat="1" applyFont="1" applyFill="1" applyBorder="1" applyAlignment="1">
      <alignment vertical="center" wrapText="1"/>
    </xf>
    <xf numFmtId="0" fontId="12" fillId="11" borderId="6" xfId="0" applyFont="1" applyFill="1" applyBorder="1" applyAlignment="1">
      <alignment horizontal="center" vertical="center" wrapText="1"/>
    </xf>
    <xf numFmtId="43" fontId="12" fillId="11" borderId="17" xfId="2" applyFont="1" applyFill="1" applyBorder="1" applyAlignment="1">
      <alignment horizontal="center" vertical="center" wrapText="1"/>
    </xf>
    <xf numFmtId="168" fontId="12" fillId="11" borderId="19" xfId="0" applyNumberFormat="1" applyFont="1" applyFill="1" applyBorder="1" applyAlignment="1">
      <alignment vertical="center" wrapText="1"/>
    </xf>
    <xf numFmtId="168" fontId="12" fillId="4" borderId="19" xfId="0" applyNumberFormat="1" applyFont="1" applyFill="1" applyBorder="1" applyAlignment="1">
      <alignment vertical="center" wrapText="1"/>
    </xf>
    <xf numFmtId="168" fontId="12" fillId="5" borderId="19" xfId="0" applyNumberFormat="1" applyFont="1" applyFill="1" applyBorder="1" applyAlignment="1">
      <alignment vertical="center" wrapText="1"/>
    </xf>
    <xf numFmtId="0" fontId="12" fillId="11" borderId="1" xfId="0" applyFont="1" applyFill="1" applyBorder="1" applyAlignment="1">
      <alignment horizontal="center"/>
    </xf>
    <xf numFmtId="0" fontId="12" fillId="11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43" fontId="5" fillId="5" borderId="13" xfId="2" applyFont="1" applyFill="1" applyBorder="1" applyAlignment="1">
      <alignment horizontal="center" vertical="center" wrapText="1"/>
    </xf>
    <xf numFmtId="43" fontId="5" fillId="5" borderId="11" xfId="2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right" vertical="center" wrapText="1"/>
    </xf>
    <xf numFmtId="0" fontId="5" fillId="8" borderId="1" xfId="0" applyFont="1" applyFill="1" applyBorder="1" applyAlignment="1">
      <alignment horizontal="right" vertical="center" wrapText="1"/>
    </xf>
    <xf numFmtId="43" fontId="5" fillId="5" borderId="12" xfId="2" applyFont="1" applyFill="1" applyBorder="1" applyAlignment="1">
      <alignment horizontal="center" vertical="center" wrapText="1"/>
    </xf>
    <xf numFmtId="43" fontId="5" fillId="5" borderId="2" xfId="2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wrapText="1"/>
    </xf>
    <xf numFmtId="43" fontId="5" fillId="11" borderId="14" xfId="2" applyFont="1" applyFill="1" applyBorder="1" applyAlignment="1">
      <alignment horizontal="center" vertical="center" wrapText="1"/>
    </xf>
    <xf numFmtId="43" fontId="5" fillId="11" borderId="15" xfId="2" applyFont="1" applyFill="1" applyBorder="1" applyAlignment="1">
      <alignment horizontal="center" vertical="center" wrapText="1"/>
    </xf>
    <xf numFmtId="43" fontId="5" fillId="11" borderId="16" xfId="2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0" fontId="10" fillId="8" borderId="25" xfId="0" applyFont="1" applyFill="1" applyBorder="1" applyAlignment="1">
      <alignment horizontal="center" vertical="center" wrapText="1"/>
    </xf>
    <xf numFmtId="0" fontId="10" fillId="8" borderId="26" xfId="0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horizontal="center" vertical="center" wrapText="1"/>
    </xf>
    <xf numFmtId="0" fontId="10" fillId="11" borderId="31" xfId="0" applyFont="1" applyFill="1" applyBorder="1" applyAlignment="1">
      <alignment horizontal="center" vertical="center" wrapText="1"/>
    </xf>
    <xf numFmtId="0" fontId="10" fillId="11" borderId="22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 wrapText="1"/>
    </xf>
    <xf numFmtId="43" fontId="12" fillId="11" borderId="30" xfId="2" applyFont="1" applyFill="1" applyBorder="1" applyAlignment="1">
      <alignment horizontal="center" vertical="center" wrapText="1"/>
    </xf>
    <xf numFmtId="43" fontId="12" fillId="11" borderId="24" xfId="2" applyFont="1" applyFill="1" applyBorder="1" applyAlignment="1">
      <alignment horizontal="center" vertical="center" wrapText="1"/>
    </xf>
    <xf numFmtId="43" fontId="12" fillId="11" borderId="12" xfId="2" applyFont="1" applyFill="1" applyBorder="1" applyAlignment="1">
      <alignment horizontal="center" vertical="center" wrapText="1"/>
    </xf>
    <xf numFmtId="43" fontId="12" fillId="11" borderId="23" xfId="2" applyFont="1" applyFill="1" applyBorder="1" applyAlignment="1">
      <alignment horizontal="center" vertical="center" wrapText="1"/>
    </xf>
    <xf numFmtId="0" fontId="12" fillId="11" borderId="26" xfId="0" applyFont="1" applyFill="1" applyBorder="1" applyAlignment="1">
      <alignment horizontal="right" vertical="center" wrapText="1"/>
    </xf>
    <xf numFmtId="0" fontId="12" fillId="11" borderId="27" xfId="0" applyFont="1" applyFill="1" applyBorder="1" applyAlignment="1">
      <alignment horizontal="right" vertical="center" wrapText="1"/>
    </xf>
    <xf numFmtId="0" fontId="12" fillId="6" borderId="25" xfId="0" applyFont="1" applyFill="1" applyBorder="1" applyAlignment="1">
      <alignment horizontal="right" vertical="center"/>
    </xf>
    <xf numFmtId="0" fontId="12" fillId="6" borderId="26" xfId="0" applyFont="1" applyFill="1" applyBorder="1" applyAlignment="1">
      <alignment horizontal="right" vertical="center"/>
    </xf>
    <xf numFmtId="0" fontId="12" fillId="6" borderId="27" xfId="0" applyFont="1" applyFill="1" applyBorder="1" applyAlignment="1">
      <alignment horizontal="right" vertical="center"/>
    </xf>
    <xf numFmtId="0" fontId="12" fillId="8" borderId="25" xfId="0" applyFont="1" applyFill="1" applyBorder="1" applyAlignment="1">
      <alignment horizontal="right" vertical="center"/>
    </xf>
    <xf numFmtId="0" fontId="12" fillId="8" borderId="26" xfId="0" applyFont="1" applyFill="1" applyBorder="1" applyAlignment="1">
      <alignment horizontal="right" vertical="center"/>
    </xf>
    <xf numFmtId="0" fontId="12" fillId="8" borderId="27" xfId="0" applyFont="1" applyFill="1" applyBorder="1" applyAlignment="1">
      <alignment horizontal="right" vertical="center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right" vertical="center"/>
    </xf>
    <xf numFmtId="0" fontId="12" fillId="4" borderId="26" xfId="0" applyFont="1" applyFill="1" applyBorder="1" applyAlignment="1">
      <alignment horizontal="right" vertical="center"/>
    </xf>
    <xf numFmtId="0" fontId="12" fillId="4" borderId="27" xfId="0" applyFont="1" applyFill="1" applyBorder="1" applyAlignment="1">
      <alignment horizontal="right" vertical="center"/>
    </xf>
    <xf numFmtId="0" fontId="12" fillId="5" borderId="25" xfId="0" applyFont="1" applyFill="1" applyBorder="1" applyAlignment="1">
      <alignment horizontal="right" vertical="center"/>
    </xf>
    <xf numFmtId="0" fontId="12" fillId="5" borderId="26" xfId="0" applyFont="1" applyFill="1" applyBorder="1" applyAlignment="1">
      <alignment horizontal="right" vertical="center"/>
    </xf>
    <xf numFmtId="0" fontId="12" fillId="5" borderId="27" xfId="0" applyFont="1" applyFill="1" applyBorder="1" applyAlignment="1">
      <alignment horizontal="right" vertical="center"/>
    </xf>
    <xf numFmtId="0" fontId="10" fillId="5" borderId="25" xfId="0" applyFont="1" applyFill="1" applyBorder="1" applyAlignment="1">
      <alignment horizontal="center" vertical="center" wrapText="1"/>
    </xf>
    <xf numFmtId="0" fontId="10" fillId="5" borderId="26" xfId="0" applyFont="1" applyFill="1" applyBorder="1" applyAlignment="1">
      <alignment horizontal="center" vertical="center" wrapText="1"/>
    </xf>
    <xf numFmtId="0" fontId="10" fillId="5" borderId="27" xfId="0" applyFont="1" applyFill="1" applyBorder="1" applyAlignment="1">
      <alignment horizontal="center" vertical="center" wrapText="1"/>
    </xf>
  </cellXfs>
  <cellStyles count="15">
    <cellStyle name="Currency" xfId="13" xr:uid="{00000000-0005-0000-0000-000000000000}"/>
    <cellStyle name="Hipervínculo 2" xfId="5" xr:uid="{00000000-0005-0000-0000-000001000000}"/>
    <cellStyle name="Millares" xfId="2" builtinId="3"/>
    <cellStyle name="Millares [0] 2" xfId="6" xr:uid="{00000000-0005-0000-0000-000003000000}"/>
    <cellStyle name="Millares 15 2 3" xfId="7" xr:uid="{00000000-0005-0000-0000-000004000000}"/>
    <cellStyle name="Millares 2" xfId="4" xr:uid="{00000000-0005-0000-0000-000005000000}"/>
    <cellStyle name="Millares 3" xfId="8" xr:uid="{00000000-0005-0000-0000-000006000000}"/>
    <cellStyle name="Moneda" xfId="14" builtinId="4"/>
    <cellStyle name="Moneda 2" xfId="9" xr:uid="{00000000-0005-0000-0000-000007000000}"/>
    <cellStyle name="Normal" xfId="0" builtinId="0"/>
    <cellStyle name="Normal 2" xfId="10" xr:uid="{00000000-0005-0000-0000-000009000000}"/>
    <cellStyle name="Normal 2 2" xfId="1" xr:uid="{00000000-0005-0000-0000-00000A000000}"/>
    <cellStyle name="Normal 3" xfId="11" xr:uid="{00000000-0005-0000-0000-00000B000000}"/>
    <cellStyle name="Normal 4" xfId="12" xr:uid="{00000000-0005-0000-0000-00000C000000}"/>
    <cellStyle name="Porcentaje" xfId="3" builtinId="5"/>
  </cellStyles>
  <dxfs count="0"/>
  <tableStyles count="0" defaultTableStyle="TableStyleMedium2" defaultPivotStyle="PivotStyleMedium9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F0F22-5ADD-4CB2-9A3B-B9440B19799C}">
  <dimension ref="A1:S18"/>
  <sheetViews>
    <sheetView topLeftCell="G1" workbookViewId="0">
      <selection activeCell="Q1" sqref="Q1:S1"/>
    </sheetView>
  </sheetViews>
  <sheetFormatPr baseColWidth="10" defaultRowHeight="14.4" x14ac:dyDescent="0.3"/>
  <cols>
    <col min="2" max="2" width="50.88671875" customWidth="1"/>
    <col min="3" max="4" width="11.5546875" customWidth="1"/>
    <col min="5" max="5" width="13.109375" customWidth="1"/>
    <col min="6" max="6" width="9.21875" customWidth="1"/>
    <col min="7" max="7" width="20.44140625" customWidth="1"/>
    <col min="8" max="8" width="13.109375" customWidth="1"/>
    <col min="9" max="9" width="8.109375" customWidth="1"/>
    <col min="10" max="10" width="21.21875" customWidth="1"/>
    <col min="11" max="11" width="13.109375" customWidth="1"/>
    <col min="12" max="12" width="9.6640625" customWidth="1"/>
    <col min="13" max="13" width="21" customWidth="1"/>
    <col min="14" max="14" width="15.33203125" customWidth="1"/>
    <col min="15" max="15" width="11.5546875" customWidth="1"/>
    <col min="16" max="16" width="21" customWidth="1"/>
    <col min="17" max="17" width="13.109375" customWidth="1"/>
    <col min="18" max="18" width="11.5546875" customWidth="1"/>
    <col min="19" max="19" width="21" bestFit="1" customWidth="1"/>
    <col min="20" max="20" width="11.5546875" customWidth="1"/>
    <col min="22" max="22" width="11.5546875" customWidth="1"/>
  </cols>
  <sheetData>
    <row r="1" spans="1:19" ht="25.2" customHeight="1" x14ac:dyDescent="0.3">
      <c r="A1" s="132" t="s">
        <v>0</v>
      </c>
      <c r="B1" s="132" t="s">
        <v>7</v>
      </c>
      <c r="C1" s="132" t="s">
        <v>10</v>
      </c>
      <c r="D1" s="132" t="s">
        <v>5</v>
      </c>
      <c r="E1" s="130" t="s">
        <v>28</v>
      </c>
      <c r="F1" s="130"/>
      <c r="G1" s="130"/>
      <c r="H1" s="130" t="s">
        <v>29</v>
      </c>
      <c r="I1" s="130"/>
      <c r="J1" s="130"/>
      <c r="K1" s="130" t="s">
        <v>64</v>
      </c>
      <c r="L1" s="130"/>
      <c r="M1" s="130"/>
      <c r="N1" s="130" t="s">
        <v>65</v>
      </c>
      <c r="O1" s="130"/>
      <c r="P1" s="130"/>
      <c r="Q1" s="131" t="s">
        <v>66</v>
      </c>
      <c r="R1" s="131"/>
      <c r="S1" s="131"/>
    </row>
    <row r="2" spans="1:19" x14ac:dyDescent="0.3">
      <c r="A2" s="132"/>
      <c r="B2" s="132"/>
      <c r="C2" s="132"/>
      <c r="D2" s="132"/>
      <c r="E2" s="48" t="s">
        <v>11</v>
      </c>
      <c r="F2" s="48" t="s">
        <v>27</v>
      </c>
      <c r="G2" s="48" t="s">
        <v>30</v>
      </c>
      <c r="H2" s="48" t="s">
        <v>11</v>
      </c>
      <c r="I2" s="48" t="s">
        <v>27</v>
      </c>
      <c r="J2" s="48" t="s">
        <v>30</v>
      </c>
      <c r="K2" s="48" t="s">
        <v>11</v>
      </c>
      <c r="L2" s="48" t="s">
        <v>27</v>
      </c>
      <c r="M2" s="48" t="s">
        <v>30</v>
      </c>
      <c r="N2" s="48" t="s">
        <v>11</v>
      </c>
      <c r="O2" s="48" t="s">
        <v>27</v>
      </c>
      <c r="P2" s="48" t="s">
        <v>30</v>
      </c>
      <c r="Q2" s="48" t="s">
        <v>11</v>
      </c>
      <c r="R2" s="48" t="s">
        <v>27</v>
      </c>
      <c r="S2" s="48" t="s">
        <v>30</v>
      </c>
    </row>
    <row r="3" spans="1:19" ht="26.4" x14ac:dyDescent="0.3">
      <c r="A3" s="19">
        <v>1</v>
      </c>
      <c r="B3" s="15" t="s">
        <v>12</v>
      </c>
      <c r="C3" s="20" t="s">
        <v>26</v>
      </c>
      <c r="D3" s="17">
        <v>341</v>
      </c>
      <c r="E3" s="21">
        <v>15300</v>
      </c>
      <c r="F3" s="21">
        <f>ROUND(E3*19%,0)</f>
        <v>2907</v>
      </c>
      <c r="G3" s="21">
        <f>ROUND(E3+F3,0)</f>
        <v>18207</v>
      </c>
      <c r="H3" s="21">
        <v>15000</v>
      </c>
      <c r="I3" s="21">
        <f>ROUND(H3*19%,0)</f>
        <v>2850</v>
      </c>
      <c r="J3" s="21">
        <f>ROUND(H3+I3,0)</f>
        <v>17850</v>
      </c>
      <c r="K3" s="21">
        <v>24000</v>
      </c>
      <c r="L3" s="21">
        <f>ROUND(K3*19%,0)</f>
        <v>4560</v>
      </c>
      <c r="M3" s="21">
        <f>ROUND(K3+L3,0)</f>
        <v>28560</v>
      </c>
      <c r="N3" s="21">
        <v>0</v>
      </c>
      <c r="O3" s="21">
        <f>ROUND(N3*19%,0)</f>
        <v>0</v>
      </c>
      <c r="P3" s="21">
        <f>ROUND(N3+O3,0)</f>
        <v>0</v>
      </c>
      <c r="Q3" s="21">
        <v>18460</v>
      </c>
      <c r="R3" s="21">
        <f>ROUND(Q3*19%,0)</f>
        <v>3507</v>
      </c>
      <c r="S3" s="21">
        <f>ROUND(Q3+R3,0)</f>
        <v>21967</v>
      </c>
    </row>
    <row r="4" spans="1:19" ht="26.4" x14ac:dyDescent="0.3">
      <c r="A4" s="19">
        <v>2</v>
      </c>
      <c r="B4" s="15" t="s">
        <v>13</v>
      </c>
      <c r="C4" s="20" t="s">
        <v>26</v>
      </c>
      <c r="D4" s="17">
        <v>118</v>
      </c>
      <c r="E4" s="21">
        <v>18100</v>
      </c>
      <c r="F4" s="21">
        <f t="shared" ref="F4:F16" si="0">ROUND(E4*19%,0)</f>
        <v>3439</v>
      </c>
      <c r="G4" s="21">
        <f t="shared" ref="G4:G16" si="1">ROUND(E4+F4,0)</f>
        <v>21539</v>
      </c>
      <c r="H4" s="21">
        <v>17000</v>
      </c>
      <c r="I4" s="21">
        <f t="shared" ref="I4:I16" si="2">ROUND(H4*19%,0)</f>
        <v>3230</v>
      </c>
      <c r="J4" s="21">
        <f t="shared" ref="J4:J16" si="3">ROUND(H4+I4,0)</f>
        <v>20230</v>
      </c>
      <c r="K4" s="21">
        <v>32900</v>
      </c>
      <c r="L4" s="21">
        <f t="shared" ref="L4:L16" si="4">ROUND(K4*19%,0)</f>
        <v>6251</v>
      </c>
      <c r="M4" s="21">
        <f t="shared" ref="M4:M16" si="5">ROUND(K4+L4,0)</f>
        <v>39151</v>
      </c>
      <c r="N4" s="21">
        <v>0</v>
      </c>
      <c r="O4" s="21">
        <f t="shared" ref="O4:O16" si="6">ROUND(N4*19%,0)</f>
        <v>0</v>
      </c>
      <c r="P4" s="21">
        <f t="shared" ref="P4:P16" si="7">ROUND(N4+O4,0)</f>
        <v>0</v>
      </c>
      <c r="Q4" s="21">
        <v>20770</v>
      </c>
      <c r="R4" s="21">
        <f t="shared" ref="R4:R16" si="8">ROUND(Q4*19%,0)</f>
        <v>3946</v>
      </c>
      <c r="S4" s="21">
        <f t="shared" ref="S4:S16" si="9">ROUND(Q4+R4,0)</f>
        <v>24716</v>
      </c>
    </row>
    <row r="5" spans="1:19" ht="26.4" x14ac:dyDescent="0.3">
      <c r="A5" s="19">
        <v>3</v>
      </c>
      <c r="B5" s="15" t="s">
        <v>14</v>
      </c>
      <c r="C5" s="20" t="s">
        <v>26</v>
      </c>
      <c r="D5" s="17">
        <v>4</v>
      </c>
      <c r="E5" s="21">
        <v>104500</v>
      </c>
      <c r="F5" s="21">
        <f t="shared" si="0"/>
        <v>19855</v>
      </c>
      <c r="G5" s="21">
        <f t="shared" si="1"/>
        <v>124355</v>
      </c>
      <c r="H5" s="21">
        <v>50000</v>
      </c>
      <c r="I5" s="21">
        <f t="shared" si="2"/>
        <v>9500</v>
      </c>
      <c r="J5" s="21">
        <f t="shared" si="3"/>
        <v>59500</v>
      </c>
      <c r="K5" s="21">
        <v>174800</v>
      </c>
      <c r="L5" s="21">
        <f t="shared" si="4"/>
        <v>33212</v>
      </c>
      <c r="M5" s="21">
        <f t="shared" si="5"/>
        <v>208012</v>
      </c>
      <c r="N5" s="21">
        <v>0</v>
      </c>
      <c r="O5" s="21">
        <f t="shared" si="6"/>
        <v>0</v>
      </c>
      <c r="P5" s="21">
        <f t="shared" si="7"/>
        <v>0</v>
      </c>
      <c r="Q5" s="21">
        <v>141540</v>
      </c>
      <c r="R5" s="21">
        <f t="shared" si="8"/>
        <v>26893</v>
      </c>
      <c r="S5" s="21">
        <f t="shared" si="9"/>
        <v>168433</v>
      </c>
    </row>
    <row r="6" spans="1:19" ht="26.4" x14ac:dyDescent="0.3">
      <c r="A6" s="19">
        <v>4</v>
      </c>
      <c r="B6" s="15" t="s">
        <v>15</v>
      </c>
      <c r="C6" s="20" t="s">
        <v>26</v>
      </c>
      <c r="D6" s="17">
        <v>8</v>
      </c>
      <c r="E6" s="21">
        <v>15300</v>
      </c>
      <c r="F6" s="21">
        <f t="shared" si="0"/>
        <v>2907</v>
      </c>
      <c r="G6" s="21">
        <f t="shared" si="1"/>
        <v>18207</v>
      </c>
      <c r="H6" s="21">
        <v>15000</v>
      </c>
      <c r="I6" s="21">
        <f t="shared" si="2"/>
        <v>2850</v>
      </c>
      <c r="J6" s="21">
        <f t="shared" si="3"/>
        <v>17850</v>
      </c>
      <c r="K6" s="21">
        <v>22700</v>
      </c>
      <c r="L6" s="21">
        <f t="shared" si="4"/>
        <v>4313</v>
      </c>
      <c r="M6" s="21">
        <f t="shared" si="5"/>
        <v>27013</v>
      </c>
      <c r="N6" s="21">
        <v>0</v>
      </c>
      <c r="O6" s="21">
        <f t="shared" si="6"/>
        <v>0</v>
      </c>
      <c r="P6" s="21">
        <f t="shared" si="7"/>
        <v>0</v>
      </c>
      <c r="Q6" s="21">
        <v>18460</v>
      </c>
      <c r="R6" s="21">
        <f t="shared" si="8"/>
        <v>3507</v>
      </c>
      <c r="S6" s="21">
        <f t="shared" si="9"/>
        <v>21967</v>
      </c>
    </row>
    <row r="7" spans="1:19" x14ac:dyDescent="0.3">
      <c r="A7" s="19">
        <v>5</v>
      </c>
      <c r="B7" s="15" t="s">
        <v>16</v>
      </c>
      <c r="C7" s="20" t="s">
        <v>26</v>
      </c>
      <c r="D7" s="17">
        <v>85</v>
      </c>
      <c r="E7" s="21">
        <v>16300</v>
      </c>
      <c r="F7" s="21">
        <f t="shared" si="0"/>
        <v>3097</v>
      </c>
      <c r="G7" s="21">
        <f t="shared" si="1"/>
        <v>19397</v>
      </c>
      <c r="H7" s="21">
        <v>10000</v>
      </c>
      <c r="I7" s="21">
        <f t="shared" si="2"/>
        <v>1900</v>
      </c>
      <c r="J7" s="21">
        <f t="shared" si="3"/>
        <v>11900</v>
      </c>
      <c r="K7" s="21">
        <v>20800</v>
      </c>
      <c r="L7" s="21">
        <f t="shared" si="4"/>
        <v>3952</v>
      </c>
      <c r="M7" s="21">
        <f t="shared" si="5"/>
        <v>24752</v>
      </c>
      <c r="N7" s="21"/>
      <c r="O7" s="21">
        <f t="shared" si="6"/>
        <v>0</v>
      </c>
      <c r="P7" s="21">
        <f t="shared" si="7"/>
        <v>0</v>
      </c>
      <c r="Q7" s="21">
        <v>20000</v>
      </c>
      <c r="R7" s="21">
        <f t="shared" si="8"/>
        <v>3800</v>
      </c>
      <c r="S7" s="21">
        <f t="shared" si="9"/>
        <v>23800</v>
      </c>
    </row>
    <row r="8" spans="1:19" x14ac:dyDescent="0.3">
      <c r="A8" s="19">
        <v>6</v>
      </c>
      <c r="B8" s="15" t="s">
        <v>17</v>
      </c>
      <c r="C8" s="20" t="s">
        <v>26</v>
      </c>
      <c r="D8" s="17">
        <v>118</v>
      </c>
      <c r="E8" s="21">
        <v>27500</v>
      </c>
      <c r="F8" s="21">
        <f t="shared" si="0"/>
        <v>5225</v>
      </c>
      <c r="G8" s="21">
        <f t="shared" si="1"/>
        <v>32725</v>
      </c>
      <c r="H8" s="21">
        <v>20000</v>
      </c>
      <c r="I8" s="21">
        <f t="shared" si="2"/>
        <v>3800</v>
      </c>
      <c r="J8" s="21">
        <f t="shared" si="3"/>
        <v>23800</v>
      </c>
      <c r="K8" s="21">
        <v>31300</v>
      </c>
      <c r="L8" s="21">
        <f t="shared" si="4"/>
        <v>5947</v>
      </c>
      <c r="M8" s="21">
        <f t="shared" si="5"/>
        <v>37247</v>
      </c>
      <c r="N8" s="21">
        <v>25630.25</v>
      </c>
      <c r="O8" s="21">
        <f t="shared" si="6"/>
        <v>4870</v>
      </c>
      <c r="P8" s="21">
        <f t="shared" si="7"/>
        <v>30500</v>
      </c>
      <c r="Q8" s="21">
        <v>60000</v>
      </c>
      <c r="R8" s="21">
        <f t="shared" si="8"/>
        <v>11400</v>
      </c>
      <c r="S8" s="21">
        <f t="shared" si="9"/>
        <v>71400</v>
      </c>
    </row>
    <row r="9" spans="1:19" x14ac:dyDescent="0.3">
      <c r="A9" s="19">
        <v>7</v>
      </c>
      <c r="B9" s="15" t="s">
        <v>18</v>
      </c>
      <c r="C9" s="20" t="s">
        <v>26</v>
      </c>
      <c r="D9" s="17">
        <v>7</v>
      </c>
      <c r="E9" s="21">
        <v>28500</v>
      </c>
      <c r="F9" s="21">
        <f t="shared" si="0"/>
        <v>5415</v>
      </c>
      <c r="G9" s="21">
        <f t="shared" si="1"/>
        <v>33915</v>
      </c>
      <c r="H9" s="21">
        <v>30000</v>
      </c>
      <c r="I9" s="21">
        <f t="shared" si="2"/>
        <v>5700</v>
      </c>
      <c r="J9" s="21">
        <f t="shared" si="3"/>
        <v>35700</v>
      </c>
      <c r="K9" s="21">
        <v>31300</v>
      </c>
      <c r="L9" s="21">
        <f t="shared" si="4"/>
        <v>5947</v>
      </c>
      <c r="M9" s="21">
        <f t="shared" si="5"/>
        <v>37247</v>
      </c>
      <c r="N9" s="21">
        <v>38235.29</v>
      </c>
      <c r="O9" s="21">
        <f t="shared" si="6"/>
        <v>7265</v>
      </c>
      <c r="P9" s="21">
        <f t="shared" si="7"/>
        <v>45500</v>
      </c>
      <c r="Q9" s="21">
        <v>69230</v>
      </c>
      <c r="R9" s="21">
        <f t="shared" si="8"/>
        <v>13154</v>
      </c>
      <c r="S9" s="21">
        <f t="shared" si="9"/>
        <v>82384</v>
      </c>
    </row>
    <row r="10" spans="1:19" ht="26.4" x14ac:dyDescent="0.3">
      <c r="A10" s="19">
        <v>8</v>
      </c>
      <c r="B10" s="15" t="s">
        <v>19</v>
      </c>
      <c r="C10" s="20" t="s">
        <v>26</v>
      </c>
      <c r="D10" s="17">
        <v>118</v>
      </c>
      <c r="E10" s="21">
        <v>22000</v>
      </c>
      <c r="F10" s="21">
        <f t="shared" si="0"/>
        <v>4180</v>
      </c>
      <c r="G10" s="21">
        <f t="shared" si="1"/>
        <v>26180</v>
      </c>
      <c r="H10" s="21">
        <v>30000</v>
      </c>
      <c r="I10" s="21">
        <f t="shared" si="2"/>
        <v>5700</v>
      </c>
      <c r="J10" s="21">
        <f t="shared" si="3"/>
        <v>35700</v>
      </c>
      <c r="K10" s="21">
        <v>19500</v>
      </c>
      <c r="L10" s="21">
        <f t="shared" si="4"/>
        <v>3705</v>
      </c>
      <c r="M10" s="21">
        <f t="shared" si="5"/>
        <v>23205</v>
      </c>
      <c r="N10" s="21">
        <v>0</v>
      </c>
      <c r="O10" s="21">
        <f t="shared" si="6"/>
        <v>0</v>
      </c>
      <c r="P10" s="21">
        <f t="shared" si="7"/>
        <v>0</v>
      </c>
      <c r="Q10" s="21">
        <v>92310</v>
      </c>
      <c r="R10" s="21">
        <f t="shared" si="8"/>
        <v>17539</v>
      </c>
      <c r="S10" s="21">
        <f t="shared" si="9"/>
        <v>109849</v>
      </c>
    </row>
    <row r="11" spans="1:19" ht="26.4" x14ac:dyDescent="0.3">
      <c r="A11" s="19">
        <v>9</v>
      </c>
      <c r="B11" s="15" t="s">
        <v>20</v>
      </c>
      <c r="C11" s="20" t="s">
        <v>26</v>
      </c>
      <c r="D11" s="17">
        <v>7</v>
      </c>
      <c r="E11" s="21">
        <v>30000</v>
      </c>
      <c r="F11" s="21">
        <f t="shared" si="0"/>
        <v>5700</v>
      </c>
      <c r="G11" s="21">
        <f t="shared" si="1"/>
        <v>35700</v>
      </c>
      <c r="H11" s="21">
        <v>30000</v>
      </c>
      <c r="I11" s="21">
        <f t="shared" si="2"/>
        <v>5700</v>
      </c>
      <c r="J11" s="21">
        <f t="shared" si="3"/>
        <v>35700</v>
      </c>
      <c r="K11" s="21">
        <v>24400</v>
      </c>
      <c r="L11" s="21">
        <f t="shared" si="4"/>
        <v>4636</v>
      </c>
      <c r="M11" s="21">
        <f t="shared" si="5"/>
        <v>29036</v>
      </c>
      <c r="N11" s="21">
        <v>0</v>
      </c>
      <c r="O11" s="21">
        <f t="shared" si="6"/>
        <v>0</v>
      </c>
      <c r="P11" s="21">
        <f t="shared" si="7"/>
        <v>0</v>
      </c>
      <c r="Q11" s="21">
        <v>123080</v>
      </c>
      <c r="R11" s="21">
        <f t="shared" si="8"/>
        <v>23385</v>
      </c>
      <c r="S11" s="21">
        <f t="shared" si="9"/>
        <v>146465</v>
      </c>
    </row>
    <row r="12" spans="1:19" ht="26.4" x14ac:dyDescent="0.3">
      <c r="A12" s="19">
        <v>10</v>
      </c>
      <c r="B12" s="15" t="s">
        <v>21</v>
      </c>
      <c r="C12" s="20" t="s">
        <v>26</v>
      </c>
      <c r="D12" s="17">
        <v>1</v>
      </c>
      <c r="E12" s="21">
        <v>8000</v>
      </c>
      <c r="F12" s="21">
        <f t="shared" si="0"/>
        <v>1520</v>
      </c>
      <c r="G12" s="21">
        <f t="shared" si="1"/>
        <v>9520</v>
      </c>
      <c r="H12" s="21"/>
      <c r="I12" s="21">
        <f t="shared" si="2"/>
        <v>0</v>
      </c>
      <c r="J12" s="21">
        <f t="shared" si="3"/>
        <v>0</v>
      </c>
      <c r="K12" s="21">
        <v>27800</v>
      </c>
      <c r="L12" s="21">
        <f t="shared" si="4"/>
        <v>5282</v>
      </c>
      <c r="M12" s="21">
        <f t="shared" si="5"/>
        <v>33082</v>
      </c>
      <c r="N12" s="21">
        <v>0</v>
      </c>
      <c r="O12" s="21">
        <f t="shared" si="6"/>
        <v>0</v>
      </c>
      <c r="P12" s="21">
        <f t="shared" si="7"/>
        <v>0</v>
      </c>
      <c r="Q12" s="21">
        <v>18460</v>
      </c>
      <c r="R12" s="21">
        <f t="shared" si="8"/>
        <v>3507</v>
      </c>
      <c r="S12" s="21">
        <f t="shared" si="9"/>
        <v>21967</v>
      </c>
    </row>
    <row r="13" spans="1:19" ht="26.4" x14ac:dyDescent="0.3">
      <c r="A13" s="19">
        <v>11</v>
      </c>
      <c r="B13" s="15" t="s">
        <v>22</v>
      </c>
      <c r="C13" s="20" t="s">
        <v>26</v>
      </c>
      <c r="D13" s="17">
        <v>1</v>
      </c>
      <c r="E13" s="21">
        <v>8000</v>
      </c>
      <c r="F13" s="21">
        <f t="shared" si="0"/>
        <v>1520</v>
      </c>
      <c r="G13" s="21">
        <f t="shared" si="1"/>
        <v>9520</v>
      </c>
      <c r="H13" s="21"/>
      <c r="I13" s="21">
        <f t="shared" si="2"/>
        <v>0</v>
      </c>
      <c r="J13" s="21">
        <f t="shared" si="3"/>
        <v>0</v>
      </c>
      <c r="K13" s="21">
        <v>36800</v>
      </c>
      <c r="L13" s="21">
        <f t="shared" si="4"/>
        <v>6992</v>
      </c>
      <c r="M13" s="21">
        <f t="shared" si="5"/>
        <v>43792</v>
      </c>
      <c r="N13" s="21">
        <v>0</v>
      </c>
      <c r="O13" s="21">
        <f t="shared" si="6"/>
        <v>0</v>
      </c>
      <c r="P13" s="21">
        <f t="shared" si="7"/>
        <v>0</v>
      </c>
      <c r="Q13" s="21">
        <v>20770</v>
      </c>
      <c r="R13" s="21">
        <f t="shared" si="8"/>
        <v>3946</v>
      </c>
      <c r="S13" s="21">
        <f t="shared" si="9"/>
        <v>24716</v>
      </c>
    </row>
    <row r="14" spans="1:19" ht="26.4" x14ac:dyDescent="0.3">
      <c r="A14" s="19">
        <v>12</v>
      </c>
      <c r="B14" s="15" t="s">
        <v>23</v>
      </c>
      <c r="C14" s="20" t="s">
        <v>26</v>
      </c>
      <c r="D14" s="17">
        <v>1</v>
      </c>
      <c r="E14" s="21">
        <v>28000</v>
      </c>
      <c r="F14" s="21">
        <f t="shared" si="0"/>
        <v>5320</v>
      </c>
      <c r="G14" s="21">
        <f t="shared" si="1"/>
        <v>33320</v>
      </c>
      <c r="H14" s="21"/>
      <c r="I14" s="21">
        <f t="shared" si="2"/>
        <v>0</v>
      </c>
      <c r="J14" s="21">
        <f t="shared" si="3"/>
        <v>0</v>
      </c>
      <c r="K14" s="21">
        <v>622500</v>
      </c>
      <c r="L14" s="21">
        <f t="shared" si="4"/>
        <v>118275</v>
      </c>
      <c r="M14" s="21">
        <f t="shared" si="5"/>
        <v>740775</v>
      </c>
      <c r="N14" s="21">
        <v>0</v>
      </c>
      <c r="O14" s="21">
        <f t="shared" si="6"/>
        <v>0</v>
      </c>
      <c r="P14" s="21">
        <f t="shared" si="7"/>
        <v>0</v>
      </c>
      <c r="Q14" s="21">
        <v>141540</v>
      </c>
      <c r="R14" s="21">
        <f t="shared" si="8"/>
        <v>26893</v>
      </c>
      <c r="S14" s="21">
        <f t="shared" si="9"/>
        <v>168433</v>
      </c>
    </row>
    <row r="15" spans="1:19" ht="26.4" x14ac:dyDescent="0.3">
      <c r="A15" s="19">
        <v>13</v>
      </c>
      <c r="B15" s="15" t="s">
        <v>24</v>
      </c>
      <c r="C15" s="20" t="s">
        <v>26</v>
      </c>
      <c r="D15" s="17">
        <v>1</v>
      </c>
      <c r="E15" s="21">
        <v>8000</v>
      </c>
      <c r="F15" s="21">
        <f t="shared" si="0"/>
        <v>1520</v>
      </c>
      <c r="G15" s="21">
        <f t="shared" si="1"/>
        <v>9520</v>
      </c>
      <c r="H15" s="21"/>
      <c r="I15" s="21">
        <f t="shared" si="2"/>
        <v>0</v>
      </c>
      <c r="J15" s="21">
        <f t="shared" si="3"/>
        <v>0</v>
      </c>
      <c r="K15" s="21">
        <v>27800</v>
      </c>
      <c r="L15" s="21">
        <f t="shared" si="4"/>
        <v>5282</v>
      </c>
      <c r="M15" s="21">
        <f t="shared" si="5"/>
        <v>33082</v>
      </c>
      <c r="N15" s="21">
        <v>0</v>
      </c>
      <c r="O15" s="21">
        <f t="shared" si="6"/>
        <v>0</v>
      </c>
      <c r="P15" s="21">
        <f t="shared" si="7"/>
        <v>0</v>
      </c>
      <c r="Q15" s="21">
        <v>18460</v>
      </c>
      <c r="R15" s="21">
        <f t="shared" si="8"/>
        <v>3507</v>
      </c>
      <c r="S15" s="21">
        <f t="shared" si="9"/>
        <v>21967</v>
      </c>
    </row>
    <row r="16" spans="1:19" ht="26.4" x14ac:dyDescent="0.3">
      <c r="A16" s="19">
        <v>14</v>
      </c>
      <c r="B16" s="15" t="s">
        <v>25</v>
      </c>
      <c r="C16" s="20" t="s">
        <v>26</v>
      </c>
      <c r="D16" s="17">
        <v>1</v>
      </c>
      <c r="E16" s="21">
        <v>8000</v>
      </c>
      <c r="F16" s="21">
        <f t="shared" si="0"/>
        <v>1520</v>
      </c>
      <c r="G16" s="21">
        <f t="shared" si="1"/>
        <v>9520</v>
      </c>
      <c r="H16" s="21"/>
      <c r="I16" s="21">
        <f t="shared" si="2"/>
        <v>0</v>
      </c>
      <c r="J16" s="21">
        <f t="shared" si="3"/>
        <v>0</v>
      </c>
      <c r="K16" s="21">
        <v>101300</v>
      </c>
      <c r="L16" s="21">
        <f t="shared" si="4"/>
        <v>19247</v>
      </c>
      <c r="M16" s="21">
        <f t="shared" si="5"/>
        <v>120547</v>
      </c>
      <c r="N16" s="21">
        <v>0</v>
      </c>
      <c r="O16" s="21">
        <f t="shared" si="6"/>
        <v>0</v>
      </c>
      <c r="P16" s="21">
        <f t="shared" si="7"/>
        <v>0</v>
      </c>
      <c r="Q16" s="21">
        <v>20000</v>
      </c>
      <c r="R16" s="21">
        <f t="shared" si="8"/>
        <v>3800</v>
      </c>
      <c r="S16" s="21">
        <f t="shared" si="9"/>
        <v>23800</v>
      </c>
    </row>
    <row r="17" spans="14:15" x14ac:dyDescent="0.3">
      <c r="N17" s="58">
        <v>30500</v>
      </c>
      <c r="O17" s="59">
        <f>N17/1.19</f>
        <v>25630.252100840338</v>
      </c>
    </row>
    <row r="18" spans="14:15" x14ac:dyDescent="0.3">
      <c r="N18" s="58">
        <v>45500</v>
      </c>
      <c r="O18" s="59">
        <f>N18/1.19</f>
        <v>38235.294117647063</v>
      </c>
    </row>
  </sheetData>
  <mergeCells count="9">
    <mergeCell ref="N1:P1"/>
    <mergeCell ref="Q1:S1"/>
    <mergeCell ref="K1:M1"/>
    <mergeCell ref="A1:A2"/>
    <mergeCell ref="B1:B2"/>
    <mergeCell ref="C1:C2"/>
    <mergeCell ref="D1:D2"/>
    <mergeCell ref="H1:J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6EF64-14F4-4252-B03E-802C8F78FA96}">
  <dimension ref="A1:AD23"/>
  <sheetViews>
    <sheetView topLeftCell="A13" zoomScale="90" zoomScaleNormal="90" workbookViewId="0">
      <selection activeCell="J2" sqref="J2"/>
    </sheetView>
  </sheetViews>
  <sheetFormatPr baseColWidth="10" defaultColWidth="11.44140625" defaultRowHeight="13.2" x14ac:dyDescent="0.3"/>
  <cols>
    <col min="1" max="1" width="5.44140625" style="2" customWidth="1"/>
    <col min="2" max="2" width="22" style="3" customWidth="1"/>
    <col min="3" max="3" width="12.88671875" style="3" customWidth="1"/>
    <col min="4" max="4" width="9.5546875" style="18" customWidth="1"/>
    <col min="5" max="5" width="13.33203125" style="6" customWidth="1"/>
    <col min="6" max="6" width="17.44140625" style="6" customWidth="1"/>
    <col min="7" max="10" width="13.33203125" style="6" customWidth="1"/>
    <col min="11" max="11" width="11.44140625" style="4" customWidth="1"/>
    <col min="12" max="12" width="12.44140625" style="4" customWidth="1"/>
    <col min="13" max="14" width="11.44140625" style="4" customWidth="1"/>
    <col min="15" max="15" width="11.109375" style="4" customWidth="1"/>
    <col min="16" max="16" width="12.109375" style="7" customWidth="1"/>
    <col min="17" max="17" width="11.6640625" style="4" customWidth="1"/>
    <col min="18" max="18" width="12.6640625" style="6" customWidth="1"/>
    <col min="19" max="19" width="17.109375" style="4" customWidth="1"/>
    <col min="20" max="20" width="13.6640625" style="1" customWidth="1"/>
    <col min="21" max="21" width="14.44140625" style="1" bestFit="1" customWidth="1"/>
    <col min="22" max="22" width="11.44140625" style="1"/>
    <col min="23" max="23" width="19.33203125" style="1" customWidth="1"/>
    <col min="24" max="27" width="11.44140625" style="1"/>
    <col min="28" max="28" width="18" style="1" customWidth="1"/>
    <col min="29" max="16384" width="11.44140625" style="1"/>
  </cols>
  <sheetData>
    <row r="1" spans="1:30" ht="69.599999999999994" customHeight="1" x14ac:dyDescent="0.25">
      <c r="A1" s="141" t="s">
        <v>0</v>
      </c>
      <c r="B1" s="141" t="s">
        <v>7</v>
      </c>
      <c r="C1" s="141" t="s">
        <v>10</v>
      </c>
      <c r="D1" s="142" t="s">
        <v>5</v>
      </c>
      <c r="E1" s="49" t="s">
        <v>28</v>
      </c>
      <c r="F1" s="49" t="s">
        <v>44</v>
      </c>
      <c r="G1" s="49" t="s">
        <v>64</v>
      </c>
      <c r="H1" s="50" t="s">
        <v>65</v>
      </c>
      <c r="I1" s="50" t="s">
        <v>66</v>
      </c>
      <c r="J1" s="143" t="s">
        <v>3</v>
      </c>
      <c r="K1" s="144"/>
      <c r="L1" s="144"/>
      <c r="M1" s="144"/>
      <c r="N1" s="144"/>
      <c r="O1" s="144"/>
      <c r="P1" s="144"/>
      <c r="Q1" s="144"/>
      <c r="R1" s="145"/>
      <c r="S1" s="55" t="s">
        <v>4</v>
      </c>
      <c r="T1" s="139" t="s">
        <v>9</v>
      </c>
      <c r="U1" s="134" t="s">
        <v>8</v>
      </c>
      <c r="V1" s="136" t="s">
        <v>55</v>
      </c>
      <c r="W1" s="136"/>
      <c r="X1" s="136"/>
      <c r="Y1" s="136"/>
      <c r="Z1" s="136"/>
      <c r="AA1" s="136"/>
    </row>
    <row r="2" spans="1:30" ht="80.400000000000006" customHeight="1" x14ac:dyDescent="0.25">
      <c r="A2" s="141"/>
      <c r="B2" s="141"/>
      <c r="C2" s="141"/>
      <c r="D2" s="142"/>
      <c r="E2" s="51" t="s">
        <v>41</v>
      </c>
      <c r="F2" s="51" t="s">
        <v>42</v>
      </c>
      <c r="G2" s="51" t="s">
        <v>43</v>
      </c>
      <c r="H2" s="51" t="s">
        <v>43</v>
      </c>
      <c r="I2" s="51" t="s">
        <v>43</v>
      </c>
      <c r="J2" s="52" t="s">
        <v>32</v>
      </c>
      <c r="K2" s="49" t="s">
        <v>33</v>
      </c>
      <c r="L2" s="49" t="s">
        <v>34</v>
      </c>
      <c r="M2" s="49" t="s">
        <v>37</v>
      </c>
      <c r="N2" s="49" t="s">
        <v>38</v>
      </c>
      <c r="O2" s="49" t="s">
        <v>35</v>
      </c>
      <c r="P2" s="53" t="s">
        <v>1</v>
      </c>
      <c r="Q2" s="49" t="s">
        <v>6</v>
      </c>
      <c r="R2" s="54" t="s">
        <v>2</v>
      </c>
      <c r="S2" s="56" t="s">
        <v>41</v>
      </c>
      <c r="T2" s="140"/>
      <c r="U2" s="135"/>
      <c r="V2" s="35"/>
      <c r="W2" s="35"/>
      <c r="X2" s="38" t="s">
        <v>53</v>
      </c>
      <c r="Y2" s="38" t="s">
        <v>54</v>
      </c>
      <c r="Z2" s="43">
        <v>1</v>
      </c>
      <c r="AA2" s="36"/>
    </row>
    <row r="3" spans="1:30" s="5" customFormat="1" ht="54" customHeight="1" x14ac:dyDescent="0.25">
      <c r="A3" s="11">
        <v>1</v>
      </c>
      <c r="B3" s="15" t="s">
        <v>12</v>
      </c>
      <c r="C3" s="14" t="s">
        <v>26</v>
      </c>
      <c r="D3" s="17">
        <v>341</v>
      </c>
      <c r="E3" s="13">
        <f>'COTIZACIONES '!G3</f>
        <v>18207</v>
      </c>
      <c r="F3" s="13">
        <f>'COTIZACIONES '!J3</f>
        <v>17850</v>
      </c>
      <c r="G3" s="60">
        <f>'COTIZACIONES '!M3</f>
        <v>28560</v>
      </c>
      <c r="H3" s="47"/>
      <c r="I3" s="47">
        <f>'COTIZACIONES '!S3</f>
        <v>21967</v>
      </c>
      <c r="J3" s="16">
        <f t="shared" ref="J3:J17" si="0">MIN(E3:I3)</f>
        <v>17850</v>
      </c>
      <c r="K3" s="8">
        <f t="shared" ref="K3:K11" si="1">AVERAGE(E3:I3)</f>
        <v>21646</v>
      </c>
      <c r="L3" s="8">
        <f t="shared" ref="L3:L11" si="2">GEOMEAN(E3:I3)</f>
        <v>21249.63092772898</v>
      </c>
      <c r="M3" s="8">
        <f t="shared" ref="M3:M11" si="3">MEDIAN(E3:I3)</f>
        <v>20087</v>
      </c>
      <c r="N3" s="8">
        <f t="shared" ref="N3:N11" si="4">HARMEAN(E3:I3)</f>
        <v>20889.563837184523</v>
      </c>
      <c r="O3" s="8">
        <f t="shared" ref="O3:O11" si="5">STDEVA(E3:I3)</f>
        <v>4971.3436815412388</v>
      </c>
      <c r="P3" s="12">
        <f t="shared" ref="P3:P17" si="6">O3/K3</f>
        <v>0.22966569719769189</v>
      </c>
      <c r="Q3" s="8">
        <f>L3</f>
        <v>21249.63092772898</v>
      </c>
      <c r="R3" s="57" t="s">
        <v>34</v>
      </c>
      <c r="S3" s="10">
        <f>ROUND(Q3,0)</f>
        <v>21250</v>
      </c>
      <c r="T3" s="22">
        <f t="shared" ref="T3:T11" si="7">D3</f>
        <v>341</v>
      </c>
      <c r="U3" s="29">
        <f>ROUND(S3*T3,0)</f>
        <v>7246250</v>
      </c>
      <c r="V3" s="37">
        <f>U3+U4+U5+U6+U7</f>
        <v>12560585</v>
      </c>
      <c r="W3" s="38" t="s">
        <v>50</v>
      </c>
      <c r="X3" s="39">
        <f>V3*30%</f>
        <v>3768175.5</v>
      </c>
      <c r="Y3" s="39">
        <f>V3-X3</f>
        <v>8792409.5</v>
      </c>
      <c r="Z3" s="39">
        <f>X3+Y3</f>
        <v>12560585</v>
      </c>
      <c r="AA3" s="40"/>
      <c r="AB3" s="38" t="s">
        <v>57</v>
      </c>
      <c r="AC3" s="38" t="s">
        <v>56</v>
      </c>
      <c r="AD3" s="37">
        <f>V3</f>
        <v>12560585</v>
      </c>
    </row>
    <row r="4" spans="1:30" ht="39.6" x14ac:dyDescent="0.25">
      <c r="A4" s="11">
        <v>2</v>
      </c>
      <c r="B4" s="15" t="s">
        <v>13</v>
      </c>
      <c r="C4" s="14" t="s">
        <v>26</v>
      </c>
      <c r="D4" s="17">
        <v>118</v>
      </c>
      <c r="E4" s="13">
        <f>'COTIZACIONES '!G4</f>
        <v>21539</v>
      </c>
      <c r="F4" s="13">
        <f>'COTIZACIONES '!J4</f>
        <v>20230</v>
      </c>
      <c r="G4" s="60">
        <f>'COTIZACIONES '!M4</f>
        <v>39151</v>
      </c>
      <c r="H4" s="47"/>
      <c r="I4" s="47">
        <f>'COTIZACIONES '!S4</f>
        <v>24716</v>
      </c>
      <c r="J4" s="16">
        <f t="shared" si="0"/>
        <v>20230</v>
      </c>
      <c r="K4" s="8">
        <f t="shared" si="1"/>
        <v>26409</v>
      </c>
      <c r="L4" s="8">
        <f t="shared" si="2"/>
        <v>25482.123501561873</v>
      </c>
      <c r="M4" s="8">
        <f t="shared" si="3"/>
        <v>23127.5</v>
      </c>
      <c r="N4" s="8">
        <f t="shared" si="4"/>
        <v>24712.607647249733</v>
      </c>
      <c r="O4" s="8">
        <f t="shared" si="5"/>
        <v>8700.9913994517501</v>
      </c>
      <c r="P4" s="12">
        <f t="shared" si="6"/>
        <v>0.32947068800226248</v>
      </c>
      <c r="Q4" s="8">
        <f t="shared" ref="Q4:Q8" si="8">L4</f>
        <v>25482.123501561873</v>
      </c>
      <c r="R4" s="57" t="s">
        <v>34</v>
      </c>
      <c r="S4" s="10">
        <f t="shared" ref="S4:S17" si="9">ROUND(Q4,0)</f>
        <v>25482</v>
      </c>
      <c r="T4" s="22">
        <f t="shared" si="7"/>
        <v>118</v>
      </c>
      <c r="U4" s="29">
        <f t="shared" ref="U4:U17" si="10">ROUND(S4*T4,0)</f>
        <v>3006876</v>
      </c>
      <c r="V4" s="41"/>
      <c r="W4" s="35"/>
      <c r="X4" s="36"/>
      <c r="Y4" s="36"/>
      <c r="Z4" s="36"/>
      <c r="AA4" s="36"/>
    </row>
    <row r="5" spans="1:30" ht="39.6" x14ac:dyDescent="0.25">
      <c r="A5" s="11">
        <v>3</v>
      </c>
      <c r="B5" s="15" t="s">
        <v>14</v>
      </c>
      <c r="C5" s="14" t="s">
        <v>26</v>
      </c>
      <c r="D5" s="17">
        <v>4</v>
      </c>
      <c r="E5" s="13">
        <f>'COTIZACIONES '!G5</f>
        <v>124355</v>
      </c>
      <c r="F5" s="13">
        <f>'COTIZACIONES '!J5</f>
        <v>59500</v>
      </c>
      <c r="G5" s="60">
        <f>'COTIZACIONES '!M5</f>
        <v>208012</v>
      </c>
      <c r="H5" s="47"/>
      <c r="I5" s="61">
        <f>'COTIZACIONES '!S5</f>
        <v>168433</v>
      </c>
      <c r="J5" s="16">
        <f t="shared" si="0"/>
        <v>59500</v>
      </c>
      <c r="K5" s="8">
        <f t="shared" si="1"/>
        <v>140075</v>
      </c>
      <c r="L5" s="8">
        <f t="shared" si="2"/>
        <v>126888.99212925993</v>
      </c>
      <c r="M5" s="8">
        <f t="shared" si="3"/>
        <v>146394</v>
      </c>
      <c r="N5" s="8">
        <f t="shared" si="4"/>
        <v>112382.56185738454</v>
      </c>
      <c r="O5" s="8">
        <f t="shared" si="5"/>
        <v>63663.336277640992</v>
      </c>
      <c r="P5" s="12">
        <f t="shared" si="6"/>
        <v>0.4544946369990433</v>
      </c>
      <c r="Q5" s="8">
        <f t="shared" si="8"/>
        <v>126888.99212925993</v>
      </c>
      <c r="R5" s="57" t="s">
        <v>34</v>
      </c>
      <c r="S5" s="10">
        <f t="shared" si="9"/>
        <v>126889</v>
      </c>
      <c r="T5" s="22">
        <f t="shared" si="7"/>
        <v>4</v>
      </c>
      <c r="U5" s="29">
        <f t="shared" si="10"/>
        <v>507556</v>
      </c>
      <c r="V5" s="41"/>
      <c r="W5" s="35"/>
      <c r="X5" s="36"/>
      <c r="Y5" s="36"/>
      <c r="Z5" s="36"/>
      <c r="AA5" s="36"/>
    </row>
    <row r="6" spans="1:30" ht="39.6" x14ac:dyDescent="0.25">
      <c r="A6" s="11">
        <v>4</v>
      </c>
      <c r="B6" s="15" t="s">
        <v>15</v>
      </c>
      <c r="C6" s="14" t="s">
        <v>26</v>
      </c>
      <c r="D6" s="17">
        <v>8</v>
      </c>
      <c r="E6" s="13">
        <f>'COTIZACIONES '!G6</f>
        <v>18207</v>
      </c>
      <c r="F6" s="13">
        <f>'COTIZACIONES '!J6</f>
        <v>17850</v>
      </c>
      <c r="G6" s="60">
        <f>'COTIZACIONES '!M6</f>
        <v>27013</v>
      </c>
      <c r="H6" s="47"/>
      <c r="I6" s="47">
        <f>'COTIZACIONES '!S6</f>
        <v>21967</v>
      </c>
      <c r="J6" s="16">
        <f t="shared" si="0"/>
        <v>17850</v>
      </c>
      <c r="K6" s="8">
        <f t="shared" si="1"/>
        <v>21259.25</v>
      </c>
      <c r="L6" s="8">
        <f t="shared" si="2"/>
        <v>20955.838620594652</v>
      </c>
      <c r="M6" s="8">
        <f t="shared" si="3"/>
        <v>20087</v>
      </c>
      <c r="N6" s="8">
        <f t="shared" si="4"/>
        <v>20673.075865572744</v>
      </c>
      <c r="O6" s="8">
        <f t="shared" si="5"/>
        <v>4264.0264519973762</v>
      </c>
      <c r="P6" s="12">
        <f t="shared" si="6"/>
        <v>0.20057276018661882</v>
      </c>
      <c r="Q6" s="8">
        <f t="shared" si="8"/>
        <v>20955.838620594652</v>
      </c>
      <c r="R6" s="57" t="s">
        <v>34</v>
      </c>
      <c r="S6" s="10">
        <f t="shared" si="9"/>
        <v>20956</v>
      </c>
      <c r="T6" s="22">
        <f t="shared" si="7"/>
        <v>8</v>
      </c>
      <c r="U6" s="29">
        <f t="shared" si="10"/>
        <v>167648</v>
      </c>
      <c r="V6" s="41"/>
      <c r="W6" s="35"/>
      <c r="X6" s="36"/>
      <c r="Y6" s="36"/>
      <c r="Z6" s="36"/>
      <c r="AA6" s="36"/>
    </row>
    <row r="7" spans="1:30" ht="39.6" x14ac:dyDescent="0.25">
      <c r="A7" s="11">
        <v>5</v>
      </c>
      <c r="B7" s="15" t="s">
        <v>16</v>
      </c>
      <c r="C7" s="14" t="s">
        <v>26</v>
      </c>
      <c r="D7" s="17">
        <v>85</v>
      </c>
      <c r="E7" s="13">
        <f>'COTIZACIONES '!G7</f>
        <v>19397</v>
      </c>
      <c r="F7" s="13">
        <f>'COTIZACIONES '!J7</f>
        <v>11900</v>
      </c>
      <c r="G7" s="60">
        <f>'COTIZACIONES '!M7</f>
        <v>24752</v>
      </c>
      <c r="H7" s="47"/>
      <c r="I7" s="47">
        <f>'COTIZACIONES '!S7</f>
        <v>23800</v>
      </c>
      <c r="J7" s="16">
        <f t="shared" si="0"/>
        <v>11900</v>
      </c>
      <c r="K7" s="8">
        <f t="shared" si="1"/>
        <v>19962.25</v>
      </c>
      <c r="L7" s="8">
        <f t="shared" si="2"/>
        <v>19202.916573947299</v>
      </c>
      <c r="M7" s="8">
        <f t="shared" si="3"/>
        <v>21598.5</v>
      </c>
      <c r="N7" s="8">
        <f t="shared" si="4"/>
        <v>18348.155896129883</v>
      </c>
      <c r="O7" s="8">
        <f t="shared" si="5"/>
        <v>5859.1641255387276</v>
      </c>
      <c r="P7" s="12">
        <f t="shared" si="6"/>
        <v>0.29351221057439553</v>
      </c>
      <c r="Q7" s="8">
        <f t="shared" si="8"/>
        <v>19202.916573947299</v>
      </c>
      <c r="R7" s="57" t="s">
        <v>34</v>
      </c>
      <c r="S7" s="10">
        <f t="shared" si="9"/>
        <v>19203</v>
      </c>
      <c r="T7" s="22">
        <f t="shared" si="7"/>
        <v>85</v>
      </c>
      <c r="U7" s="29">
        <f t="shared" si="10"/>
        <v>1632255</v>
      </c>
      <c r="V7" s="41"/>
      <c r="W7" s="35"/>
      <c r="X7" s="36"/>
      <c r="Y7" s="36"/>
      <c r="Z7" s="36"/>
      <c r="AA7" s="36"/>
    </row>
    <row r="8" spans="1:30" ht="26.4" x14ac:dyDescent="0.25">
      <c r="A8" s="11">
        <v>6</v>
      </c>
      <c r="B8" s="15" t="s">
        <v>17</v>
      </c>
      <c r="C8" s="14" t="s">
        <v>26</v>
      </c>
      <c r="D8" s="17">
        <v>118</v>
      </c>
      <c r="E8" s="13">
        <f>'COTIZACIONES '!G8</f>
        <v>32725</v>
      </c>
      <c r="F8" s="13">
        <f>'COTIZACIONES '!J8</f>
        <v>23800</v>
      </c>
      <c r="G8" s="13">
        <f>'COTIZACIONES '!M8</f>
        <v>37247</v>
      </c>
      <c r="H8" s="47">
        <f>'COTIZACIONES '!P8</f>
        <v>30500</v>
      </c>
      <c r="I8" s="61">
        <f>'COTIZACIONES '!S8</f>
        <v>71400</v>
      </c>
      <c r="J8" s="16">
        <f t="shared" si="0"/>
        <v>23800</v>
      </c>
      <c r="K8" s="8">
        <f t="shared" si="1"/>
        <v>39134.400000000001</v>
      </c>
      <c r="L8" s="8">
        <f t="shared" si="2"/>
        <v>36316.935312860522</v>
      </c>
      <c r="M8" s="8">
        <f t="shared" si="3"/>
        <v>32725</v>
      </c>
      <c r="N8" s="8">
        <f t="shared" si="4"/>
        <v>34196.27130431102</v>
      </c>
      <c r="O8" s="8">
        <f t="shared" si="5"/>
        <v>18677.582265914396</v>
      </c>
      <c r="P8" s="12">
        <f t="shared" si="6"/>
        <v>0.47726762812038503</v>
      </c>
      <c r="Q8" s="8">
        <f t="shared" si="8"/>
        <v>36316.935312860522</v>
      </c>
      <c r="R8" s="57" t="s">
        <v>34</v>
      </c>
      <c r="S8" s="10">
        <f t="shared" si="9"/>
        <v>36317</v>
      </c>
      <c r="T8" s="22">
        <f t="shared" si="7"/>
        <v>118</v>
      </c>
      <c r="U8" s="29">
        <f t="shared" si="10"/>
        <v>4285406</v>
      </c>
      <c r="V8" s="37">
        <f>U8+U9</f>
        <v>4580862</v>
      </c>
      <c r="W8" s="38" t="s">
        <v>51</v>
      </c>
      <c r="X8" s="39">
        <f>V8*30%</f>
        <v>1374258.5999999999</v>
      </c>
      <c r="Y8" s="39">
        <f>V8-X8</f>
        <v>3206603.4000000004</v>
      </c>
      <c r="Z8" s="42">
        <f>X8+Y8</f>
        <v>4580862</v>
      </c>
      <c r="AA8" s="36"/>
      <c r="AB8" s="38" t="s">
        <v>58</v>
      </c>
      <c r="AC8" s="38" t="s">
        <v>59</v>
      </c>
      <c r="AD8" s="37">
        <f>V8</f>
        <v>4580862</v>
      </c>
    </row>
    <row r="9" spans="1:30" ht="26.4" x14ac:dyDescent="0.25">
      <c r="A9" s="11">
        <v>7</v>
      </c>
      <c r="B9" s="15" t="s">
        <v>18</v>
      </c>
      <c r="C9" s="14" t="s">
        <v>26</v>
      </c>
      <c r="D9" s="17">
        <v>7</v>
      </c>
      <c r="E9" s="13">
        <f>'COTIZACIONES '!G9</f>
        <v>33915</v>
      </c>
      <c r="F9" s="13">
        <f>'COTIZACIONES '!J9</f>
        <v>35700</v>
      </c>
      <c r="G9" s="13">
        <f>'COTIZACIONES '!M9</f>
        <v>37247</v>
      </c>
      <c r="H9" s="47">
        <f>'COTIZACIONES '!P9</f>
        <v>45500</v>
      </c>
      <c r="I9" s="61">
        <f>'COTIZACIONES '!S9</f>
        <v>82384</v>
      </c>
      <c r="J9" s="16">
        <f t="shared" si="0"/>
        <v>33915</v>
      </c>
      <c r="K9" s="8">
        <f t="shared" si="1"/>
        <v>46949.2</v>
      </c>
      <c r="L9" s="8">
        <f t="shared" si="2"/>
        <v>44218.206296011587</v>
      </c>
      <c r="M9" s="8">
        <f t="shared" si="3"/>
        <v>37247</v>
      </c>
      <c r="N9" s="8">
        <f t="shared" si="4"/>
        <v>42208.061037333595</v>
      </c>
      <c r="O9" s="8">
        <f t="shared" si="5"/>
        <v>20299.586121396656</v>
      </c>
      <c r="P9" s="12">
        <f t="shared" si="6"/>
        <v>0.43237341895914433</v>
      </c>
      <c r="Q9" s="8">
        <f>N9</f>
        <v>42208.061037333595</v>
      </c>
      <c r="R9" s="57" t="s">
        <v>39</v>
      </c>
      <c r="S9" s="10">
        <f t="shared" si="9"/>
        <v>42208</v>
      </c>
      <c r="T9" s="22">
        <f t="shared" si="7"/>
        <v>7</v>
      </c>
      <c r="U9" s="29">
        <f t="shared" si="10"/>
        <v>295456</v>
      </c>
      <c r="V9" s="41"/>
      <c r="W9" s="35"/>
      <c r="X9" s="36"/>
      <c r="Y9" s="36"/>
      <c r="Z9" s="36"/>
      <c r="AA9" s="36"/>
    </row>
    <row r="10" spans="1:30" ht="73.2" customHeight="1" x14ac:dyDescent="0.25">
      <c r="A10" s="11">
        <v>8</v>
      </c>
      <c r="B10" s="15" t="s">
        <v>19</v>
      </c>
      <c r="C10" s="14" t="s">
        <v>26</v>
      </c>
      <c r="D10" s="17">
        <v>118</v>
      </c>
      <c r="E10" s="13">
        <f>'COTIZACIONES '!G10</f>
        <v>26180</v>
      </c>
      <c r="F10" s="13">
        <f>'COTIZACIONES '!J10</f>
        <v>35700</v>
      </c>
      <c r="G10" s="13">
        <f>'COTIZACIONES '!M10</f>
        <v>23205</v>
      </c>
      <c r="H10" s="47"/>
      <c r="I10" s="61">
        <f>'COTIZACIONES '!S10</f>
        <v>109849</v>
      </c>
      <c r="J10" s="16">
        <f t="shared" si="0"/>
        <v>23205</v>
      </c>
      <c r="K10" s="8">
        <f t="shared" si="1"/>
        <v>48733.5</v>
      </c>
      <c r="L10" s="8">
        <f t="shared" si="2"/>
        <v>39287.453924945599</v>
      </c>
      <c r="M10" s="8">
        <f t="shared" si="3"/>
        <v>30940</v>
      </c>
      <c r="N10" s="8">
        <f t="shared" si="4"/>
        <v>33782.10956421306</v>
      </c>
      <c r="O10" s="8">
        <f t="shared" si="5"/>
        <v>41090.717268826869</v>
      </c>
      <c r="P10" s="12">
        <f t="shared" si="6"/>
        <v>0.84317188933335119</v>
      </c>
      <c r="Q10" s="8">
        <f>M10</f>
        <v>30940</v>
      </c>
      <c r="R10" s="57" t="s">
        <v>37</v>
      </c>
      <c r="S10" s="10">
        <f t="shared" si="9"/>
        <v>30940</v>
      </c>
      <c r="T10" s="22">
        <f t="shared" si="7"/>
        <v>118</v>
      </c>
      <c r="U10" s="29">
        <f t="shared" si="10"/>
        <v>3650920</v>
      </c>
      <c r="V10" s="35"/>
      <c r="W10" s="35"/>
      <c r="X10" s="36"/>
      <c r="Y10" s="36"/>
      <c r="Z10" s="36"/>
      <c r="AA10" s="36"/>
    </row>
    <row r="11" spans="1:30" ht="39.6" x14ac:dyDescent="0.25">
      <c r="A11" s="11">
        <v>9</v>
      </c>
      <c r="B11" s="15" t="s">
        <v>20</v>
      </c>
      <c r="C11" s="14" t="s">
        <v>26</v>
      </c>
      <c r="D11" s="17">
        <v>7</v>
      </c>
      <c r="E11" s="13">
        <f>'COTIZACIONES '!G11</f>
        <v>35700</v>
      </c>
      <c r="F11" s="13">
        <f>'COTIZACIONES '!J11</f>
        <v>35700</v>
      </c>
      <c r="G11" s="13">
        <f>'COTIZACIONES '!M11</f>
        <v>29036</v>
      </c>
      <c r="H11" s="47"/>
      <c r="I11" s="61">
        <f>'COTIZACIONES '!S11</f>
        <v>146465</v>
      </c>
      <c r="J11" s="16">
        <f t="shared" si="0"/>
        <v>29036</v>
      </c>
      <c r="K11" s="8">
        <f t="shared" si="1"/>
        <v>61725.25</v>
      </c>
      <c r="L11" s="8">
        <f t="shared" si="2"/>
        <v>48250.49453992107</v>
      </c>
      <c r="M11" s="8">
        <f t="shared" si="3"/>
        <v>35700</v>
      </c>
      <c r="N11" s="8">
        <f t="shared" si="4"/>
        <v>41114.201352472934</v>
      </c>
      <c r="O11" s="8">
        <f t="shared" si="5"/>
        <v>56580.442942622263</v>
      </c>
      <c r="P11" s="12">
        <f t="shared" si="6"/>
        <v>0.91664987898181483</v>
      </c>
      <c r="Q11" s="8">
        <f>K11</f>
        <v>61725.25</v>
      </c>
      <c r="R11" s="57" t="s">
        <v>31</v>
      </c>
      <c r="S11" s="10">
        <f t="shared" si="9"/>
        <v>61725</v>
      </c>
      <c r="T11" s="22">
        <f t="shared" si="7"/>
        <v>7</v>
      </c>
      <c r="U11" s="29">
        <f t="shared" si="10"/>
        <v>432075</v>
      </c>
      <c r="V11" s="35"/>
      <c r="W11" s="35"/>
      <c r="X11" s="36"/>
      <c r="Y11" s="36"/>
      <c r="Z11" s="36"/>
      <c r="AA11" s="36"/>
    </row>
    <row r="12" spans="1:30" ht="25.2" customHeight="1" x14ac:dyDescent="0.25">
      <c r="A12" s="11"/>
      <c r="B12" s="15"/>
      <c r="C12" s="14"/>
      <c r="D12" s="17"/>
      <c r="E12" s="13"/>
      <c r="F12" s="13"/>
      <c r="G12" s="13"/>
      <c r="H12" s="47"/>
      <c r="I12" s="47"/>
      <c r="J12" s="16">
        <f t="shared" si="0"/>
        <v>0</v>
      </c>
      <c r="K12" s="8"/>
      <c r="L12" s="8"/>
      <c r="M12" s="8"/>
      <c r="N12" s="8"/>
      <c r="O12" s="8"/>
      <c r="P12" s="12"/>
      <c r="Q12" s="8"/>
      <c r="R12" s="57"/>
      <c r="S12" s="133" t="s">
        <v>46</v>
      </c>
      <c r="T12" s="133"/>
      <c r="U12" s="30">
        <f>SUM(U3:U11)</f>
        <v>21224442</v>
      </c>
      <c r="V12" s="35"/>
      <c r="W12" s="35"/>
      <c r="X12" s="36"/>
      <c r="Y12" s="36"/>
      <c r="Z12" s="36"/>
      <c r="AA12" s="36"/>
    </row>
    <row r="13" spans="1:30" ht="52.8" x14ac:dyDescent="0.25">
      <c r="A13" s="11">
        <v>10</v>
      </c>
      <c r="B13" s="15" t="s">
        <v>21</v>
      </c>
      <c r="C13" s="14" t="s">
        <v>26</v>
      </c>
      <c r="D13" s="17">
        <v>1</v>
      </c>
      <c r="E13" s="13">
        <f>'COTIZACIONES '!G12</f>
        <v>9520</v>
      </c>
      <c r="F13" s="13"/>
      <c r="G13" s="13">
        <f>'COTIZACIONES '!M12</f>
        <v>33082</v>
      </c>
      <c r="H13" s="47"/>
      <c r="I13" s="47">
        <f>'COTIZACIONES '!S12</f>
        <v>21967</v>
      </c>
      <c r="J13" s="16">
        <f t="shared" si="0"/>
        <v>9520</v>
      </c>
      <c r="K13" s="8">
        <f>AVERAGE(E13:I13)</f>
        <v>21523</v>
      </c>
      <c r="L13" s="8">
        <f>GEOMEAN(E13,G13,I13)</f>
        <v>19054.599219624175</v>
      </c>
      <c r="M13" s="8">
        <f>MEDIAN(E13,G13,I13)</f>
        <v>21967</v>
      </c>
      <c r="N13" s="8">
        <f>HARMEAN(E13,G13,I13)</f>
        <v>16593.584371651643</v>
      </c>
      <c r="O13" s="8">
        <f>STDEVA(E13:I13)</f>
        <v>11787.273348828388</v>
      </c>
      <c r="P13" s="12">
        <f t="shared" si="6"/>
        <v>0.54765940383907397</v>
      </c>
      <c r="Q13" s="8">
        <f>E13</f>
        <v>9520</v>
      </c>
      <c r="R13" s="57" t="s">
        <v>36</v>
      </c>
      <c r="S13" s="10">
        <f t="shared" si="9"/>
        <v>9520</v>
      </c>
      <c r="T13" s="22">
        <f>D13</f>
        <v>1</v>
      </c>
      <c r="U13" s="29">
        <f t="shared" si="10"/>
        <v>9520</v>
      </c>
      <c r="V13" s="35"/>
      <c r="W13" s="35"/>
      <c r="X13" s="36"/>
      <c r="Y13" s="36"/>
      <c r="Z13" s="36"/>
      <c r="AA13" s="36"/>
    </row>
    <row r="14" spans="1:30" ht="52.8" x14ac:dyDescent="0.25">
      <c r="A14" s="11">
        <v>11</v>
      </c>
      <c r="B14" s="15" t="s">
        <v>22</v>
      </c>
      <c r="C14" s="14" t="s">
        <v>26</v>
      </c>
      <c r="D14" s="17">
        <v>1</v>
      </c>
      <c r="E14" s="13">
        <f>'COTIZACIONES '!G13</f>
        <v>9520</v>
      </c>
      <c r="F14" s="13"/>
      <c r="G14" s="13">
        <f>'COTIZACIONES '!M13</f>
        <v>43792</v>
      </c>
      <c r="H14" s="47"/>
      <c r="I14" s="47">
        <f>'COTIZACIONES '!S13</f>
        <v>24716</v>
      </c>
      <c r="J14" s="16">
        <f t="shared" si="0"/>
        <v>9520</v>
      </c>
      <c r="K14" s="8">
        <f>AVERAGE(E14:I14)</f>
        <v>26009.333333333332</v>
      </c>
      <c r="L14" s="8">
        <f t="shared" ref="L14:L17" si="11">GEOMEAN(E14,G14,I14)</f>
        <v>21760.555194167744</v>
      </c>
      <c r="M14" s="8">
        <f t="shared" ref="M14:M17" si="12">MEDIAN(E14,G14,I14)</f>
        <v>24716</v>
      </c>
      <c r="N14" s="8">
        <f t="shared" ref="N14:N17" si="13">HARMEAN(E14,G14,I14)</f>
        <v>17821.408900909759</v>
      </c>
      <c r="O14" s="8">
        <f>STDEVA(E14:I14)</f>
        <v>17172.566183693496</v>
      </c>
      <c r="P14" s="12">
        <f t="shared" si="6"/>
        <v>0.66024630326396283</v>
      </c>
      <c r="Q14" s="8">
        <f t="shared" ref="Q14:Q17" si="14">E14</f>
        <v>9520</v>
      </c>
      <c r="R14" s="57" t="s">
        <v>36</v>
      </c>
      <c r="S14" s="10">
        <f t="shared" si="9"/>
        <v>9520</v>
      </c>
      <c r="T14" s="22">
        <f>D14</f>
        <v>1</v>
      </c>
      <c r="U14" s="29">
        <f t="shared" si="10"/>
        <v>9520</v>
      </c>
      <c r="V14" s="35"/>
      <c r="W14" s="35"/>
      <c r="X14" s="36"/>
      <c r="Y14" s="36"/>
      <c r="Z14" s="36"/>
      <c r="AA14" s="36"/>
    </row>
    <row r="15" spans="1:30" ht="52.8" x14ac:dyDescent="0.25">
      <c r="A15" s="11">
        <v>12</v>
      </c>
      <c r="B15" s="15" t="s">
        <v>23</v>
      </c>
      <c r="C15" s="14" t="s">
        <v>26</v>
      </c>
      <c r="D15" s="17">
        <v>1</v>
      </c>
      <c r="E15" s="13">
        <f>'COTIZACIONES '!G14</f>
        <v>33320</v>
      </c>
      <c r="F15" s="13"/>
      <c r="G15" s="60">
        <f>'COTIZACIONES '!M14</f>
        <v>740775</v>
      </c>
      <c r="H15" s="47"/>
      <c r="I15" s="47">
        <f>'COTIZACIONES '!S14</f>
        <v>168433</v>
      </c>
      <c r="J15" s="16">
        <f t="shared" si="0"/>
        <v>33320</v>
      </c>
      <c r="K15" s="8">
        <f>AVERAGE(E15:I15)</f>
        <v>314176</v>
      </c>
      <c r="L15" s="8">
        <f t="shared" si="11"/>
        <v>160795.10784868372</v>
      </c>
      <c r="M15" s="8">
        <f t="shared" si="12"/>
        <v>168433</v>
      </c>
      <c r="N15" s="8">
        <f t="shared" si="13"/>
        <v>80431.065025782707</v>
      </c>
      <c r="O15" s="8">
        <f>STDEVA(E15:I15)</f>
        <v>375571.44565714791</v>
      </c>
      <c r="P15" s="12">
        <f t="shared" si="6"/>
        <v>1.1954173636978889</v>
      </c>
      <c r="Q15" s="8">
        <f t="shared" si="14"/>
        <v>33320</v>
      </c>
      <c r="R15" s="57" t="s">
        <v>36</v>
      </c>
      <c r="S15" s="10">
        <f t="shared" si="9"/>
        <v>33320</v>
      </c>
      <c r="T15" s="22">
        <f>D15</f>
        <v>1</v>
      </c>
      <c r="U15" s="29">
        <f t="shared" si="10"/>
        <v>33320</v>
      </c>
      <c r="V15" s="35"/>
      <c r="W15" s="35"/>
      <c r="X15" s="36"/>
      <c r="Y15" s="36"/>
      <c r="Z15" s="36"/>
      <c r="AA15" s="36"/>
    </row>
    <row r="16" spans="1:30" ht="52.8" x14ac:dyDescent="0.25">
      <c r="A16" s="11">
        <v>13</v>
      </c>
      <c r="B16" s="15" t="s">
        <v>24</v>
      </c>
      <c r="C16" s="14" t="s">
        <v>26</v>
      </c>
      <c r="D16" s="17">
        <v>1</v>
      </c>
      <c r="E16" s="13">
        <f>'COTIZACIONES '!G15</f>
        <v>9520</v>
      </c>
      <c r="F16" s="13"/>
      <c r="G16" s="13">
        <f>'COTIZACIONES '!M15</f>
        <v>33082</v>
      </c>
      <c r="H16" s="47"/>
      <c r="I16" s="47">
        <f>'COTIZACIONES '!S15</f>
        <v>21967</v>
      </c>
      <c r="J16" s="16">
        <f t="shared" si="0"/>
        <v>9520</v>
      </c>
      <c r="K16" s="8">
        <f>AVERAGE(E16:I16)</f>
        <v>21523</v>
      </c>
      <c r="L16" s="8">
        <f t="shared" si="11"/>
        <v>19054.599219624175</v>
      </c>
      <c r="M16" s="8">
        <f t="shared" si="12"/>
        <v>21967</v>
      </c>
      <c r="N16" s="8">
        <f t="shared" si="13"/>
        <v>16593.584371651643</v>
      </c>
      <c r="O16" s="8">
        <f>STDEVA(E16:I16)</f>
        <v>11787.273348828388</v>
      </c>
      <c r="P16" s="12">
        <f t="shared" si="6"/>
        <v>0.54765940383907397</v>
      </c>
      <c r="Q16" s="8">
        <f t="shared" si="14"/>
        <v>9520</v>
      </c>
      <c r="R16" s="57" t="s">
        <v>36</v>
      </c>
      <c r="S16" s="10">
        <f t="shared" si="9"/>
        <v>9520</v>
      </c>
      <c r="T16" s="22">
        <f>D16</f>
        <v>1</v>
      </c>
      <c r="U16" s="29">
        <f t="shared" si="10"/>
        <v>9520</v>
      </c>
      <c r="V16" s="35"/>
      <c r="W16" s="35"/>
      <c r="X16" s="36"/>
      <c r="Y16" s="36"/>
      <c r="Z16" s="36"/>
      <c r="AA16" s="36"/>
    </row>
    <row r="17" spans="1:30" ht="52.8" x14ac:dyDescent="0.25">
      <c r="A17" s="11">
        <v>14</v>
      </c>
      <c r="B17" s="15" t="s">
        <v>25</v>
      </c>
      <c r="C17" s="14" t="s">
        <v>26</v>
      </c>
      <c r="D17" s="17">
        <v>1</v>
      </c>
      <c r="E17" s="13">
        <f>'COTIZACIONES '!G16</f>
        <v>9520</v>
      </c>
      <c r="F17" s="13"/>
      <c r="G17" s="60">
        <f>'COTIZACIONES '!M16</f>
        <v>120547</v>
      </c>
      <c r="H17" s="47"/>
      <c r="I17" s="47">
        <f>'COTIZACIONES '!S16</f>
        <v>23800</v>
      </c>
      <c r="J17" s="16">
        <f t="shared" si="0"/>
        <v>9520</v>
      </c>
      <c r="K17" s="8">
        <f>AVERAGE(E17:I17)</f>
        <v>51289</v>
      </c>
      <c r="L17" s="8">
        <f t="shared" si="11"/>
        <v>30115.501804118885</v>
      </c>
      <c r="M17" s="8">
        <f t="shared" si="12"/>
        <v>23800</v>
      </c>
      <c r="N17" s="8">
        <f t="shared" si="13"/>
        <v>19310.692831397675</v>
      </c>
      <c r="O17" s="8">
        <f>STDEVA(E17:I17)</f>
        <v>60402.669833377397</v>
      </c>
      <c r="P17" s="12">
        <f t="shared" si="6"/>
        <v>1.1776924844192205</v>
      </c>
      <c r="Q17" s="8">
        <f t="shared" si="14"/>
        <v>9520</v>
      </c>
      <c r="R17" s="57" t="s">
        <v>36</v>
      </c>
      <c r="S17" s="10">
        <f t="shared" si="9"/>
        <v>9520</v>
      </c>
      <c r="T17" s="22">
        <f>D17</f>
        <v>1</v>
      </c>
      <c r="U17" s="29">
        <f t="shared" si="10"/>
        <v>9520</v>
      </c>
      <c r="V17" s="35"/>
      <c r="W17" s="35"/>
      <c r="X17" s="36"/>
      <c r="Y17" s="36"/>
      <c r="Z17" s="36"/>
      <c r="AA17" s="36"/>
    </row>
    <row r="18" spans="1:30" ht="35.4" customHeight="1" x14ac:dyDescent="0.25">
      <c r="A18" s="23"/>
      <c r="B18" s="24"/>
      <c r="C18" s="25"/>
      <c r="D18" s="26"/>
      <c r="J18" s="25"/>
      <c r="K18" s="25"/>
      <c r="L18" s="25"/>
      <c r="M18" s="27"/>
      <c r="N18" s="25"/>
      <c r="O18" s="25"/>
      <c r="P18" s="28"/>
      <c r="Q18" s="27"/>
      <c r="R18" s="7"/>
      <c r="S18" s="133" t="s">
        <v>47</v>
      </c>
      <c r="T18" s="133"/>
      <c r="U18" s="31">
        <f>SUM(U13:U17)</f>
        <v>71400</v>
      </c>
      <c r="V18" s="44">
        <f>U10+U11+U13+U14+U15+U16+U17</f>
        <v>4154395</v>
      </c>
      <c r="W18" s="45" t="s">
        <v>63</v>
      </c>
      <c r="X18" s="36"/>
      <c r="Y18" s="36"/>
      <c r="Z18" s="36"/>
      <c r="AA18" s="36"/>
    </row>
    <row r="19" spans="1:30" ht="27" customHeight="1" x14ac:dyDescent="0.3">
      <c r="R19" s="7"/>
      <c r="S19" s="137" t="s">
        <v>45</v>
      </c>
      <c r="T19" s="137"/>
      <c r="U19" s="32">
        <f>U12+U18</f>
        <v>21295842</v>
      </c>
      <c r="V19" s="42">
        <f>V3+V8+V18</f>
        <v>21295842</v>
      </c>
      <c r="W19" s="35"/>
      <c r="X19" s="36"/>
      <c r="Y19" s="36"/>
      <c r="Z19" s="36"/>
      <c r="AA19" s="36"/>
    </row>
    <row r="20" spans="1:30" ht="33" customHeight="1" x14ac:dyDescent="0.3">
      <c r="S20" s="138" t="s">
        <v>48</v>
      </c>
      <c r="T20" s="138"/>
      <c r="U20" s="33">
        <f>U19*30%</f>
        <v>6388752.5999999996</v>
      </c>
      <c r="V20" s="44">
        <f>U22-V19</f>
        <v>6388752.6000000015</v>
      </c>
      <c r="W20" s="45" t="s">
        <v>62</v>
      </c>
      <c r="X20" s="36"/>
      <c r="Y20" s="36"/>
      <c r="Z20" s="36"/>
      <c r="AA20" s="36"/>
    </row>
    <row r="21" spans="1:30" ht="52.2" customHeight="1" x14ac:dyDescent="0.3">
      <c r="S21" s="133" t="s">
        <v>49</v>
      </c>
      <c r="T21" s="133"/>
      <c r="U21" s="34">
        <f>U18+U20</f>
        <v>6460152.5999999996</v>
      </c>
      <c r="V21" s="37">
        <f>V18+V20</f>
        <v>10543147.600000001</v>
      </c>
      <c r="W21" s="38" t="s">
        <v>52</v>
      </c>
      <c r="X21" s="39">
        <f>V21*30%</f>
        <v>3162944.2800000003</v>
      </c>
      <c r="Y21" s="39">
        <f>V21-X21</f>
        <v>7380203.3200000012</v>
      </c>
      <c r="Z21" s="42">
        <f>X21+Y21</f>
        <v>10543147.600000001</v>
      </c>
      <c r="AA21" s="42">
        <f>Z3+Z8+Z21</f>
        <v>27684594.600000001</v>
      </c>
      <c r="AB21" s="38" t="s">
        <v>61</v>
      </c>
      <c r="AC21" s="38" t="s">
        <v>60</v>
      </c>
      <c r="AD21" s="37">
        <f>V21</f>
        <v>10543147.600000001</v>
      </c>
    </row>
    <row r="22" spans="1:30" ht="14.4" customHeight="1" x14ac:dyDescent="0.3">
      <c r="S22" s="133" t="s">
        <v>40</v>
      </c>
      <c r="T22" s="133"/>
      <c r="U22" s="34">
        <f>U12+U21</f>
        <v>27684594.600000001</v>
      </c>
      <c r="V22" s="37">
        <f>V3+V8+V21</f>
        <v>27684594.600000001</v>
      </c>
      <c r="W22" s="35"/>
      <c r="X22" s="42">
        <f>X3+X8+X21</f>
        <v>8305378.3799999999</v>
      </c>
      <c r="Y22" s="42">
        <f>Y3+Y8+Y21</f>
        <v>19379216.220000003</v>
      </c>
      <c r="Z22" s="42">
        <f>X22+Y22</f>
        <v>27684594.600000001</v>
      </c>
      <c r="AA22" s="36"/>
      <c r="AD22" s="46">
        <f>AD3+AD8+AD21</f>
        <v>27684594.600000001</v>
      </c>
    </row>
    <row r="23" spans="1:30" x14ac:dyDescent="0.3">
      <c r="V23" s="9"/>
    </row>
  </sheetData>
  <mergeCells count="14">
    <mergeCell ref="A1:A2"/>
    <mergeCell ref="B1:B2"/>
    <mergeCell ref="C1:C2"/>
    <mergeCell ref="D1:D2"/>
    <mergeCell ref="J1:R1"/>
    <mergeCell ref="S21:T21"/>
    <mergeCell ref="S22:T22"/>
    <mergeCell ref="U1:U2"/>
    <mergeCell ref="V1:AA1"/>
    <mergeCell ref="S12:T12"/>
    <mergeCell ref="S18:T18"/>
    <mergeCell ref="S19:T19"/>
    <mergeCell ref="S20:T20"/>
    <mergeCell ref="T1:T2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9E2A2-62FC-4EC2-B8EF-53F999CA9636}">
  <dimension ref="A1:R21"/>
  <sheetViews>
    <sheetView topLeftCell="A2" zoomScale="90" zoomScaleNormal="90" workbookViewId="0">
      <selection activeCell="A12" sqref="A12:XFD12"/>
    </sheetView>
  </sheetViews>
  <sheetFormatPr baseColWidth="10" defaultColWidth="11.44140625" defaultRowHeight="13.2" x14ac:dyDescent="0.3"/>
  <cols>
    <col min="1" max="1" width="5.44140625" style="2" customWidth="1"/>
    <col min="2" max="2" width="22" style="3" customWidth="1"/>
    <col min="3" max="3" width="12.88671875" style="3" customWidth="1"/>
    <col min="4" max="4" width="9.5546875" style="18" customWidth="1"/>
    <col min="5" max="5" width="13.33203125" style="6" customWidth="1"/>
    <col min="6" max="6" width="13.44140625" style="6" customWidth="1"/>
    <col min="7" max="10" width="13.33203125" style="6" customWidth="1"/>
    <col min="11" max="11" width="11.44140625" style="4" customWidth="1"/>
    <col min="12" max="12" width="12.44140625" style="4" customWidth="1"/>
    <col min="13" max="14" width="11.44140625" style="4" customWidth="1"/>
    <col min="15" max="15" width="11.109375" style="4" customWidth="1"/>
    <col min="16" max="16" width="12.109375" style="7" customWidth="1"/>
    <col min="17" max="17" width="11.6640625" style="4" customWidth="1"/>
    <col min="18" max="18" width="12.6640625" style="6" customWidth="1"/>
    <col min="19" max="16384" width="11.44140625" style="1"/>
  </cols>
  <sheetData>
    <row r="1" spans="1:18" ht="76.8" customHeight="1" x14ac:dyDescent="0.25">
      <c r="A1" s="141" t="s">
        <v>0</v>
      </c>
      <c r="B1" s="141" t="s">
        <v>7</v>
      </c>
      <c r="C1" s="141" t="s">
        <v>10</v>
      </c>
      <c r="D1" s="142" t="s">
        <v>5</v>
      </c>
      <c r="E1" s="49" t="s">
        <v>28</v>
      </c>
      <c r="F1" s="49" t="s">
        <v>44</v>
      </c>
      <c r="G1" s="49" t="s">
        <v>64</v>
      </c>
      <c r="H1" s="50" t="s">
        <v>65</v>
      </c>
      <c r="I1" s="50" t="s">
        <v>66</v>
      </c>
      <c r="J1" s="143" t="s">
        <v>3</v>
      </c>
      <c r="K1" s="144"/>
      <c r="L1" s="144"/>
      <c r="M1" s="144"/>
      <c r="N1" s="144"/>
      <c r="O1" s="144"/>
      <c r="P1" s="144"/>
      <c r="Q1" s="144"/>
      <c r="R1" s="145"/>
    </row>
    <row r="2" spans="1:18" ht="80.400000000000006" customHeight="1" x14ac:dyDescent="0.25">
      <c r="A2" s="141"/>
      <c r="B2" s="141"/>
      <c r="C2" s="141"/>
      <c r="D2" s="142"/>
      <c r="E2" s="51" t="s">
        <v>41</v>
      </c>
      <c r="F2" s="51" t="s">
        <v>42</v>
      </c>
      <c r="G2" s="51" t="s">
        <v>43</v>
      </c>
      <c r="H2" s="51" t="s">
        <v>43</v>
      </c>
      <c r="I2" s="51" t="s">
        <v>43</v>
      </c>
      <c r="J2" s="52" t="s">
        <v>32</v>
      </c>
      <c r="K2" s="49" t="s">
        <v>33</v>
      </c>
      <c r="L2" s="49" t="s">
        <v>34</v>
      </c>
      <c r="M2" s="49" t="s">
        <v>37</v>
      </c>
      <c r="N2" s="49" t="s">
        <v>38</v>
      </c>
      <c r="O2" s="49" t="s">
        <v>35</v>
      </c>
      <c r="P2" s="53" t="s">
        <v>1</v>
      </c>
      <c r="Q2" s="49" t="s">
        <v>6</v>
      </c>
      <c r="R2" s="54" t="s">
        <v>2</v>
      </c>
    </row>
    <row r="3" spans="1:18" s="5" customFormat="1" ht="54" customHeight="1" x14ac:dyDescent="0.25">
      <c r="A3" s="11">
        <v>1</v>
      </c>
      <c r="B3" s="15" t="s">
        <v>12</v>
      </c>
      <c r="C3" s="14" t="s">
        <v>26</v>
      </c>
      <c r="D3" s="17">
        <v>341</v>
      </c>
      <c r="E3" s="13">
        <f>'COTIZACIONES '!G3</f>
        <v>18207</v>
      </c>
      <c r="F3" s="13">
        <f>'COTIZACIONES '!J3</f>
        <v>17850</v>
      </c>
      <c r="G3" s="60"/>
      <c r="H3" s="47"/>
      <c r="I3" s="47">
        <f>'COTIZACIONES '!S3</f>
        <v>21967</v>
      </c>
      <c r="J3" s="16">
        <f t="shared" ref="J3:J16" si="0">MIN(E3:I3)</f>
        <v>17850</v>
      </c>
      <c r="K3" s="8">
        <f t="shared" ref="K3:K11" si="1">AVERAGE(E3:I3)</f>
        <v>19341.333333333332</v>
      </c>
      <c r="L3" s="8">
        <f t="shared" ref="L3:L11" si="2">GEOMEAN(E3:I3)</f>
        <v>19255.248193279524</v>
      </c>
      <c r="M3" s="8">
        <f t="shared" ref="M3:M11" si="3">MEDIAN(E3:I3)</f>
        <v>18207</v>
      </c>
      <c r="N3" s="8">
        <f t="shared" ref="N3:N11" si="4">HARMEAN(E3:I3)</f>
        <v>19173.106234322153</v>
      </c>
      <c r="O3" s="8">
        <f t="shared" ref="O3:O11" si="5">STDEVA(E3:I3)</f>
        <v>2280.8893733220234</v>
      </c>
      <c r="P3" s="12">
        <f t="shared" ref="P3:P16" si="6">O3/K3</f>
        <v>0.11792823865928014</v>
      </c>
      <c r="Q3" s="8">
        <f>K3</f>
        <v>19341.333333333332</v>
      </c>
      <c r="R3" s="57" t="s">
        <v>31</v>
      </c>
    </row>
    <row r="4" spans="1:18" ht="39.6" x14ac:dyDescent="0.25">
      <c r="A4" s="11">
        <v>2</v>
      </c>
      <c r="B4" s="15" t="s">
        <v>13</v>
      </c>
      <c r="C4" s="14" t="s">
        <v>26</v>
      </c>
      <c r="D4" s="17">
        <v>118</v>
      </c>
      <c r="E4" s="13">
        <f>'COTIZACIONES '!G4</f>
        <v>21539</v>
      </c>
      <c r="F4" s="13">
        <f>'COTIZACIONES '!J4</f>
        <v>20230</v>
      </c>
      <c r="G4" s="60"/>
      <c r="H4" s="47"/>
      <c r="I4" s="47">
        <f>'COTIZACIONES '!S4</f>
        <v>24716</v>
      </c>
      <c r="J4" s="16">
        <f t="shared" si="0"/>
        <v>20230</v>
      </c>
      <c r="K4" s="8">
        <f t="shared" si="1"/>
        <v>22161.666666666668</v>
      </c>
      <c r="L4" s="8">
        <f t="shared" si="2"/>
        <v>22083.430317502382</v>
      </c>
      <c r="M4" s="8">
        <f t="shared" si="3"/>
        <v>21539</v>
      </c>
      <c r="N4" s="8">
        <f t="shared" si="4"/>
        <v>22007.273213322002</v>
      </c>
      <c r="O4" s="8">
        <f t="shared" si="5"/>
        <v>2306.910126843552</v>
      </c>
      <c r="P4" s="12">
        <f t="shared" si="6"/>
        <v>0.10409461352982861</v>
      </c>
      <c r="Q4" s="8">
        <f>K4</f>
        <v>22161.666666666668</v>
      </c>
      <c r="R4" s="57" t="s">
        <v>31</v>
      </c>
    </row>
    <row r="5" spans="1:18" ht="39.6" x14ac:dyDescent="0.25">
      <c r="A5" s="11">
        <v>3</v>
      </c>
      <c r="B5" s="15" t="s">
        <v>14</v>
      </c>
      <c r="C5" s="14" t="s">
        <v>26</v>
      </c>
      <c r="D5" s="17">
        <v>4</v>
      </c>
      <c r="E5" s="13">
        <f>'COTIZACIONES '!G5</f>
        <v>124355</v>
      </c>
      <c r="F5" s="13">
        <f>'COTIZACIONES '!J5</f>
        <v>59500</v>
      </c>
      <c r="G5" s="60"/>
      <c r="H5" s="47"/>
      <c r="I5" s="61"/>
      <c r="J5" s="16">
        <f t="shared" si="0"/>
        <v>59500</v>
      </c>
      <c r="K5" s="8">
        <f t="shared" si="1"/>
        <v>91927.5</v>
      </c>
      <c r="L5" s="8">
        <f t="shared" si="2"/>
        <v>86018.152154065712</v>
      </c>
      <c r="M5" s="8">
        <f t="shared" si="3"/>
        <v>91927.5</v>
      </c>
      <c r="N5" s="8">
        <f t="shared" si="4"/>
        <v>80488.673139158564</v>
      </c>
      <c r="O5" s="8">
        <f t="shared" si="5"/>
        <v>45859.410293853536</v>
      </c>
      <c r="P5" s="12">
        <f t="shared" si="6"/>
        <v>0.49886497831283932</v>
      </c>
      <c r="Q5" s="8">
        <f>L5</f>
        <v>86018.152154065712</v>
      </c>
      <c r="R5" s="57" t="s">
        <v>34</v>
      </c>
    </row>
    <row r="6" spans="1:18" ht="39.6" x14ac:dyDescent="0.25">
      <c r="A6" s="11">
        <v>4</v>
      </c>
      <c r="B6" s="15" t="s">
        <v>15</v>
      </c>
      <c r="C6" s="14" t="s">
        <v>26</v>
      </c>
      <c r="D6" s="17">
        <v>8</v>
      </c>
      <c r="E6" s="13">
        <f>'COTIZACIONES '!G6</f>
        <v>18207</v>
      </c>
      <c r="F6" s="13">
        <f>'COTIZACIONES '!J6</f>
        <v>17850</v>
      </c>
      <c r="G6" s="60"/>
      <c r="H6" s="47"/>
      <c r="I6" s="47">
        <f>'COTIZACIONES '!S6</f>
        <v>21967</v>
      </c>
      <c r="J6" s="16">
        <f t="shared" si="0"/>
        <v>17850</v>
      </c>
      <c r="K6" s="8">
        <f t="shared" si="1"/>
        <v>19341.333333333332</v>
      </c>
      <c r="L6" s="8">
        <f t="shared" si="2"/>
        <v>19255.248193279524</v>
      </c>
      <c r="M6" s="8">
        <f t="shared" si="3"/>
        <v>18207</v>
      </c>
      <c r="N6" s="8">
        <f t="shared" si="4"/>
        <v>19173.106234322153</v>
      </c>
      <c r="O6" s="8">
        <f t="shared" si="5"/>
        <v>2280.8893733220234</v>
      </c>
      <c r="P6" s="12">
        <f t="shared" si="6"/>
        <v>0.11792823865928014</v>
      </c>
      <c r="Q6" s="8">
        <f>K6</f>
        <v>19341.333333333332</v>
      </c>
      <c r="R6" s="57" t="s">
        <v>31</v>
      </c>
    </row>
    <row r="7" spans="1:18" ht="39.6" x14ac:dyDescent="0.25">
      <c r="A7" s="11">
        <v>5</v>
      </c>
      <c r="B7" s="15" t="s">
        <v>16</v>
      </c>
      <c r="C7" s="14" t="s">
        <v>26</v>
      </c>
      <c r="D7" s="17">
        <v>85</v>
      </c>
      <c r="E7" s="13">
        <f>'COTIZACIONES '!G7</f>
        <v>19397</v>
      </c>
      <c r="F7" s="13">
        <f>'COTIZACIONES '!J7</f>
        <v>11900</v>
      </c>
      <c r="G7" s="60"/>
      <c r="H7" s="47"/>
      <c r="I7" s="47">
        <f>'COTIZACIONES '!S7</f>
        <v>23800</v>
      </c>
      <c r="J7" s="16">
        <f t="shared" si="0"/>
        <v>11900</v>
      </c>
      <c r="K7" s="8">
        <f t="shared" si="1"/>
        <v>18365.666666666668</v>
      </c>
      <c r="L7" s="8">
        <f t="shared" si="2"/>
        <v>17644.911918434707</v>
      </c>
      <c r="M7" s="8">
        <f t="shared" si="3"/>
        <v>19397</v>
      </c>
      <c r="N7" s="8">
        <f t="shared" si="4"/>
        <v>16891.436865021769</v>
      </c>
      <c r="O7" s="8">
        <f t="shared" si="5"/>
        <v>6016.6632225290214</v>
      </c>
      <c r="P7" s="12">
        <f t="shared" si="6"/>
        <v>0.32760385624602179</v>
      </c>
      <c r="Q7" s="8">
        <f>L7</f>
        <v>17644.911918434707</v>
      </c>
      <c r="R7" s="57" t="s">
        <v>34</v>
      </c>
    </row>
    <row r="8" spans="1:18" ht="26.4" x14ac:dyDescent="0.25">
      <c r="A8" s="11">
        <v>6</v>
      </c>
      <c r="B8" s="15" t="s">
        <v>17</v>
      </c>
      <c r="C8" s="14" t="s">
        <v>26</v>
      </c>
      <c r="D8" s="17">
        <v>118</v>
      </c>
      <c r="E8" s="13">
        <f>'COTIZACIONES '!G8</f>
        <v>32725</v>
      </c>
      <c r="F8" s="13">
        <f>'COTIZACIONES '!J8</f>
        <v>23800</v>
      </c>
      <c r="G8" s="13">
        <f>'COTIZACIONES '!M8</f>
        <v>37247</v>
      </c>
      <c r="H8" s="47">
        <f>'COTIZACIONES '!P8</f>
        <v>30500</v>
      </c>
      <c r="I8" s="61"/>
      <c r="J8" s="16">
        <f t="shared" si="0"/>
        <v>23800</v>
      </c>
      <c r="K8" s="8">
        <f t="shared" si="1"/>
        <v>31068</v>
      </c>
      <c r="L8" s="8">
        <f t="shared" si="2"/>
        <v>30669.870176094395</v>
      </c>
      <c r="M8" s="8">
        <f t="shared" si="3"/>
        <v>31612.5</v>
      </c>
      <c r="N8" s="8">
        <f t="shared" si="4"/>
        <v>30255.087585181471</v>
      </c>
      <c r="O8" s="8">
        <f t="shared" si="5"/>
        <v>5599.7660070161264</v>
      </c>
      <c r="P8" s="12">
        <f t="shared" si="6"/>
        <v>0.18024224304802777</v>
      </c>
      <c r="Q8" s="8">
        <f>M8</f>
        <v>31612.5</v>
      </c>
      <c r="R8" s="57" t="s">
        <v>37</v>
      </c>
    </row>
    <row r="9" spans="1:18" ht="26.4" x14ac:dyDescent="0.25">
      <c r="A9" s="11">
        <v>7</v>
      </c>
      <c r="B9" s="15" t="s">
        <v>18</v>
      </c>
      <c r="C9" s="14" t="s">
        <v>26</v>
      </c>
      <c r="D9" s="17">
        <v>7</v>
      </c>
      <c r="E9" s="13">
        <f>'COTIZACIONES '!G9</f>
        <v>33915</v>
      </c>
      <c r="F9" s="13">
        <f>'COTIZACIONES '!J9</f>
        <v>35700</v>
      </c>
      <c r="G9" s="13">
        <f>'COTIZACIONES '!M9</f>
        <v>37247</v>
      </c>
      <c r="H9" s="47">
        <f>'COTIZACIONES '!P9</f>
        <v>45500</v>
      </c>
      <c r="I9" s="61"/>
      <c r="J9" s="16">
        <f t="shared" si="0"/>
        <v>33915</v>
      </c>
      <c r="K9" s="8">
        <f t="shared" si="1"/>
        <v>38090.5</v>
      </c>
      <c r="L9" s="8">
        <f t="shared" si="2"/>
        <v>37847.803763309574</v>
      </c>
      <c r="M9" s="8">
        <f t="shared" si="3"/>
        <v>36473.5</v>
      </c>
      <c r="N9" s="8">
        <f t="shared" si="4"/>
        <v>37621.386101365002</v>
      </c>
      <c r="O9" s="8">
        <f t="shared" si="5"/>
        <v>5123.848586105305</v>
      </c>
      <c r="P9" s="12">
        <f t="shared" si="6"/>
        <v>0.13451775603117064</v>
      </c>
      <c r="Q9" s="8">
        <f>K9</f>
        <v>38090.5</v>
      </c>
      <c r="R9" s="57" t="s">
        <v>31</v>
      </c>
    </row>
    <row r="10" spans="1:18" ht="73.2" customHeight="1" x14ac:dyDescent="0.25">
      <c r="A10" s="11">
        <v>8</v>
      </c>
      <c r="B10" s="15" t="s">
        <v>19</v>
      </c>
      <c r="C10" s="14" t="s">
        <v>26</v>
      </c>
      <c r="D10" s="17">
        <v>118</v>
      </c>
      <c r="E10" s="13">
        <f>'COTIZACIONES '!G10</f>
        <v>26180</v>
      </c>
      <c r="F10" s="13">
        <f>'COTIZACIONES '!J10</f>
        <v>35700</v>
      </c>
      <c r="G10" s="13">
        <f>'COTIZACIONES '!M10</f>
        <v>23205</v>
      </c>
      <c r="H10" s="47"/>
      <c r="I10" s="61"/>
      <c r="J10" s="16">
        <f t="shared" si="0"/>
        <v>23205</v>
      </c>
      <c r="K10" s="8">
        <f t="shared" si="1"/>
        <v>28361.666666666668</v>
      </c>
      <c r="L10" s="8">
        <f t="shared" si="2"/>
        <v>27887.300537084968</v>
      </c>
      <c r="M10" s="8">
        <f t="shared" si="3"/>
        <v>26180</v>
      </c>
      <c r="N10" s="8">
        <f t="shared" si="4"/>
        <v>27446.774193548386</v>
      </c>
      <c r="O10" s="8">
        <f t="shared" si="5"/>
        <v>6526.9447931887134</v>
      </c>
      <c r="P10" s="12">
        <f t="shared" si="6"/>
        <v>0.2301326247818786</v>
      </c>
      <c r="Q10" s="8">
        <f>M10</f>
        <v>26180</v>
      </c>
      <c r="R10" s="57" t="s">
        <v>37</v>
      </c>
    </row>
    <row r="11" spans="1:18" ht="39.6" x14ac:dyDescent="0.25">
      <c r="A11" s="11">
        <v>9</v>
      </c>
      <c r="B11" s="15" t="s">
        <v>20</v>
      </c>
      <c r="C11" s="14" t="s">
        <v>26</v>
      </c>
      <c r="D11" s="17">
        <v>7</v>
      </c>
      <c r="E11" s="13">
        <f>'COTIZACIONES '!G11</f>
        <v>35700</v>
      </c>
      <c r="F11" s="13">
        <f>'COTIZACIONES '!J11</f>
        <v>35700</v>
      </c>
      <c r="G11" s="13">
        <f>'COTIZACIONES '!M11</f>
        <v>29036</v>
      </c>
      <c r="H11" s="47"/>
      <c r="I11" s="61"/>
      <c r="J11" s="16">
        <f t="shared" si="0"/>
        <v>29036</v>
      </c>
      <c r="K11" s="8">
        <f t="shared" si="1"/>
        <v>33478.666666666664</v>
      </c>
      <c r="L11" s="8">
        <f t="shared" si="2"/>
        <v>33324.047127453865</v>
      </c>
      <c r="M11" s="8">
        <f t="shared" si="3"/>
        <v>35700</v>
      </c>
      <c r="N11" s="8">
        <f t="shared" si="4"/>
        <v>33162.94416243655</v>
      </c>
      <c r="O11" s="8">
        <f t="shared" si="5"/>
        <v>3847.4621938796658</v>
      </c>
      <c r="P11" s="12">
        <f t="shared" si="6"/>
        <v>0.11492280239793498</v>
      </c>
      <c r="Q11" s="8">
        <f>K11</f>
        <v>33478.666666666664</v>
      </c>
      <c r="R11" s="57" t="s">
        <v>31</v>
      </c>
    </row>
    <row r="12" spans="1:18" ht="52.8" x14ac:dyDescent="0.25">
      <c r="A12" s="11">
        <v>10</v>
      </c>
      <c r="B12" s="15" t="s">
        <v>21</v>
      </c>
      <c r="C12" s="14" t="s">
        <v>26</v>
      </c>
      <c r="D12" s="17">
        <v>1</v>
      </c>
      <c r="E12" s="13">
        <f>'COTIZACIONES '!G12</f>
        <v>9520</v>
      </c>
      <c r="F12" s="13"/>
      <c r="G12" s="13">
        <f>'COTIZACIONES '!M12</f>
        <v>33082</v>
      </c>
      <c r="H12" s="47"/>
      <c r="I12" s="47">
        <f>'COTIZACIONES '!S12</f>
        <v>21967</v>
      </c>
      <c r="J12" s="16">
        <f t="shared" si="0"/>
        <v>9520</v>
      </c>
      <c r="K12" s="8">
        <f>AVERAGE(E12:I12)</f>
        <v>21523</v>
      </c>
      <c r="L12" s="8">
        <f>GEOMEAN(E12,G12,I12)</f>
        <v>19054.599219624175</v>
      </c>
      <c r="M12" s="8">
        <f>MEDIAN(E12,G12,I12)</f>
        <v>21967</v>
      </c>
      <c r="N12" s="8">
        <f>HARMEAN(E12,G12,I12)</f>
        <v>16593.584371651643</v>
      </c>
      <c r="O12" s="8">
        <f>STDEVA(E12:I12)</f>
        <v>11787.273348828388</v>
      </c>
      <c r="P12" s="12">
        <f t="shared" si="6"/>
        <v>0.54765940383907397</v>
      </c>
      <c r="Q12" s="8">
        <f>N12</f>
        <v>16593.584371651643</v>
      </c>
      <c r="R12" s="57" t="s">
        <v>39</v>
      </c>
    </row>
    <row r="13" spans="1:18" ht="52.8" x14ac:dyDescent="0.25">
      <c r="A13" s="11">
        <v>11</v>
      </c>
      <c r="B13" s="15" t="s">
        <v>22</v>
      </c>
      <c r="C13" s="14" t="s">
        <v>26</v>
      </c>
      <c r="D13" s="17">
        <v>1</v>
      </c>
      <c r="E13" s="13">
        <f>'COTIZACIONES '!G13</f>
        <v>9520</v>
      </c>
      <c r="F13" s="13"/>
      <c r="G13" s="13">
        <f>'COTIZACIONES '!M13</f>
        <v>43792</v>
      </c>
      <c r="H13" s="47"/>
      <c r="I13" s="47">
        <f>'COTIZACIONES '!S13</f>
        <v>24716</v>
      </c>
      <c r="J13" s="16">
        <f t="shared" si="0"/>
        <v>9520</v>
      </c>
      <c r="K13" s="8">
        <f>AVERAGE(E13:I13)</f>
        <v>26009.333333333332</v>
      </c>
      <c r="L13" s="8">
        <f t="shared" ref="L13:L16" si="7">GEOMEAN(E13,G13,I13)</f>
        <v>21760.555194167744</v>
      </c>
      <c r="M13" s="8">
        <f t="shared" ref="M13:M16" si="8">MEDIAN(E13,G13,I13)</f>
        <v>24716</v>
      </c>
      <c r="N13" s="8">
        <f t="shared" ref="N13:N16" si="9">HARMEAN(E13,G13,I13)</f>
        <v>17821.408900909759</v>
      </c>
      <c r="O13" s="8">
        <f>STDEVA(E13:I13)</f>
        <v>17172.566183693496</v>
      </c>
      <c r="P13" s="12">
        <f t="shared" si="6"/>
        <v>0.66024630326396283</v>
      </c>
      <c r="Q13" s="8">
        <f>N13</f>
        <v>17821.408900909759</v>
      </c>
      <c r="R13" s="57" t="s">
        <v>39</v>
      </c>
    </row>
    <row r="14" spans="1:18" ht="52.8" x14ac:dyDescent="0.25">
      <c r="A14" s="11">
        <v>12</v>
      </c>
      <c r="B14" s="15" t="s">
        <v>23</v>
      </c>
      <c r="C14" s="14" t="s">
        <v>26</v>
      </c>
      <c r="D14" s="17">
        <v>1</v>
      </c>
      <c r="E14" s="13">
        <f>'COTIZACIONES '!G14</f>
        <v>33320</v>
      </c>
      <c r="F14" s="13"/>
      <c r="G14" s="60"/>
      <c r="H14" s="47"/>
      <c r="I14" s="47">
        <f>'COTIZACIONES '!S14</f>
        <v>168433</v>
      </c>
      <c r="J14" s="16">
        <f t="shared" si="0"/>
        <v>33320</v>
      </c>
      <c r="K14" s="8">
        <f>AVERAGE(E14:I14)</f>
        <v>100876.5</v>
      </c>
      <c r="L14" s="8">
        <f t="shared" si="7"/>
        <v>74914.535038268776</v>
      </c>
      <c r="M14" s="8">
        <f t="shared" si="8"/>
        <v>100876.5</v>
      </c>
      <c r="N14" s="8">
        <f t="shared" si="9"/>
        <v>55634.241473484901</v>
      </c>
      <c r="O14" s="8">
        <f>STDEVA(E14:I14)</f>
        <v>95539.318526457995</v>
      </c>
      <c r="P14" s="12">
        <f t="shared" si="6"/>
        <v>0.94709192454593483</v>
      </c>
      <c r="Q14" s="8">
        <f>J14</f>
        <v>33320</v>
      </c>
      <c r="R14" s="57" t="s">
        <v>67</v>
      </c>
    </row>
    <row r="15" spans="1:18" ht="52.8" x14ac:dyDescent="0.25">
      <c r="A15" s="11">
        <v>13</v>
      </c>
      <c r="B15" s="15" t="s">
        <v>24</v>
      </c>
      <c r="C15" s="14" t="s">
        <v>26</v>
      </c>
      <c r="D15" s="17">
        <v>1</v>
      </c>
      <c r="E15" s="13">
        <f>'COTIZACIONES '!G15</f>
        <v>9520</v>
      </c>
      <c r="F15" s="13"/>
      <c r="G15" s="13">
        <f>'COTIZACIONES '!M15</f>
        <v>33082</v>
      </c>
      <c r="H15" s="47"/>
      <c r="I15" s="47">
        <f>'COTIZACIONES '!S15</f>
        <v>21967</v>
      </c>
      <c r="J15" s="16">
        <f t="shared" si="0"/>
        <v>9520</v>
      </c>
      <c r="K15" s="8">
        <f>AVERAGE(E15:I15)</f>
        <v>21523</v>
      </c>
      <c r="L15" s="8">
        <f t="shared" si="7"/>
        <v>19054.599219624175</v>
      </c>
      <c r="M15" s="8">
        <f t="shared" si="8"/>
        <v>21967</v>
      </c>
      <c r="N15" s="8">
        <f t="shared" si="9"/>
        <v>16593.584371651643</v>
      </c>
      <c r="O15" s="8">
        <f>STDEVA(E15:I15)</f>
        <v>11787.273348828388</v>
      </c>
      <c r="P15" s="12">
        <f t="shared" si="6"/>
        <v>0.54765940383907397</v>
      </c>
      <c r="Q15" s="8">
        <f>N15</f>
        <v>16593.584371651643</v>
      </c>
      <c r="R15" s="57" t="s">
        <v>39</v>
      </c>
    </row>
    <row r="16" spans="1:18" ht="52.8" x14ac:dyDescent="0.25">
      <c r="A16" s="11">
        <v>14</v>
      </c>
      <c r="B16" s="15" t="s">
        <v>25</v>
      </c>
      <c r="C16" s="14" t="s">
        <v>26</v>
      </c>
      <c r="D16" s="17">
        <v>1</v>
      </c>
      <c r="E16" s="13">
        <f>'COTIZACIONES '!G16</f>
        <v>9520</v>
      </c>
      <c r="F16" s="13"/>
      <c r="G16" s="60"/>
      <c r="H16" s="47"/>
      <c r="I16" s="47">
        <f>'COTIZACIONES '!S16</f>
        <v>23800</v>
      </c>
      <c r="J16" s="16">
        <f t="shared" si="0"/>
        <v>9520</v>
      </c>
      <c r="K16" s="8">
        <f>AVERAGE(E16:I16)</f>
        <v>16660</v>
      </c>
      <c r="L16" s="8">
        <f t="shared" si="7"/>
        <v>15052.441662401487</v>
      </c>
      <c r="M16" s="8">
        <f t="shared" si="8"/>
        <v>16660</v>
      </c>
      <c r="N16" s="8">
        <f t="shared" si="9"/>
        <v>13599.999999999998</v>
      </c>
      <c r="O16" s="8">
        <f>STDEVA(E16:I16)</f>
        <v>10097.484835343899</v>
      </c>
      <c r="P16" s="12">
        <f t="shared" si="6"/>
        <v>0.60609152673132649</v>
      </c>
      <c r="Q16" s="8">
        <f>N16</f>
        <v>13599.999999999998</v>
      </c>
      <c r="R16" s="57" t="s">
        <v>39</v>
      </c>
    </row>
    <row r="17" spans="1:18" ht="35.4" customHeight="1" x14ac:dyDescent="0.25">
      <c r="A17" s="23"/>
      <c r="B17" s="24"/>
      <c r="C17" s="25"/>
      <c r="D17" s="26"/>
      <c r="J17" s="25"/>
      <c r="K17" s="25"/>
      <c r="L17" s="25"/>
      <c r="M17" s="27"/>
      <c r="N17" s="25"/>
      <c r="O17" s="25"/>
      <c r="P17" s="28"/>
      <c r="Q17" s="27"/>
      <c r="R17" s="7"/>
    </row>
    <row r="18" spans="1:18" ht="27" customHeight="1" x14ac:dyDescent="0.3">
      <c r="R18" s="7"/>
    </row>
    <row r="19" spans="1:18" ht="33" customHeight="1" x14ac:dyDescent="0.3"/>
    <row r="20" spans="1:18" ht="52.2" customHeight="1" x14ac:dyDescent="0.3"/>
    <row r="21" spans="1:18" ht="14.4" customHeight="1" x14ac:dyDescent="0.3"/>
  </sheetData>
  <autoFilter ref="J2:R16" xr:uid="{DEA9E2A2-62FC-4EC2-B8EF-53F999CA9636}"/>
  <mergeCells count="5">
    <mergeCell ref="A1:A2"/>
    <mergeCell ref="B1:B2"/>
    <mergeCell ref="C1:C2"/>
    <mergeCell ref="D1:D2"/>
    <mergeCell ref="J1:R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2739-D357-4F04-89E2-981B01821CAA}">
  <dimension ref="A1:G28"/>
  <sheetViews>
    <sheetView tabSelected="1" zoomScale="90" zoomScaleNormal="90" workbookViewId="0">
      <selection activeCell="J4" sqref="J4"/>
    </sheetView>
  </sheetViews>
  <sheetFormatPr baseColWidth="10" defaultColWidth="11.44140625" defaultRowHeight="13.2" x14ac:dyDescent="0.3"/>
  <cols>
    <col min="1" max="1" width="15.6640625" style="2" customWidth="1"/>
    <col min="2" max="2" width="22" style="3" customWidth="1"/>
    <col min="3" max="3" width="19" style="3" customWidth="1"/>
    <col min="4" max="4" width="8.109375" style="18" hidden="1" customWidth="1"/>
    <col min="5" max="5" width="17.109375" style="4" customWidth="1"/>
    <col min="6" max="6" width="16.21875" style="1" customWidth="1"/>
    <col min="7" max="7" width="14.44140625" style="1" bestFit="1" customWidth="1"/>
    <col min="8" max="8" width="11.44140625" style="1"/>
    <col min="9" max="9" width="16" style="1" customWidth="1"/>
    <col min="10" max="10" width="11.44140625" style="1"/>
    <col min="11" max="11" width="22.21875" style="1" customWidth="1"/>
    <col min="12" max="12" width="22.88671875" style="1" customWidth="1"/>
    <col min="13" max="16384" width="11.44140625" style="1"/>
  </cols>
  <sheetData>
    <row r="1" spans="1:7" ht="76.8" customHeight="1" x14ac:dyDescent="0.25">
      <c r="A1" s="152" t="s">
        <v>0</v>
      </c>
      <c r="B1" s="154" t="s">
        <v>7</v>
      </c>
      <c r="C1" s="154" t="s">
        <v>10</v>
      </c>
      <c r="D1" s="154" t="s">
        <v>5</v>
      </c>
      <c r="E1" s="125" t="s">
        <v>4</v>
      </c>
      <c r="F1" s="158" t="s">
        <v>9</v>
      </c>
      <c r="G1" s="156" t="s">
        <v>8</v>
      </c>
    </row>
    <row r="2" spans="1:7" ht="80.400000000000006" customHeight="1" thickBot="1" x14ac:dyDescent="0.3">
      <c r="A2" s="153"/>
      <c r="B2" s="155"/>
      <c r="C2" s="155"/>
      <c r="D2" s="155"/>
      <c r="E2" s="126" t="s">
        <v>41</v>
      </c>
      <c r="F2" s="159"/>
      <c r="G2" s="157"/>
    </row>
    <row r="3" spans="1:7" ht="10.8" customHeight="1" thickBot="1" x14ac:dyDescent="0.3">
      <c r="A3" s="146" t="s">
        <v>68</v>
      </c>
      <c r="B3" s="147"/>
      <c r="C3" s="147"/>
      <c r="D3" s="147"/>
      <c r="E3" s="147"/>
      <c r="F3" s="147"/>
      <c r="G3" s="148"/>
    </row>
    <row r="4" spans="1:7" s="5" customFormat="1" ht="54" customHeight="1" x14ac:dyDescent="0.25">
      <c r="A4" s="67">
        <v>1</v>
      </c>
      <c r="B4" s="68" t="s">
        <v>12</v>
      </c>
      <c r="C4" s="69" t="s">
        <v>26</v>
      </c>
      <c r="D4" s="70">
        <v>341</v>
      </c>
      <c r="E4" s="71">
        <f>'ANÁLISIS ESTADÍSTICO'!Q3</f>
        <v>19341.333333333332</v>
      </c>
      <c r="F4" s="72">
        <f t="shared" ref="F4:F16" si="0">D4</f>
        <v>341</v>
      </c>
      <c r="G4" s="73">
        <f>ROUND(E4*F4,0)</f>
        <v>6595395</v>
      </c>
    </row>
    <row r="5" spans="1:7" ht="39.6" x14ac:dyDescent="0.25">
      <c r="A5" s="74">
        <v>2</v>
      </c>
      <c r="B5" s="62" t="s">
        <v>13</v>
      </c>
      <c r="C5" s="63" t="s">
        <v>26</v>
      </c>
      <c r="D5" s="64">
        <v>118</v>
      </c>
      <c r="E5" s="65">
        <f>'ANÁLISIS ESTADÍSTICO'!Q4</f>
        <v>22161.666666666668</v>
      </c>
      <c r="F5" s="66">
        <f t="shared" si="0"/>
        <v>118</v>
      </c>
      <c r="G5" s="75">
        <f t="shared" ref="G5:G23" si="1">ROUND(E5*F5,0)</f>
        <v>2615077</v>
      </c>
    </row>
    <row r="6" spans="1:7" ht="39.6" x14ac:dyDescent="0.25">
      <c r="A6" s="74">
        <v>3</v>
      </c>
      <c r="B6" s="62" t="s">
        <v>14</v>
      </c>
      <c r="C6" s="63" t="s">
        <v>26</v>
      </c>
      <c r="D6" s="64">
        <v>4</v>
      </c>
      <c r="E6" s="65">
        <f>'ANÁLISIS ESTADÍSTICO'!Q5</f>
        <v>86018.152154065712</v>
      </c>
      <c r="F6" s="66">
        <f t="shared" si="0"/>
        <v>4</v>
      </c>
      <c r="G6" s="75">
        <f t="shared" si="1"/>
        <v>344073</v>
      </c>
    </row>
    <row r="7" spans="1:7" ht="39.6" x14ac:dyDescent="0.25">
      <c r="A7" s="74">
        <v>4</v>
      </c>
      <c r="B7" s="62" t="s">
        <v>15</v>
      </c>
      <c r="C7" s="63" t="s">
        <v>26</v>
      </c>
      <c r="D7" s="64">
        <v>8</v>
      </c>
      <c r="E7" s="65">
        <f>'ANÁLISIS ESTADÍSTICO'!Q6</f>
        <v>19341.333333333332</v>
      </c>
      <c r="F7" s="66">
        <f t="shared" si="0"/>
        <v>8</v>
      </c>
      <c r="G7" s="75">
        <f t="shared" si="1"/>
        <v>154731</v>
      </c>
    </row>
    <row r="8" spans="1:7" ht="40.200000000000003" thickBot="1" x14ac:dyDescent="0.3">
      <c r="A8" s="76">
        <v>5</v>
      </c>
      <c r="B8" s="77" t="s">
        <v>16</v>
      </c>
      <c r="C8" s="78" t="s">
        <v>26</v>
      </c>
      <c r="D8" s="79">
        <v>85</v>
      </c>
      <c r="E8" s="80">
        <f>'ANÁLISIS ESTADÍSTICO'!Q7</f>
        <v>17644.911918434707</v>
      </c>
      <c r="F8" s="81">
        <f t="shared" si="0"/>
        <v>85</v>
      </c>
      <c r="G8" s="82">
        <f t="shared" si="1"/>
        <v>1499818</v>
      </c>
    </row>
    <row r="9" spans="1:7" ht="15" customHeight="1" thickBot="1" x14ac:dyDescent="0.3">
      <c r="A9" s="162" t="s">
        <v>73</v>
      </c>
      <c r="B9" s="163"/>
      <c r="C9" s="163"/>
      <c r="D9" s="163"/>
      <c r="E9" s="163"/>
      <c r="F9" s="164"/>
      <c r="G9" s="84">
        <f>SUM(G4:G8)</f>
        <v>11209094</v>
      </c>
    </row>
    <row r="10" spans="1:7" ht="15" customHeight="1" thickBot="1" x14ac:dyDescent="0.3">
      <c r="A10" s="149" t="s">
        <v>69</v>
      </c>
      <c r="B10" s="150"/>
      <c r="C10" s="150"/>
      <c r="D10" s="150"/>
      <c r="E10" s="150"/>
      <c r="F10" s="150"/>
      <c r="G10" s="151"/>
    </row>
    <row r="11" spans="1:7" ht="26.4" x14ac:dyDescent="0.25">
      <c r="A11" s="85">
        <v>6</v>
      </c>
      <c r="B11" s="86" t="s">
        <v>17</v>
      </c>
      <c r="C11" s="87" t="s">
        <v>26</v>
      </c>
      <c r="D11" s="88">
        <v>118</v>
      </c>
      <c r="E11" s="89">
        <f>'ANÁLISIS ESTADÍSTICO'!Q8</f>
        <v>31612.5</v>
      </c>
      <c r="F11" s="90">
        <f t="shared" si="0"/>
        <v>118</v>
      </c>
      <c r="G11" s="91">
        <f t="shared" si="1"/>
        <v>3730275</v>
      </c>
    </row>
    <row r="12" spans="1:7" ht="27" thickBot="1" x14ac:dyDescent="0.3">
      <c r="A12" s="92">
        <v>7</v>
      </c>
      <c r="B12" s="93" t="s">
        <v>18</v>
      </c>
      <c r="C12" s="94" t="s">
        <v>26</v>
      </c>
      <c r="D12" s="95">
        <v>7</v>
      </c>
      <c r="E12" s="89">
        <f>'ANÁLISIS ESTADÍSTICO'!Q9</f>
        <v>38090.5</v>
      </c>
      <c r="F12" s="90">
        <f t="shared" si="0"/>
        <v>7</v>
      </c>
      <c r="G12" s="96">
        <f t="shared" si="1"/>
        <v>266634</v>
      </c>
    </row>
    <row r="13" spans="1:7" ht="15" customHeight="1" thickBot="1" x14ac:dyDescent="0.3">
      <c r="A13" s="165" t="s">
        <v>74</v>
      </c>
      <c r="B13" s="166"/>
      <c r="C13" s="166"/>
      <c r="D13" s="166"/>
      <c r="E13" s="166"/>
      <c r="F13" s="167"/>
      <c r="G13" s="83">
        <f>G11+G12</f>
        <v>3996909</v>
      </c>
    </row>
    <row r="14" spans="1:7" ht="15" customHeight="1" thickBot="1" x14ac:dyDescent="0.3">
      <c r="A14" s="168" t="s">
        <v>70</v>
      </c>
      <c r="B14" s="169"/>
      <c r="C14" s="169"/>
      <c r="D14" s="169"/>
      <c r="E14" s="169"/>
      <c r="F14" s="169"/>
      <c r="G14" s="170"/>
    </row>
    <row r="15" spans="1:7" ht="73.2" customHeight="1" x14ac:dyDescent="0.25">
      <c r="A15" s="97">
        <v>8</v>
      </c>
      <c r="B15" s="98" t="s">
        <v>19</v>
      </c>
      <c r="C15" s="99" t="s">
        <v>26</v>
      </c>
      <c r="D15" s="100">
        <v>118</v>
      </c>
      <c r="E15" s="101">
        <f>'ANÁLISIS ESTADÍSTICO'!Q10</f>
        <v>26180</v>
      </c>
      <c r="F15" s="102">
        <f t="shared" si="0"/>
        <v>118</v>
      </c>
      <c r="G15" s="103">
        <f>ROUND(E15*F15,0)</f>
        <v>3089240</v>
      </c>
    </row>
    <row r="16" spans="1:7" ht="40.200000000000003" thickBot="1" x14ac:dyDescent="0.3">
      <c r="A16" s="104">
        <v>9</v>
      </c>
      <c r="B16" s="105" t="s">
        <v>20</v>
      </c>
      <c r="C16" s="106" t="s">
        <v>26</v>
      </c>
      <c r="D16" s="107">
        <v>7</v>
      </c>
      <c r="E16" s="108">
        <f>'ANÁLISIS ESTADÍSTICO'!Q11</f>
        <v>33478.666666666664</v>
      </c>
      <c r="F16" s="109">
        <f t="shared" si="0"/>
        <v>7</v>
      </c>
      <c r="G16" s="110">
        <f t="shared" si="1"/>
        <v>234351</v>
      </c>
    </row>
    <row r="17" spans="1:7" ht="15" customHeight="1" thickBot="1" x14ac:dyDescent="0.3">
      <c r="A17" s="171" t="s">
        <v>76</v>
      </c>
      <c r="B17" s="172"/>
      <c r="C17" s="172"/>
      <c r="D17" s="172"/>
      <c r="E17" s="172"/>
      <c r="F17" s="173"/>
      <c r="G17" s="128">
        <f>G15+G16</f>
        <v>3323591</v>
      </c>
    </row>
    <row r="18" spans="1:7" ht="15" customHeight="1" thickBot="1" x14ac:dyDescent="0.3">
      <c r="A18" s="177" t="s">
        <v>71</v>
      </c>
      <c r="B18" s="178"/>
      <c r="C18" s="178"/>
      <c r="D18" s="178"/>
      <c r="E18" s="178"/>
      <c r="F18" s="178"/>
      <c r="G18" s="179"/>
    </row>
    <row r="19" spans="1:7" ht="52.8" x14ac:dyDescent="0.25">
      <c r="A19" s="111">
        <v>10</v>
      </c>
      <c r="B19" s="112" t="s">
        <v>21</v>
      </c>
      <c r="C19" s="113" t="s">
        <v>26</v>
      </c>
      <c r="D19" s="114">
        <v>341</v>
      </c>
      <c r="E19" s="115">
        <f>'ANÁLISIS ESTADÍSTICO'!Q12</f>
        <v>16593.584371651643</v>
      </c>
      <c r="F19" s="116">
        <v>341</v>
      </c>
      <c r="G19" s="117">
        <f t="shared" si="1"/>
        <v>5658412</v>
      </c>
    </row>
    <row r="20" spans="1:7" ht="52.8" x14ac:dyDescent="0.25">
      <c r="A20" s="111">
        <v>11</v>
      </c>
      <c r="B20" s="112" t="s">
        <v>22</v>
      </c>
      <c r="C20" s="113" t="s">
        <v>26</v>
      </c>
      <c r="D20" s="114">
        <v>118</v>
      </c>
      <c r="E20" s="115">
        <f>'ANÁLISIS ESTADÍSTICO'!Q13</f>
        <v>17821.408900909759</v>
      </c>
      <c r="F20" s="116">
        <v>118</v>
      </c>
      <c r="G20" s="117">
        <f t="shared" si="1"/>
        <v>2102926</v>
      </c>
    </row>
    <row r="21" spans="1:7" ht="52.8" x14ac:dyDescent="0.25">
      <c r="A21" s="111">
        <v>12</v>
      </c>
      <c r="B21" s="112" t="s">
        <v>23</v>
      </c>
      <c r="C21" s="113" t="s">
        <v>26</v>
      </c>
      <c r="D21" s="114">
        <v>4</v>
      </c>
      <c r="E21" s="115">
        <f>'ANÁLISIS ESTADÍSTICO'!Q14</f>
        <v>33320</v>
      </c>
      <c r="F21" s="116">
        <v>4</v>
      </c>
      <c r="G21" s="117">
        <f t="shared" si="1"/>
        <v>133280</v>
      </c>
    </row>
    <row r="22" spans="1:7" ht="52.8" x14ac:dyDescent="0.25">
      <c r="A22" s="111">
        <v>13</v>
      </c>
      <c r="B22" s="112" t="s">
        <v>24</v>
      </c>
      <c r="C22" s="113" t="s">
        <v>26</v>
      </c>
      <c r="D22" s="114">
        <v>8</v>
      </c>
      <c r="E22" s="115">
        <f>'ANÁLISIS ESTADÍSTICO'!Q15</f>
        <v>16593.584371651643</v>
      </c>
      <c r="F22" s="116">
        <v>8</v>
      </c>
      <c r="G22" s="117">
        <f t="shared" si="1"/>
        <v>132749</v>
      </c>
    </row>
    <row r="23" spans="1:7" ht="53.4" thickBot="1" x14ac:dyDescent="0.3">
      <c r="A23" s="118">
        <v>14</v>
      </c>
      <c r="B23" s="119" t="s">
        <v>25</v>
      </c>
      <c r="C23" s="120" t="s">
        <v>26</v>
      </c>
      <c r="D23" s="121">
        <v>85</v>
      </c>
      <c r="E23" s="122">
        <f>'ANÁLISIS ESTADÍSTICO'!Q16</f>
        <v>13599.999999999998</v>
      </c>
      <c r="F23" s="123">
        <v>85</v>
      </c>
      <c r="G23" s="124">
        <f t="shared" si="1"/>
        <v>1156000</v>
      </c>
    </row>
    <row r="24" spans="1:7" ht="15" customHeight="1" thickBot="1" x14ac:dyDescent="0.3">
      <c r="A24" s="174" t="s">
        <v>75</v>
      </c>
      <c r="B24" s="175"/>
      <c r="C24" s="175"/>
      <c r="D24" s="175"/>
      <c r="E24" s="175"/>
      <c r="F24" s="176"/>
      <c r="G24" s="129">
        <f>SUM(G19:G23)</f>
        <v>9183367</v>
      </c>
    </row>
    <row r="25" spans="1:7" ht="13.8" customHeight="1" thickBot="1" x14ac:dyDescent="0.3">
      <c r="A25" s="160" t="s">
        <v>72</v>
      </c>
      <c r="B25" s="160"/>
      <c r="C25" s="160"/>
      <c r="D25" s="160"/>
      <c r="E25" s="160"/>
      <c r="F25" s="161"/>
      <c r="G25" s="127">
        <f>G9+G13+G17+G24</f>
        <v>27712961</v>
      </c>
    </row>
    <row r="26" spans="1:7" ht="10.8" x14ac:dyDescent="0.25">
      <c r="A26" s="1"/>
      <c r="B26" s="1"/>
      <c r="C26" s="1"/>
      <c r="D26" s="1"/>
      <c r="E26" s="1"/>
    </row>
    <row r="28" spans="1:7" ht="13.2" customHeight="1" x14ac:dyDescent="0.25">
      <c r="A28" s="1"/>
      <c r="B28" s="1"/>
      <c r="C28" s="1"/>
      <c r="D28" s="1"/>
      <c r="E28" s="1"/>
    </row>
  </sheetData>
  <mergeCells count="15">
    <mergeCell ref="A25:F25"/>
    <mergeCell ref="A9:F9"/>
    <mergeCell ref="A13:F13"/>
    <mergeCell ref="A14:G14"/>
    <mergeCell ref="A17:F17"/>
    <mergeCell ref="A24:F24"/>
    <mergeCell ref="A18:G18"/>
    <mergeCell ref="A3:G3"/>
    <mergeCell ref="A10:G10"/>
    <mergeCell ref="A1:A2"/>
    <mergeCell ref="B1:B2"/>
    <mergeCell ref="C1:C2"/>
    <mergeCell ref="D1:D2"/>
    <mergeCell ref="G1:G2"/>
    <mergeCell ref="F1:F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COTIZACIONES </vt:lpstr>
      <vt:lpstr>ALTOS </vt:lpstr>
      <vt:lpstr>ANÁLISIS ESTADÍSTICO</vt:lpstr>
      <vt:lpstr>PRECIOS DE REFERENCIA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2026-09-08T22:41:38Z</dcterms:modified>
</cp:coreProperties>
</file>