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showInkAnnotation="0"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PLANEACION 2026\PROCESO MANTENIMIENTO PERIODICO DE VIAS\MENOR CUANTIA 005 DE 2026 DT VERS 3\"/>
    </mc:Choice>
  </mc:AlternateContent>
  <xr:revisionPtr revIDLastSave="0" documentId="13_ncr:1_{BCB1D51B-261B-4B0D-915C-16ACCEC7881A}" xr6:coauthVersionLast="47" xr6:coauthVersionMax="47" xr10:uidLastSave="{00000000-0000-0000-0000-000000000000}"/>
  <bookViews>
    <workbookView xWindow="-120" yWindow="-120" windowWidth="29040" windowHeight="15840" tabRatio="826" firstSheet="6" activeTab="6" xr2:uid="{00000000-000D-0000-FFFF-FFFF00000000}"/>
  </bookViews>
  <sheets>
    <sheet name="CRONOGRAMA" sheetId="117" state="hidden" r:id="rId1"/>
    <sheet name="DISCRIMINACIÓN AIU" sheetId="116" state="hidden" r:id="rId2"/>
    <sheet name="FACTOR MULTIPLICADOR" sheetId="142" state="hidden" r:id="rId3"/>
    <sheet name="DISCRIMINACION INTER" sheetId="115" state="hidden" r:id="rId4"/>
    <sheet name="DISCRIMINACIÓN AIU." sheetId="141" state="hidden" r:id="rId5"/>
    <sheet name="CARACTERIZACIÓN" sheetId="133" state="hidden" r:id="rId6"/>
    <sheet name="PRESUPUESTO" sheetId="226" r:id="rId7"/>
    <sheet name="1 Conformación " sheetId="232" r:id="rId8"/>
    <sheet name="2 Afirmado" sheetId="233" r:id="rId9"/>
    <sheet name="3 Transporte" sheetId="234" r:id="rId10"/>
    <sheet name="CANTIDADES" sheetId="231" r:id="rId11"/>
    <sheet name="PROPUESTA ECONOMICA" sheetId="235" r:id="rId12"/>
    <sheet name="2,8" sheetId="172" state="hidden" r:id="rId13"/>
    <sheet name="1.1" sheetId="104" state="hidden" r:id="rId14"/>
    <sheet name="2.1" sheetId="105" state="hidden" r:id="rId15"/>
    <sheet name="2.2" sheetId="10" state="hidden" r:id="rId16"/>
    <sheet name="2.3" sheetId="110" state="hidden" r:id="rId17"/>
    <sheet name="2.4." sheetId="121" state="hidden" r:id="rId18"/>
    <sheet name="2.5." sheetId="130" state="hidden" r:id="rId19"/>
    <sheet name="2.6." sheetId="14" state="hidden" r:id="rId20"/>
    <sheet name="2.7." sheetId="18" state="hidden" r:id="rId21"/>
    <sheet name="2.8." sheetId="22" state="hidden" r:id="rId22"/>
    <sheet name="2.9" sheetId="129" state="hidden" r:id="rId23"/>
    <sheet name="3.1" sheetId="131" state="hidden" r:id="rId24"/>
    <sheet name="3.2" sheetId="108" state="hidden" r:id="rId25"/>
    <sheet name="3.3" sheetId="109" state="hidden" r:id="rId26"/>
    <sheet name="3.4" sheetId="103" state="hidden" r:id="rId27"/>
    <sheet name="3.5." sheetId="134" state="hidden" r:id="rId28"/>
    <sheet name="3.6" sheetId="132" state="hidden" r:id="rId29"/>
    <sheet name="3.7" sheetId="102" state="hidden" r:id="rId30"/>
    <sheet name="4.1" sheetId="128" state="hidden" r:id="rId31"/>
    <sheet name="4.2" sheetId="135" state="hidden" r:id="rId32"/>
    <sheet name="4.3" sheetId="137" state="hidden" r:id="rId33"/>
    <sheet name="4.4" sheetId="138" state="hidden" r:id="rId34"/>
    <sheet name="4.5" sheetId="139" state="hidden" r:id="rId35"/>
    <sheet name="4.6" sheetId="140" state="hidden" r:id="rId36"/>
    <sheet name="Cto 3000" sheetId="127" state="hidden" r:id="rId37"/>
    <sheet name=" Cto2500" sheetId="24" state="hidden" r:id="rId38"/>
    <sheet name="Cto 2000" sheetId="126" state="hidden" r:id="rId39"/>
    <sheet name="TRANSPORTE" sheetId="106" state="hidden" r:id="rId40"/>
    <sheet name="EQUIPO" sheetId="2" state="hidden" r:id="rId41"/>
    <sheet name="MANO DE OBRA" sheetId="12" state="hidden" r:id="rId42"/>
    <sheet name="Despiece de Insumos" sheetId="13" state="hidden" r:id="rId43"/>
  </sheets>
  <externalReferences>
    <externalReference r:id="rId44"/>
    <externalReference r:id="rId45"/>
    <externalReference r:id="rId46"/>
  </externalReferences>
  <definedNames>
    <definedName name="_xlnm.Print_Area" localSheetId="37">' Cto2500'!$A$1:$H$47</definedName>
    <definedName name="_xlnm.Print_Area" localSheetId="7">'1 Conformación '!$A$1:$F$46</definedName>
    <definedName name="_xlnm.Print_Area" localSheetId="13">'1.1'!$A$1:$H$40</definedName>
    <definedName name="_xlnm.Print_Area" localSheetId="8">'2 Afirmado'!$A$1:$F$46</definedName>
    <definedName name="_xlnm.Print_Area" localSheetId="12">'2,8'!$B$1:$P$62</definedName>
    <definedName name="_xlnm.Print_Area" localSheetId="14">'2.1'!$A$1:$H$43</definedName>
    <definedName name="_xlnm.Print_Area" localSheetId="15">'2.2'!$A$1:$H$46</definedName>
    <definedName name="_xlnm.Print_Area" localSheetId="16">'2.3'!$A$1:$H$48</definedName>
    <definedName name="_xlnm.Print_Area" localSheetId="17">'2.4.'!$A$1:$H$48</definedName>
    <definedName name="_xlnm.Print_Area" localSheetId="19">'2.6.'!$A$1:$H$50</definedName>
    <definedName name="_xlnm.Print_Area" localSheetId="20">'2.7.'!$A$1:$H$49</definedName>
    <definedName name="_xlnm.Print_Area" localSheetId="21">'2.8.'!$A$1:$H$50</definedName>
    <definedName name="_xlnm.Print_Area" localSheetId="22">'2.9'!$A$1:$H$46</definedName>
    <definedName name="_xlnm.Print_Area" localSheetId="9">'3 Transporte'!$A$1:$F$43</definedName>
    <definedName name="_xlnm.Print_Area" localSheetId="24">'3.2'!$A$1:$H$47</definedName>
    <definedName name="_xlnm.Print_Area" localSheetId="25">'3.3'!$A$1:$H$46</definedName>
    <definedName name="_xlnm.Print_Area" localSheetId="26">'3.4'!$A$1:$H$49</definedName>
    <definedName name="_xlnm.Print_Area" localSheetId="27">'3.5.'!$A$1:$H$49</definedName>
    <definedName name="_xlnm.Print_Area" localSheetId="28">'3.6'!$A$1:$H$48</definedName>
    <definedName name="_xlnm.Print_Area" localSheetId="29">'3.7'!$A$1:$H$48</definedName>
    <definedName name="_xlnm.Print_Area" localSheetId="30">'4.1'!$A$1:$H$46</definedName>
    <definedName name="_xlnm.Print_Area" localSheetId="32">'4.3'!$A$1:$H$47</definedName>
    <definedName name="_xlnm.Print_Area" localSheetId="33">'4.4'!$A$1:$H$46</definedName>
    <definedName name="_xlnm.Print_Area" localSheetId="34">'4.5'!$A$1:$H$51</definedName>
    <definedName name="_xlnm.Print_Area" localSheetId="35">'4.6'!$A$1:$H$48</definedName>
    <definedName name="_xlnm.Print_Area" localSheetId="10">CANTIDADES!$A$1:$H$17</definedName>
    <definedName name="_xlnm.Print_Area" localSheetId="5">CARACTERIZACIÓN!$A$1:$F$33</definedName>
    <definedName name="_xlnm.Print_Area" localSheetId="0">CRONOGRAMA!$A$1:$BD$36</definedName>
    <definedName name="_xlnm.Print_Area" localSheetId="38">'Cto 2000'!$A$1:$H$46</definedName>
    <definedName name="_xlnm.Print_Area" localSheetId="36">'Cto 3000'!$A$1:$H$46</definedName>
    <definedName name="_xlnm.Print_Area" localSheetId="42">'Despiece de Insumos'!$B$1:$D$34</definedName>
    <definedName name="_xlnm.Print_Area" localSheetId="1">'DISCRIMINACIÓN AIU'!$A$1:$H$61</definedName>
    <definedName name="_xlnm.Print_Area" localSheetId="4">'DISCRIMINACIÓN AIU.'!$A$1:$H$63</definedName>
    <definedName name="_xlnm.Print_Area" localSheetId="3">'DISCRIMINACION INTER'!$A$1:$G$47</definedName>
    <definedName name="_xlnm.Print_Area" localSheetId="40">EQUIPO!$B$1:$D$18</definedName>
    <definedName name="_xlnm.Print_Area" localSheetId="2">'FACTOR MULTIPLICADOR'!$A$1:$E$56</definedName>
    <definedName name="_xlnm.Print_Area" localSheetId="41">'MANO DE OBRA'!$A$1:$E$36</definedName>
    <definedName name="_xlnm.Print_Area" localSheetId="6">PRESUPUESTO!$A$1:$F$14</definedName>
    <definedName name="_xlnm.Print_Area" localSheetId="11">'PROPUESTA ECONOMICA'!$A$1:$F$14</definedName>
    <definedName name="_xlnm.Print_Area" localSheetId="39">TRANSPORTE!$A$1:$H$43</definedName>
    <definedName name="CAP15CUBIERTA" localSheetId="12">#REF!</definedName>
    <definedName name="CAP15CUBIERTA">#REF!</definedName>
    <definedName name="cap16cubierta" localSheetId="12">#REF!</definedName>
    <definedName name="cap16cubierta">#REF!</definedName>
    <definedName name="fff" localSheetId="12">#REF!</definedName>
    <definedName name="fff">#REF!</definedName>
    <definedName name="MI" localSheetId="12">#REF!,#REF!,#REF!,#REF!,#REF!,#REF!,#REF!</definedName>
    <definedName name="MI">#REF!,#REF!,#REF!,#REF!,#REF!,#REF!,#REF!</definedName>
    <definedName name="mis" localSheetId="12">#REF!,#REF!,#REF!,#REF!,#REF!,#REF!,#REF!</definedName>
    <definedName name="mis">#REF!,#REF!,#REF!,#REF!,#REF!,#REF!,#REF!</definedName>
    <definedName name="ML" localSheetId="12">#REF!,#REF!,#REF!,#REF!,#REF!,#REF!,#REF!</definedName>
    <definedName name="ML">#REF!,#REF!,#REF!,#REF!,#REF!,#REF!,#REF!</definedName>
    <definedName name="pisos" localSheetId="12">#REF!</definedName>
    <definedName name="pisos">#REF!</definedName>
    <definedName name="sfsfsf" localSheetId="12">#REF!,#REF!,#REF!,#REF!,#REF!,#REF!,#REF!</definedName>
    <definedName name="sfsfsf">#REF!,#REF!,#REF!,#REF!,#REF!,#REF!,#REF!</definedName>
    <definedName name="_xlnm.Print_Titles" localSheetId="42">'Despiece de Insumos'!$3:$5</definedName>
    <definedName name="total" localSheetId="12">#REF!</definedName>
    <definedName name="total">#REF!</definedName>
    <definedName name="TOTAL10" localSheetId="12">#REF!</definedName>
    <definedName name="TOTAL10">#REF!</definedName>
    <definedName name="total2" localSheetId="12">#REF!</definedName>
    <definedName name="total2">#REF!</definedName>
    <definedName name="TOTAL3" localSheetId="12">#REF!</definedName>
    <definedName name="TOTAL3">#REF!</definedName>
    <definedName name="TOTAL4" localSheetId="12">#REF!</definedName>
    <definedName name="TOTAL4">#REF!</definedName>
    <definedName name="TOTAL5" localSheetId="12">#REF!</definedName>
    <definedName name="TOTAL5">#REF!</definedName>
    <definedName name="TOTAL6" localSheetId="12">#REF!</definedName>
    <definedName name="TOTAL6">#REF!</definedName>
    <definedName name="W" localSheetId="12">#REF!,#REF!,#REF!,#REF!,#REF!,#REF!,#REF!</definedName>
    <definedName name="W">#REF!,#REF!,#REF!,#REF!,#REF!,#REF!,#REF!</definedName>
    <definedName name="Z_7DD905C7_27C0_45AC_B7C7_6C983DB2D71B_.wvu.PrintArea" localSheetId="7" hidden="1">'1 Conformación '!$A$1:$F$45</definedName>
    <definedName name="Z_7DD905C7_27C0_45AC_B7C7_6C983DB2D71B_.wvu.PrintArea" localSheetId="8" hidden="1">'2 Afirmado'!$A$1:$F$46</definedName>
    <definedName name="Z_7DD905C7_27C0_45AC_B7C7_6C983DB2D71B_.wvu.PrintArea" localSheetId="9" hidden="1">'3 Transporte'!$A$1:$F$39</definedName>
  </definedNames>
  <calcPr calcId="18102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6" i="235" l="1"/>
  <c r="D7" i="235" s="1"/>
  <c r="F11" i="234"/>
  <c r="F12" i="234" s="1"/>
  <c r="F25" i="234"/>
  <c r="D20" i="234"/>
  <c r="F20" i="234" s="1"/>
  <c r="D19" i="234"/>
  <c r="F19" i="234" s="1"/>
  <c r="F21" i="234" s="1"/>
  <c r="F16" i="234"/>
  <c r="D8" i="234"/>
  <c r="E7" i="234"/>
  <c r="A7" i="234"/>
  <c r="A3" i="234"/>
  <c r="C2" i="234"/>
  <c r="E32" i="233"/>
  <c r="F26" i="233"/>
  <c r="F21" i="233"/>
  <c r="F22" i="233" s="1"/>
  <c r="F17" i="233"/>
  <c r="F18" i="233" s="1"/>
  <c r="C17" i="233"/>
  <c r="A17" i="233"/>
  <c r="F13" i="233"/>
  <c r="A13" i="233"/>
  <c r="F12" i="233"/>
  <c r="A12" i="233"/>
  <c r="F11" i="233"/>
  <c r="F14" i="233" s="1"/>
  <c r="A11" i="233"/>
  <c r="D8" i="233"/>
  <c r="B5" i="233"/>
  <c r="A3" i="233"/>
  <c r="C2" i="233"/>
  <c r="F26" i="232"/>
  <c r="F22" i="232"/>
  <c r="F21" i="232"/>
  <c r="F18" i="232"/>
  <c r="F12" i="232"/>
  <c r="F13" i="232" s="1"/>
  <c r="F28" i="232" s="1"/>
  <c r="A12" i="232"/>
  <c r="F11" i="232"/>
  <c r="A11" i="232"/>
  <c r="D8" i="232"/>
  <c r="E7" i="232"/>
  <c r="B5" i="232"/>
  <c r="A3" i="232"/>
  <c r="C2" i="232"/>
  <c r="F6" i="226"/>
  <c r="F8" i="226"/>
  <c r="F7" i="226"/>
  <c r="D8" i="235" l="1"/>
  <c r="F8" i="235" s="1"/>
  <c r="F7" i="235"/>
  <c r="F6" i="235"/>
  <c r="F9" i="235" s="1"/>
  <c r="F27" i="234"/>
  <c r="F28" i="233"/>
  <c r="F31" i="232"/>
  <c r="F33" i="232"/>
  <c r="F32" i="232"/>
  <c r="F9" i="226"/>
  <c r="F13" i="235" l="1"/>
  <c r="F12" i="235"/>
  <c r="F11" i="235"/>
  <c r="F30" i="234"/>
  <c r="F32" i="234"/>
  <c r="F31" i="234"/>
  <c r="F31" i="233"/>
  <c r="F33" i="233"/>
  <c r="F32" i="233"/>
  <c r="F34" i="232"/>
  <c r="F36" i="232" s="1"/>
  <c r="F14" i="235" l="1"/>
  <c r="F33" i="234"/>
  <c r="F35" i="234" s="1"/>
  <c r="F34" i="233"/>
  <c r="F36" i="233" s="1"/>
  <c r="A12" i="231" l="1"/>
  <c r="D13" i="231"/>
  <c r="E13" i="231"/>
  <c r="A14" i="231"/>
  <c r="G11" i="231"/>
  <c r="H10" i="231" s="1"/>
  <c r="A10" i="231"/>
  <c r="G13" i="231" l="1"/>
  <c r="H12" i="231" s="1"/>
  <c r="E15" i="231" s="1"/>
  <c r="G15" i="231" s="1"/>
  <c r="H14" i="231" s="1"/>
  <c r="D6" i="226" l="1"/>
  <c r="D7" i="226"/>
  <c r="D8" i="226" l="1"/>
  <c r="F11" i="226" l="1"/>
  <c r="F13" i="226" l="1"/>
  <c r="F12" i="226"/>
  <c r="H8" i="172"/>
  <c r="C8" i="172"/>
  <c r="G6" i="172"/>
  <c r="G5" i="172"/>
  <c r="O24" i="172"/>
  <c r="J19" i="172"/>
  <c r="O19" i="172" s="1"/>
  <c r="O18" i="172"/>
  <c r="O20" i="172"/>
  <c r="O21" i="172"/>
  <c r="O22" i="172"/>
  <c r="O23" i="172"/>
  <c r="O17" i="172"/>
  <c r="H12" i="172"/>
  <c r="D13" i="172"/>
  <c r="O12" i="172" s="1"/>
  <c r="C13" i="172"/>
  <c r="G12" i="172" s="1"/>
  <c r="G15" i="172"/>
  <c r="B4" i="117"/>
  <c r="H37" i="141"/>
  <c r="H36" i="141"/>
  <c r="H26" i="141"/>
  <c r="H27" i="141"/>
  <c r="H28" i="141"/>
  <c r="H29" i="141"/>
  <c r="H30" i="141"/>
  <c r="H31" i="141"/>
  <c r="H32" i="141"/>
  <c r="H33" i="141"/>
  <c r="H34" i="141"/>
  <c r="H35" i="141"/>
  <c r="H38" i="141"/>
  <c r="H39" i="141"/>
  <c r="H40" i="141"/>
  <c r="H11" i="141"/>
  <c r="H12" i="141"/>
  <c r="H13" i="141"/>
  <c r="H14" i="141"/>
  <c r="H15" i="141"/>
  <c r="H16" i="141"/>
  <c r="H17" i="141"/>
  <c r="H18" i="141"/>
  <c r="H19" i="141"/>
  <c r="H20" i="141"/>
  <c r="H21" i="141"/>
  <c r="H22" i="141"/>
  <c r="H23" i="141"/>
  <c r="D43" i="141"/>
  <c r="H43" i="141" s="1"/>
  <c r="D45" i="141"/>
  <c r="H45" i="141" s="1"/>
  <c r="D46" i="141"/>
  <c r="H46" i="141" s="1"/>
  <c r="D47" i="141"/>
  <c r="H47" i="141" s="1"/>
  <c r="D49" i="141"/>
  <c r="H49" i="141" s="1"/>
  <c r="D50" i="141"/>
  <c r="H50" i="141" s="1"/>
  <c r="D17" i="117"/>
  <c r="G18" i="117" s="1"/>
  <c r="K18" i="117" s="1"/>
  <c r="D15" i="117"/>
  <c r="G16" i="117" s="1"/>
  <c r="K16" i="117" s="1"/>
  <c r="O16" i="117" s="1"/>
  <c r="S16" i="117" s="1"/>
  <c r="W16" i="117" s="1"/>
  <c r="AA16" i="117" s="1"/>
  <c r="AE16" i="117" s="1"/>
  <c r="AI16" i="117" s="1"/>
  <c r="AM16" i="117" s="1"/>
  <c r="AQ16" i="117" s="1"/>
  <c r="AU16" i="117" s="1"/>
  <c r="AY16" i="117" s="1"/>
  <c r="D13" i="117"/>
  <c r="G14" i="117" s="1"/>
  <c r="K14" i="117" s="1"/>
  <c r="O14" i="117" s="1"/>
  <c r="S14" i="117" s="1"/>
  <c r="W14" i="117" s="1"/>
  <c r="AA14" i="117" s="1"/>
  <c r="AE14" i="117" s="1"/>
  <c r="AI14" i="117" s="1"/>
  <c r="AM14" i="117" s="1"/>
  <c r="AQ14" i="117" s="1"/>
  <c r="AU14" i="117" s="1"/>
  <c r="AY14" i="117" s="1"/>
  <c r="E32" i="115"/>
  <c r="G32" i="115" s="1"/>
  <c r="E32" i="104"/>
  <c r="G32" i="104" s="1"/>
  <c r="E11" i="104"/>
  <c r="G11" i="104" s="1"/>
  <c r="G22" i="117"/>
  <c r="K22" i="117" s="1"/>
  <c r="O22" i="117" s="1"/>
  <c r="S22" i="117" s="1"/>
  <c r="W22" i="117" s="1"/>
  <c r="AA22" i="117" s="1"/>
  <c r="AE22" i="117" s="1"/>
  <c r="AI22" i="117" s="1"/>
  <c r="AM22" i="117" s="1"/>
  <c r="AQ22" i="117" s="1"/>
  <c r="AU22" i="117" s="1"/>
  <c r="AY22" i="117" s="1"/>
  <c r="G20" i="117"/>
  <c r="K20" i="117" s="1"/>
  <c r="O20" i="117" s="1"/>
  <c r="D11" i="117"/>
  <c r="G30" i="115"/>
  <c r="G16" i="115"/>
  <c r="G15" i="115"/>
  <c r="G11" i="115"/>
  <c r="G21" i="115"/>
  <c r="G18" i="115"/>
  <c r="E9" i="142"/>
  <c r="E21" i="142"/>
  <c r="H41" i="142"/>
  <c r="H7" i="142"/>
  <c r="H42" i="142"/>
  <c r="H43" i="142"/>
  <c r="H44" i="142"/>
  <c r="G44" i="142" s="1"/>
  <c r="D44" i="142" s="1"/>
  <c r="G10" i="115"/>
  <c r="B3" i="142"/>
  <c r="I22" i="142"/>
  <c r="J22" i="142" s="1"/>
  <c r="G13" i="115"/>
  <c r="G12" i="115"/>
  <c r="D54" i="141"/>
  <c r="H54" i="141" s="1"/>
  <c r="H55" i="141" s="1"/>
  <c r="H26" i="116"/>
  <c r="H27" i="116"/>
  <c r="H28" i="116"/>
  <c r="H29" i="116"/>
  <c r="H30" i="116"/>
  <c r="H31" i="116"/>
  <c r="H32" i="116"/>
  <c r="H33" i="116"/>
  <c r="H34" i="116"/>
  <c r="H35" i="116"/>
  <c r="H36" i="116"/>
  <c r="H37" i="116"/>
  <c r="H38" i="116"/>
  <c r="H11" i="116"/>
  <c r="H12" i="116"/>
  <c r="H13" i="116"/>
  <c r="H14" i="116"/>
  <c r="H15" i="116"/>
  <c r="H16" i="116"/>
  <c r="H17" i="116"/>
  <c r="H18" i="116"/>
  <c r="H19" i="116"/>
  <c r="H20" i="116"/>
  <c r="H21" i="116"/>
  <c r="H22" i="116"/>
  <c r="H23" i="116"/>
  <c r="D57" i="141"/>
  <c r="H57" i="141" s="1"/>
  <c r="H58" i="141" s="1"/>
  <c r="E25" i="103"/>
  <c r="H14" i="106"/>
  <c r="H22" i="106"/>
  <c r="E25" i="106"/>
  <c r="G25" i="106" s="1"/>
  <c r="H26" i="106" s="1"/>
  <c r="H31" i="106"/>
  <c r="G10" i="139"/>
  <c r="G10" i="22"/>
  <c r="E33" i="127"/>
  <c r="G33" i="127" s="1"/>
  <c r="C26" i="127"/>
  <c r="E26" i="127" s="1"/>
  <c r="E34" i="132"/>
  <c r="G34" i="132" s="1"/>
  <c r="H38" i="132" s="1"/>
  <c r="G10" i="132" s="1"/>
  <c r="E31" i="105"/>
  <c r="G31" i="105" s="1"/>
  <c r="H33" i="105" s="1"/>
  <c r="G12" i="105" s="1"/>
  <c r="E11" i="105"/>
  <c r="G11" i="105" s="1"/>
  <c r="E19" i="138"/>
  <c r="G19" i="138" s="1"/>
  <c r="G10" i="109"/>
  <c r="G20" i="138"/>
  <c r="G10" i="138"/>
  <c r="A11" i="138"/>
  <c r="E11" i="138"/>
  <c r="G11" i="138" s="1"/>
  <c r="E34" i="140"/>
  <c r="G34" i="140" s="1"/>
  <c r="H38" i="140" s="1"/>
  <c r="G10" i="140" s="1"/>
  <c r="E27" i="140"/>
  <c r="G27" i="140" s="1"/>
  <c r="H30" i="140" s="1"/>
  <c r="E17" i="140"/>
  <c r="G17" i="140" s="1"/>
  <c r="H24" i="140" s="1"/>
  <c r="A17" i="140"/>
  <c r="E11" i="140"/>
  <c r="G11" i="140" s="1"/>
  <c r="D11" i="140"/>
  <c r="A11" i="140"/>
  <c r="E36" i="139"/>
  <c r="G36" i="139" s="1"/>
  <c r="E35" i="139"/>
  <c r="G35" i="139" s="1"/>
  <c r="E28" i="139"/>
  <c r="G28" i="139" s="1"/>
  <c r="H31" i="139" s="1"/>
  <c r="E18" i="139"/>
  <c r="G18" i="139" s="1"/>
  <c r="D18" i="139"/>
  <c r="A18" i="139"/>
  <c r="E17" i="139"/>
  <c r="G17" i="139" s="1"/>
  <c r="D17" i="139"/>
  <c r="A10" i="139"/>
  <c r="E33" i="138"/>
  <c r="G33" i="138" s="1"/>
  <c r="E32" i="138"/>
  <c r="G32" i="138" s="1"/>
  <c r="E31" i="138"/>
  <c r="G31" i="138" s="1"/>
  <c r="H28" i="138"/>
  <c r="D19" i="138"/>
  <c r="D18" i="138"/>
  <c r="E34" i="137"/>
  <c r="G34" i="137" s="1"/>
  <c r="A34" i="137"/>
  <c r="E33" i="137"/>
  <c r="G33" i="137" s="1"/>
  <c r="A33" i="137"/>
  <c r="E32" i="137"/>
  <c r="G32" i="137" s="1"/>
  <c r="A32" i="137"/>
  <c r="H29" i="137"/>
  <c r="D18" i="137"/>
  <c r="E31" i="135"/>
  <c r="G31" i="135" s="1"/>
  <c r="H33" i="135" s="1"/>
  <c r="G10" i="135" s="1"/>
  <c r="H14" i="135" s="1"/>
  <c r="E25" i="135"/>
  <c r="H22" i="135"/>
  <c r="E35" i="134"/>
  <c r="G35" i="134" s="1"/>
  <c r="E34" i="134"/>
  <c r="G34" i="134" s="1"/>
  <c r="E33" i="134"/>
  <c r="G33" i="134" s="1"/>
  <c r="E27" i="134"/>
  <c r="E19" i="134"/>
  <c r="G19" i="134" s="1"/>
  <c r="D19" i="134"/>
  <c r="A19" i="134"/>
  <c r="E18" i="134"/>
  <c r="G18" i="134" s="1"/>
  <c r="D18" i="134"/>
  <c r="D17" i="134"/>
  <c r="E18" i="18"/>
  <c r="G18" i="18" s="1"/>
  <c r="E17" i="121"/>
  <c r="G17" i="121" s="1"/>
  <c r="E34" i="126"/>
  <c r="G34" i="126"/>
  <c r="E33" i="24"/>
  <c r="G33" i="24" s="1"/>
  <c r="E33" i="128"/>
  <c r="G33" i="128" s="1"/>
  <c r="H35" i="128" s="1"/>
  <c r="G11" i="128" s="1"/>
  <c r="E32" i="102"/>
  <c r="G32" i="102" s="1"/>
  <c r="E32" i="103"/>
  <c r="G32" i="103" s="1"/>
  <c r="E33" i="109"/>
  <c r="G33" i="109" s="1"/>
  <c r="E34" i="108"/>
  <c r="G34" i="108"/>
  <c r="E35" i="22"/>
  <c r="G35" i="22" s="1"/>
  <c r="E35" i="18"/>
  <c r="E34" i="14"/>
  <c r="G34" i="14" s="1"/>
  <c r="E34" i="110"/>
  <c r="G34" i="110" s="1"/>
  <c r="E33" i="10"/>
  <c r="G33" i="10" s="1"/>
  <c r="E34" i="10"/>
  <c r="G34" i="10" s="1"/>
  <c r="E34" i="121"/>
  <c r="G34" i="121" s="1"/>
  <c r="D34" i="12"/>
  <c r="D31" i="13" s="1"/>
  <c r="D35" i="12"/>
  <c r="D32" i="13" s="1"/>
  <c r="D36" i="12"/>
  <c r="D33" i="13" s="1"/>
  <c r="E19" i="133"/>
  <c r="F19" i="133" s="1"/>
  <c r="E18" i="133"/>
  <c r="F18" i="133" s="1"/>
  <c r="E17" i="133"/>
  <c r="F17" i="133" s="1"/>
  <c r="E16" i="133"/>
  <c r="F16" i="133" s="1"/>
  <c r="E13" i="133"/>
  <c r="F13" i="133" s="1"/>
  <c r="F11" i="133"/>
  <c r="E12" i="133"/>
  <c r="F12" i="133" s="1"/>
  <c r="E27" i="132"/>
  <c r="G27" i="132" s="1"/>
  <c r="H30" i="132" s="1"/>
  <c r="E17" i="132"/>
  <c r="G17" i="132" s="1"/>
  <c r="H24" i="132" s="1"/>
  <c r="A17" i="132"/>
  <c r="E11" i="132"/>
  <c r="G11" i="132" s="1"/>
  <c r="D11" i="132"/>
  <c r="A11" i="132"/>
  <c r="E31" i="131"/>
  <c r="G31" i="131" s="1"/>
  <c r="H33" i="131" s="1"/>
  <c r="G10" i="131" s="1"/>
  <c r="H14" i="131" s="1"/>
  <c r="E25" i="131"/>
  <c r="H22" i="131"/>
  <c r="E31" i="130"/>
  <c r="G31" i="130" s="1"/>
  <c r="H33" i="130" s="1"/>
  <c r="G10" i="130" s="1"/>
  <c r="H14" i="130" s="1"/>
  <c r="E25" i="130"/>
  <c r="H22" i="130"/>
  <c r="E10" i="105"/>
  <c r="G10" i="105" s="1"/>
  <c r="E31" i="104"/>
  <c r="G31" i="104" s="1"/>
  <c r="H33" i="104" s="1"/>
  <c r="G10" i="104" s="1"/>
  <c r="G18" i="104"/>
  <c r="E19" i="104"/>
  <c r="G19" i="104" s="1"/>
  <c r="E17" i="104"/>
  <c r="G17" i="104" s="1"/>
  <c r="E25" i="128"/>
  <c r="E10" i="128"/>
  <c r="G10" i="128" s="1"/>
  <c r="E25" i="102"/>
  <c r="E34" i="129"/>
  <c r="G34" i="129" s="1"/>
  <c r="H38" i="129" s="1"/>
  <c r="G10" i="129" s="1"/>
  <c r="G11" i="129"/>
  <c r="G18" i="129"/>
  <c r="H30" i="129"/>
  <c r="G17" i="129"/>
  <c r="D11" i="129"/>
  <c r="D55" i="116"/>
  <c r="H55" i="116" s="1"/>
  <c r="H56" i="116" s="1"/>
  <c r="D52" i="116"/>
  <c r="H52" i="116" s="1"/>
  <c r="H53" i="116" s="1"/>
  <c r="F25" i="128"/>
  <c r="H22" i="128"/>
  <c r="E19" i="103"/>
  <c r="E19" i="109"/>
  <c r="G19" i="109" s="1"/>
  <c r="D19" i="109"/>
  <c r="E11" i="109"/>
  <c r="G11" i="109" s="1"/>
  <c r="A11" i="109"/>
  <c r="E32" i="127"/>
  <c r="G32" i="127" s="1"/>
  <c r="E31" i="127"/>
  <c r="G31" i="127" s="1"/>
  <c r="E21" i="127"/>
  <c r="G21" i="127" s="1"/>
  <c r="D21" i="127"/>
  <c r="A21" i="127"/>
  <c r="E20" i="127"/>
  <c r="G20" i="127" s="1"/>
  <c r="D20" i="127"/>
  <c r="A20" i="127"/>
  <c r="A19" i="127"/>
  <c r="D18" i="127"/>
  <c r="A18" i="127"/>
  <c r="E10" i="127"/>
  <c r="G10" i="127" s="1"/>
  <c r="D10" i="127"/>
  <c r="A10" i="127"/>
  <c r="F18" i="126"/>
  <c r="C26" i="126" s="1"/>
  <c r="E26" i="126" s="1"/>
  <c r="A34" i="126"/>
  <c r="E33" i="126"/>
  <c r="G33" i="126" s="1"/>
  <c r="A33" i="126"/>
  <c r="E32" i="126"/>
  <c r="G32" i="126" s="1"/>
  <c r="A32" i="126"/>
  <c r="E21" i="126"/>
  <c r="G21" i="126" s="1"/>
  <c r="D21" i="126"/>
  <c r="A21" i="126"/>
  <c r="E20" i="126"/>
  <c r="G20" i="126" s="1"/>
  <c r="D20" i="126"/>
  <c r="A20" i="126"/>
  <c r="D19" i="126"/>
  <c r="A19" i="126"/>
  <c r="D18" i="126"/>
  <c r="A18" i="126"/>
  <c r="E11" i="126"/>
  <c r="G11" i="126" s="1"/>
  <c r="D11" i="126"/>
  <c r="A11" i="126"/>
  <c r="C25" i="24"/>
  <c r="E25" i="24" s="1"/>
  <c r="E28" i="22"/>
  <c r="G28" i="22" s="1"/>
  <c r="H31" i="22" s="1"/>
  <c r="E27" i="18"/>
  <c r="E27" i="121"/>
  <c r="E18" i="121"/>
  <c r="G18" i="121" s="1"/>
  <c r="E33" i="121"/>
  <c r="G33" i="121" s="1"/>
  <c r="H38" i="121" s="1"/>
  <c r="G13" i="121" s="1"/>
  <c r="E12" i="121"/>
  <c r="G12" i="121" s="1"/>
  <c r="E11" i="121"/>
  <c r="G11" i="121" s="1"/>
  <c r="A11" i="121"/>
  <c r="E10" i="121"/>
  <c r="G10" i="121" s="1"/>
  <c r="E10" i="10"/>
  <c r="G10" i="10" s="1"/>
  <c r="E11" i="10"/>
  <c r="G11" i="10" s="1"/>
  <c r="E12" i="10"/>
  <c r="G12" i="10" s="1"/>
  <c r="E19" i="10"/>
  <c r="G19" i="10" s="1"/>
  <c r="H24" i="10" s="1"/>
  <c r="H30" i="10"/>
  <c r="E10" i="110"/>
  <c r="G10" i="110" s="1"/>
  <c r="E12" i="110"/>
  <c r="G12" i="110" s="1"/>
  <c r="E17" i="110"/>
  <c r="G17" i="110" s="1"/>
  <c r="H24" i="110" s="1"/>
  <c r="E11" i="110"/>
  <c r="G11" i="110" s="1"/>
  <c r="E33" i="110"/>
  <c r="G33" i="110" s="1"/>
  <c r="A11" i="110"/>
  <c r="H5" i="116"/>
  <c r="D45" i="116" s="1"/>
  <c r="H45" i="116" s="1"/>
  <c r="G31" i="115"/>
  <c r="G23" i="115"/>
  <c r="G20" i="115"/>
  <c r="G17" i="115"/>
  <c r="A3" i="115"/>
  <c r="A6" i="141" s="1"/>
  <c r="D34" i="13"/>
  <c r="E17" i="102" s="1"/>
  <c r="G17" i="102" s="1"/>
  <c r="E18" i="127"/>
  <c r="G18" i="127" s="1"/>
  <c r="E19" i="127"/>
  <c r="G19" i="127" s="1"/>
  <c r="E18" i="126"/>
  <c r="G18" i="126" s="1"/>
  <c r="E19" i="126"/>
  <c r="G19" i="126" s="1"/>
  <c r="E11" i="14"/>
  <c r="G19" i="102"/>
  <c r="G18" i="102"/>
  <c r="A11" i="10"/>
  <c r="E17" i="22"/>
  <c r="G17" i="22" s="1"/>
  <c r="D5" i="2"/>
  <c r="E18" i="22"/>
  <c r="G18" i="22" s="1"/>
  <c r="H25" i="22" s="1"/>
  <c r="G19" i="14"/>
  <c r="C18" i="12"/>
  <c r="C15" i="12"/>
  <c r="C12" i="12"/>
  <c r="C23" i="12"/>
  <c r="C20" i="12"/>
  <c r="C21" i="12" s="1"/>
  <c r="C19" i="12"/>
  <c r="C17" i="12"/>
  <c r="C16" i="12"/>
  <c r="C14" i="12"/>
  <c r="C13" i="12"/>
  <c r="H30" i="110"/>
  <c r="G20" i="103"/>
  <c r="G19" i="103"/>
  <c r="G21" i="103"/>
  <c r="G11" i="103"/>
  <c r="E18" i="14"/>
  <c r="G18" i="14" s="1"/>
  <c r="A18" i="14"/>
  <c r="D28" i="13"/>
  <c r="D27" i="13"/>
  <c r="D26" i="13"/>
  <c r="B26" i="13"/>
  <c r="D25" i="13"/>
  <c r="D18" i="109"/>
  <c r="A34" i="108"/>
  <c r="A33" i="108"/>
  <c r="A32" i="108"/>
  <c r="D18" i="108"/>
  <c r="E25" i="105"/>
  <c r="H29" i="108"/>
  <c r="H22" i="105"/>
  <c r="H28" i="109"/>
  <c r="G20" i="14"/>
  <c r="D18" i="18"/>
  <c r="E18" i="24"/>
  <c r="G18" i="24" s="1"/>
  <c r="D18" i="24"/>
  <c r="A18" i="24"/>
  <c r="A11" i="14"/>
  <c r="H28" i="104"/>
  <c r="D10" i="12"/>
  <c r="E32" i="108"/>
  <c r="G32" i="108" s="1"/>
  <c r="E31" i="109"/>
  <c r="G31" i="109" s="1"/>
  <c r="E17" i="24"/>
  <c r="G17" i="24" s="1"/>
  <c r="E20" i="24"/>
  <c r="G20" i="24" s="1"/>
  <c r="E19" i="18"/>
  <c r="G19" i="18" s="1"/>
  <c r="G11" i="14"/>
  <c r="E21" i="14"/>
  <c r="G21" i="14" s="1"/>
  <c r="D11" i="14"/>
  <c r="A18" i="22"/>
  <c r="A33" i="24"/>
  <c r="A32" i="24"/>
  <c r="A31" i="24"/>
  <c r="D20" i="24"/>
  <c r="A20" i="24"/>
  <c r="D19" i="24"/>
  <c r="A19" i="24"/>
  <c r="D17" i="24"/>
  <c r="A17" i="24"/>
  <c r="D10" i="24"/>
  <c r="A10" i="24"/>
  <c r="D18" i="22"/>
  <c r="D17" i="22"/>
  <c r="A10" i="22"/>
  <c r="D19" i="18"/>
  <c r="A19" i="18"/>
  <c r="D17" i="18"/>
  <c r="D17" i="14"/>
  <c r="H29" i="14"/>
  <c r="E32" i="14"/>
  <c r="G32" i="14" s="1"/>
  <c r="E32" i="109"/>
  <c r="G32" i="109" s="1"/>
  <c r="E31" i="103"/>
  <c r="G31" i="103" s="1"/>
  <c r="H36" i="103" s="1"/>
  <c r="G12" i="103" s="1"/>
  <c r="E33" i="108"/>
  <c r="G33" i="108" s="1"/>
  <c r="E31" i="102"/>
  <c r="G31" i="102" s="1"/>
  <c r="E19" i="24"/>
  <c r="G19" i="24" s="1"/>
  <c r="E31" i="24"/>
  <c r="G31" i="24" s="1"/>
  <c r="E33" i="18"/>
  <c r="G33" i="18" s="1"/>
  <c r="E34" i="18"/>
  <c r="G34" i="18" s="1"/>
  <c r="E32" i="24"/>
  <c r="G32" i="24" s="1"/>
  <c r="E10" i="24"/>
  <c r="G10" i="24" s="1"/>
  <c r="G35" i="18"/>
  <c r="E34" i="22"/>
  <c r="G34" i="22" s="1"/>
  <c r="H39" i="22" s="1"/>
  <c r="G11" i="22" s="1"/>
  <c r="E33" i="14"/>
  <c r="G33" i="14" s="1"/>
  <c r="O18" i="117"/>
  <c r="S18" i="117" s="1"/>
  <c r="W18" i="117" s="1"/>
  <c r="AA18" i="117" s="1"/>
  <c r="AE18" i="117" s="1"/>
  <c r="AI18" i="117" s="1"/>
  <c r="AM18" i="117" s="1"/>
  <c r="AQ18" i="117" s="1"/>
  <c r="AU18" i="117" s="1"/>
  <c r="AY18" i="117" s="1"/>
  <c r="D48" i="116"/>
  <c r="H48" i="116" s="1"/>
  <c r="F14" i="226" l="1"/>
  <c r="H15" i="103"/>
  <c r="H14" i="129"/>
  <c r="H14" i="128"/>
  <c r="H24" i="129"/>
  <c r="H40" i="129" s="1"/>
  <c r="H40" i="139"/>
  <c r="G11" i="139" s="1"/>
  <c r="H14" i="139" s="1"/>
  <c r="H33" i="106"/>
  <c r="F25" i="103" s="1"/>
  <c r="G25" i="103" s="1"/>
  <c r="H28" i="103" s="1"/>
  <c r="H38" i="134"/>
  <c r="G10" i="134" s="1"/>
  <c r="H14" i="134" s="1"/>
  <c r="H24" i="116"/>
  <c r="H39" i="116"/>
  <c r="H25" i="139"/>
  <c r="F25" i="102"/>
  <c r="G25" i="102" s="1"/>
  <c r="H28" i="102" s="1"/>
  <c r="F26" i="127"/>
  <c r="G26" i="127" s="1"/>
  <c r="H28" i="127" s="1"/>
  <c r="H38" i="18"/>
  <c r="G10" i="18" s="1"/>
  <c r="H14" i="18" s="1"/>
  <c r="D41" i="116"/>
  <c r="H41" i="116" s="1"/>
  <c r="H38" i="137"/>
  <c r="G11" i="137" s="1"/>
  <c r="H15" i="137" s="1"/>
  <c r="H36" i="102"/>
  <c r="G10" i="102" s="1"/>
  <c r="H14" i="102" s="1"/>
  <c r="H22" i="102"/>
  <c r="H38" i="110"/>
  <c r="G13" i="110" s="1"/>
  <c r="H14" i="110" s="1"/>
  <c r="H40" i="110" s="1"/>
  <c r="H36" i="10"/>
  <c r="G13" i="10" s="1"/>
  <c r="O31" i="172"/>
  <c r="O33" i="172" s="1"/>
  <c r="H24" i="121"/>
  <c r="H14" i="132"/>
  <c r="H40" i="132" s="1"/>
  <c r="G25" i="128"/>
  <c r="H28" i="128" s="1"/>
  <c r="H37" i="128" s="1"/>
  <c r="F20" i="133"/>
  <c r="H14" i="104"/>
  <c r="H14" i="22"/>
  <c r="H41" i="22" s="1"/>
  <c r="H14" i="121"/>
  <c r="H22" i="104"/>
  <c r="H14" i="105"/>
  <c r="H37" i="138"/>
  <c r="G12" i="138" s="1"/>
  <c r="H15" i="138" s="1"/>
  <c r="H37" i="24"/>
  <c r="G11" i="24" s="1"/>
  <c r="H14" i="24" s="1"/>
  <c r="H37" i="127"/>
  <c r="G11" i="127" s="1"/>
  <c r="H15" i="127" s="1"/>
  <c r="F14" i="133"/>
  <c r="G33" i="115"/>
  <c r="AY24" i="117"/>
  <c r="G22" i="126"/>
  <c r="H23" i="126" s="1"/>
  <c r="H38" i="14"/>
  <c r="G10" i="14" s="1"/>
  <c r="H14" i="14" s="1"/>
  <c r="H38" i="108"/>
  <c r="G11" i="108" s="1"/>
  <c r="H15" i="108" s="1"/>
  <c r="H16" i="10"/>
  <c r="H38" i="10" s="1"/>
  <c r="H38" i="126"/>
  <c r="G12" i="126" s="1"/>
  <c r="H15" i="126" s="1"/>
  <c r="H37" i="109"/>
  <c r="G12" i="109" s="1"/>
  <c r="H15" i="109" s="1"/>
  <c r="H51" i="141"/>
  <c r="H24" i="141"/>
  <c r="H41" i="141"/>
  <c r="D12" i="12"/>
  <c r="E12" i="12" s="1"/>
  <c r="H14" i="140"/>
  <c r="H40" i="140" s="1"/>
  <c r="G42" i="142"/>
  <c r="D42" i="142" s="1"/>
  <c r="G41" i="142"/>
  <c r="G43" i="142"/>
  <c r="D43" i="142" s="1"/>
  <c r="G24" i="115"/>
  <c r="G26" i="115" s="1"/>
  <c r="D24" i="117"/>
  <c r="G12" i="117"/>
  <c r="G21" i="24"/>
  <c r="H22" i="24" s="1"/>
  <c r="H22" i="103"/>
  <c r="G22" i="127"/>
  <c r="H23" i="127" s="1"/>
  <c r="D46" i="116"/>
  <c r="H46" i="116" s="1"/>
  <c r="D44" i="116"/>
  <c r="H44" i="116" s="1"/>
  <c r="D43" i="116"/>
  <c r="H43" i="116" s="1"/>
  <c r="F27" i="18"/>
  <c r="G27" i="18" s="1"/>
  <c r="H30" i="18" s="1"/>
  <c r="F25" i="105"/>
  <c r="G25" i="105" s="1"/>
  <c r="H28" i="105" s="1"/>
  <c r="H35" i="105" s="1"/>
  <c r="A6" i="116"/>
  <c r="H38" i="103" l="1"/>
  <c r="F25" i="131"/>
  <c r="G25" i="131" s="1"/>
  <c r="H28" i="131" s="1"/>
  <c r="H35" i="131" s="1"/>
  <c r="F27" i="134"/>
  <c r="G27" i="134" s="1"/>
  <c r="H30" i="134" s="1"/>
  <c r="F25" i="24"/>
  <c r="G25" i="24" s="1"/>
  <c r="H28" i="24" s="1"/>
  <c r="H39" i="24" s="1"/>
  <c r="F22" i="133"/>
  <c r="H38" i="102"/>
  <c r="F26" i="126"/>
  <c r="G26" i="126" s="1"/>
  <c r="H29" i="126" s="1"/>
  <c r="F27" i="121"/>
  <c r="G27" i="121" s="1"/>
  <c r="H30" i="121" s="1"/>
  <c r="H40" i="121" s="1"/>
  <c r="H42" i="139"/>
  <c r="F25" i="135"/>
  <c r="G25" i="135" s="1"/>
  <c r="H28" i="135" s="1"/>
  <c r="H35" i="135" s="1"/>
  <c r="F25" i="130"/>
  <c r="G25" i="130" s="1"/>
  <c r="H28" i="130" s="1"/>
  <c r="H35" i="130" s="1"/>
  <c r="G35" i="115"/>
  <c r="H39" i="127"/>
  <c r="E18" i="138" s="1"/>
  <c r="G18" i="138" s="1"/>
  <c r="H23" i="138" s="1"/>
  <c r="H39" i="138" s="1"/>
  <c r="H40" i="126"/>
  <c r="E18" i="137" s="1"/>
  <c r="G18" i="137" s="1"/>
  <c r="H23" i="137" s="1"/>
  <c r="H40" i="137" s="1"/>
  <c r="H35" i="104"/>
  <c r="E17" i="18"/>
  <c r="G17" i="18" s="1"/>
  <c r="H24" i="18" s="1"/>
  <c r="H40" i="18" s="1"/>
  <c r="E17" i="14"/>
  <c r="G17" i="14" s="1"/>
  <c r="H23" i="14" s="1"/>
  <c r="H40" i="14" s="1"/>
  <c r="K12" i="117"/>
  <c r="G24" i="117"/>
  <c r="H52" i="141"/>
  <c r="H59" i="141" s="1"/>
  <c r="D41" i="142"/>
  <c r="E40" i="142" s="1"/>
  <c r="G40" i="142"/>
  <c r="H49" i="116"/>
  <c r="H50" i="116" s="1"/>
  <c r="H57" i="116" s="1"/>
  <c r="G36" i="115" l="1"/>
  <c r="G37" i="115" s="1"/>
  <c r="E17" i="134"/>
  <c r="G17" i="134" s="1"/>
  <c r="H24" i="134" s="1"/>
  <c r="H40" i="134" s="1"/>
  <c r="E18" i="108"/>
  <c r="G18" i="108" s="1"/>
  <c r="H23" i="108" s="1"/>
  <c r="H40" i="108" s="1"/>
  <c r="E18" i="109"/>
  <c r="G18" i="109" s="1"/>
  <c r="H23" i="109" s="1"/>
  <c r="H39" i="109" s="1"/>
  <c r="E46" i="142"/>
  <c r="E48" i="142"/>
  <c r="O12" i="117"/>
  <c r="K24" i="117"/>
  <c r="E50" i="142" l="1"/>
  <c r="S12" i="117"/>
  <c r="O24" i="117"/>
  <c r="W12" i="117" l="1"/>
  <c r="S24" i="117"/>
  <c r="W24" i="117" l="1"/>
  <c r="AA12" i="117"/>
  <c r="AE12" i="117" l="1"/>
  <c r="AA24" i="117"/>
  <c r="AE24" i="117" l="1"/>
  <c r="AI12" i="117"/>
  <c r="AI24" i="117" l="1"/>
  <c r="AM12" i="117"/>
  <c r="AM24" i="117" l="1"/>
  <c r="AQ12" i="117"/>
  <c r="AQ24" i="117" l="1"/>
  <c r="AU12" i="117"/>
  <c r="AU24" i="117" s="1"/>
</calcChain>
</file>

<file path=xl/sharedStrings.xml><?xml version="1.0" encoding="utf-8"?>
<sst xmlns="http://schemas.openxmlformats.org/spreadsheetml/2006/main" count="1950" uniqueCount="591">
  <si>
    <t>M3</t>
  </si>
  <si>
    <t>Kg</t>
  </si>
  <si>
    <t>ANÁLISIS DE PRECIOS UNITARIOS</t>
  </si>
  <si>
    <t>I. EQUIPO</t>
  </si>
  <si>
    <t>Descripción</t>
  </si>
  <si>
    <t>Tipo</t>
  </si>
  <si>
    <t>Tarifa/Hora</t>
  </si>
  <si>
    <t>Rendimiento</t>
  </si>
  <si>
    <t>Valor-Unit.</t>
  </si>
  <si>
    <t>Sub-Total</t>
  </si>
  <si>
    <t>II. MATERIALES EN OBRA</t>
  </si>
  <si>
    <t>Unidad</t>
  </si>
  <si>
    <t>Precio-Unit.</t>
  </si>
  <si>
    <t>Cantidad</t>
  </si>
  <si>
    <t>III. TRANSPORTES</t>
  </si>
  <si>
    <t>Material</t>
  </si>
  <si>
    <t>Vol. Peso ó Cant.</t>
  </si>
  <si>
    <t>Distancia</t>
  </si>
  <si>
    <t>M3-Km</t>
  </si>
  <si>
    <t>Tarifa</t>
  </si>
  <si>
    <t>IV. MANO DE OBRA</t>
  </si>
  <si>
    <t>Trabajador</t>
  </si>
  <si>
    <t>Jornal</t>
  </si>
  <si>
    <t>Prestaciones</t>
  </si>
  <si>
    <t>Jornal Total</t>
  </si>
  <si>
    <t>Total Costo Directo</t>
  </si>
  <si>
    <t>ITEM:</t>
  </si>
  <si>
    <t>HERRAMIENTA MENOR</t>
  </si>
  <si>
    <t>POLINES MADERA 5cmx5cmx3 MT</t>
  </si>
  <si>
    <t>Lb</t>
  </si>
  <si>
    <t xml:space="preserve">UNIDAD  : </t>
  </si>
  <si>
    <t>OFICIAL</t>
  </si>
  <si>
    <t>AGUA</t>
  </si>
  <si>
    <t>DESCRIPCION</t>
  </si>
  <si>
    <t>UNIDAD</t>
  </si>
  <si>
    <t>VALOR</t>
  </si>
  <si>
    <t>Hora</t>
  </si>
  <si>
    <t>Maestro</t>
  </si>
  <si>
    <t>Oficial</t>
  </si>
  <si>
    <t>Obrero</t>
  </si>
  <si>
    <t>Día</t>
  </si>
  <si>
    <t>Litro</t>
  </si>
  <si>
    <t>MEZCLADORA DE CONCRETO (1 BULTO)</t>
  </si>
  <si>
    <t>VIBRADOR DE CONCRETO</t>
  </si>
  <si>
    <t>ALAMBRE NEGRO</t>
  </si>
  <si>
    <t>CIZALLA</t>
  </si>
  <si>
    <t>COMPACTADOR MANUAL (RANA)</t>
  </si>
  <si>
    <t>Concreto 2500 psi</t>
  </si>
  <si>
    <t>ITEM</t>
  </si>
  <si>
    <t>UND</t>
  </si>
  <si>
    <t>VALOR TOTAL EQUIPO</t>
  </si>
  <si>
    <t>VALOR TOTAL MANO DE OBRA</t>
  </si>
  <si>
    <t>OBRERO</t>
  </si>
  <si>
    <t xml:space="preserve">MAESTRO </t>
  </si>
  <si>
    <t xml:space="preserve">OBREROS </t>
  </si>
  <si>
    <t>PUNTILLA SURTIDA</t>
  </si>
  <si>
    <t>MATERIALES ESPECIALIZADOS Ó DE CONSTRUCCIÓN</t>
  </si>
  <si>
    <t>GL</t>
  </si>
  <si>
    <t>AXILIO DE TRANSPORTE</t>
  </si>
  <si>
    <t>SALUD</t>
  </si>
  <si>
    <t>PENSION</t>
  </si>
  <si>
    <t>RIESGOS LABORALES (nivel 5)</t>
  </si>
  <si>
    <t>COMFAMILIAR</t>
  </si>
  <si>
    <t>SENA</t>
  </si>
  <si>
    <t>ICBF</t>
  </si>
  <si>
    <t>FIC</t>
  </si>
  <si>
    <t>PRIMA DE SERVICIOS</t>
  </si>
  <si>
    <t>CESANTIAS</t>
  </si>
  <si>
    <t>INTERESES DE CESANTIAS</t>
  </si>
  <si>
    <t>DOTACION</t>
  </si>
  <si>
    <t>VACACIONES</t>
  </si>
  <si>
    <t>% CARGA PRESTACIONAL</t>
  </si>
  <si>
    <t>VALOR MANO DE OBRA MES</t>
  </si>
  <si>
    <t>MAESTRO</t>
  </si>
  <si>
    <t>FACTORES MULTIPLICADORES POR ESPECIALIDAD</t>
  </si>
  <si>
    <t>TRABAJADOR</t>
  </si>
  <si>
    <t>FACTOR</t>
  </si>
  <si>
    <t>M2</t>
  </si>
  <si>
    <t>MANO DE OBRA MAESTRO</t>
  </si>
  <si>
    <t>MANO DE OBRA OFICIAL</t>
  </si>
  <si>
    <t>MANO DE OBRA AYUDANTE</t>
  </si>
  <si>
    <t>INSUMOS REQUERIDOS</t>
  </si>
  <si>
    <t>HIERRO CORRUGADO DE 1/4"</t>
  </si>
  <si>
    <t>ANTISOL</t>
  </si>
  <si>
    <t>TABLILLA (0,15X0,025X3)</t>
  </si>
  <si>
    <t>TABLA DE 30 X 2,5CMS X 3 MTS</t>
  </si>
  <si>
    <t>Rend.</t>
  </si>
  <si>
    <t>SALARIO BASICO MINIMO 2017</t>
  </si>
  <si>
    <t>CARROTANQUE DE AGUA 1000 GL</t>
  </si>
  <si>
    <t>TRANSPORTE MAT.</t>
  </si>
  <si>
    <t xml:space="preserve">AGREGADO PARA CONCRETO HIDRAULICO GRAVILLA 3/4" </t>
  </si>
  <si>
    <t>ARENA DE PLANTA</t>
  </si>
  <si>
    <t>REGLA VIBRATORIA DE CONCRETO</t>
  </si>
  <si>
    <t>FORMALETA METALICA( trapezoidal) Y/O DE MADERA  (INC. ALAMBRE Y ESTACAS)</t>
  </si>
  <si>
    <t>KG</t>
  </si>
  <si>
    <t xml:space="preserve">CEMENTO GRIS PORTLHAND TIPO I  </t>
  </si>
  <si>
    <t>KG-Km</t>
  </si>
  <si>
    <t>ESTOPA PARA MICROTEXTURIZADO</t>
  </si>
  <si>
    <t xml:space="preserve">ESCOBA Y RASTRILO PARA ESTRIADO ( ESPINA DE PESCADO) </t>
  </si>
  <si>
    <t>BULLDOZER 100-140 HP</t>
  </si>
  <si>
    <t>VIBROCOMPACTADOE DINA C15 .</t>
  </si>
  <si>
    <t>MOTONIVELADORA 120 HP</t>
  </si>
  <si>
    <t>Material excavado</t>
  </si>
  <si>
    <t>Jornal/hora</t>
  </si>
  <si>
    <t>Transporte de piedra media zonga</t>
  </si>
  <si>
    <t xml:space="preserve">TRANSPORTE DE MATERIALES PROVENIENTES DE DERRUMBES Y EXCAVACIONES DE EXPLANACIONES, CANALES  Y PRESTAMOS. ACARREO </t>
  </si>
  <si>
    <t>PIEDRA PARA FILTRO</t>
  </si>
  <si>
    <t>Geotextil 1600 EXP. 673,2 Invías</t>
  </si>
  <si>
    <t>Piedra para filtro de planta  (0,75" - 3")</t>
  </si>
  <si>
    <t>ML</t>
  </si>
  <si>
    <t>Desperdicio</t>
  </si>
  <si>
    <t>TRANSPORTE DE TUBERIA</t>
  </si>
  <si>
    <t>kg</t>
  </si>
  <si>
    <t>MALACATE O DIFERENCIAL 2 TON.</t>
  </si>
  <si>
    <t>Agua</t>
  </si>
  <si>
    <t>lt</t>
  </si>
  <si>
    <t>UN</t>
  </si>
  <si>
    <t>TRANSPORTE DE MATERIAL</t>
  </si>
  <si>
    <t>Ml</t>
  </si>
  <si>
    <t>Tubo de  36" en  concreto. Reforzado f´c=28 mpa</t>
  </si>
  <si>
    <t xml:space="preserve"> especificaciones AASHTO M-170M y NTC 401</t>
  </si>
  <si>
    <t>Subproducto mortero 1:3</t>
  </si>
  <si>
    <t>% M.O</t>
  </si>
  <si>
    <t xml:space="preserve">PIEDRA 1/2 ZONGA.  </t>
  </si>
  <si>
    <t>CONCREMALLA XX221 .15X.15X6.5 mm  (56,11%)</t>
  </si>
  <si>
    <t>HIERRO CORRUGADO DE 3/8" (43,89%)</t>
  </si>
  <si>
    <t>TRANSPORTE DE AGREGADOS</t>
  </si>
  <si>
    <t>RECEBO COMUN IP&lt;=9 INCLUYE IVA</t>
  </si>
  <si>
    <t>Tubo de 4" para descole perforado según diseño trabajo pesado</t>
  </si>
  <si>
    <t>COMPRESOR (185-250) CFM-2 MARTILLO</t>
  </si>
  <si>
    <t>ACERO UNIFICADO % 3/8"; 1/2"</t>
  </si>
  <si>
    <t>M.P. 70202173879 TLM</t>
  </si>
  <si>
    <t>DESCRIPCIÓN</t>
  </si>
  <si>
    <t>m</t>
  </si>
  <si>
    <t xml:space="preserve"> ING. ALIRIO LLANOS TRUJILLO</t>
  </si>
  <si>
    <t>PRESUPUESTO INTERVENTORIA</t>
  </si>
  <si>
    <t>CARGO / OFICIO</t>
  </si>
  <si>
    <t>SUELDO Y/O JORNAL MENSUAL</t>
  </si>
  <si>
    <t>VALOR PARCIAL ($)</t>
  </si>
  <si>
    <t>COSTOS DIRECTOS DE PERSONAL</t>
  </si>
  <si>
    <t>PERSONAL PROFESIONAL</t>
  </si>
  <si>
    <t xml:space="preserve"> </t>
  </si>
  <si>
    <t>CONCEPTO</t>
  </si>
  <si>
    <t>COSTO ($)</t>
  </si>
  <si>
    <t xml:space="preserve">OTROS COSTOS DIRECTOS </t>
  </si>
  <si>
    <t xml:space="preserve">TOTAL OTROS COSTOS DIRECTOS </t>
  </si>
  <si>
    <t>COSTO TOTAL</t>
  </si>
  <si>
    <t>ANALISIS DE LOS GASTOS DE ADMINISTRACION, IMPREVISTOS Y UTILIDAD</t>
  </si>
  <si>
    <t>MES</t>
  </si>
  <si>
    <t>Imprevitos</t>
  </si>
  <si>
    <t>UTILIDAD</t>
  </si>
  <si>
    <t>Dotación</t>
  </si>
  <si>
    <t>1.</t>
  </si>
  <si>
    <t>Vacaciones</t>
  </si>
  <si>
    <t>2.</t>
  </si>
  <si>
    <t>Servicios públicos</t>
  </si>
  <si>
    <t>3.</t>
  </si>
  <si>
    <t>Preparación de Propuesta</t>
  </si>
  <si>
    <t xml:space="preserve">Asesoria Contable Tributaria  y Juridica </t>
  </si>
  <si>
    <t>Equipos y mantenimiento Oficina (Aseo)</t>
  </si>
  <si>
    <t>Gastos de vehículo</t>
  </si>
  <si>
    <t>Seguros de robo e incendio</t>
  </si>
  <si>
    <t>Documentación Técnica</t>
  </si>
  <si>
    <t>Papelería y útiles de oficina</t>
  </si>
  <si>
    <t>Personal Administrativo no facturado</t>
  </si>
  <si>
    <t>Personal Profesional no facturado</t>
  </si>
  <si>
    <t>Depreciación de muebles y equipos</t>
  </si>
  <si>
    <t>Licenciamiento de software</t>
  </si>
  <si>
    <t>Correo y otros</t>
  </si>
  <si>
    <t>Gastos de Representación</t>
  </si>
  <si>
    <t>4.</t>
  </si>
  <si>
    <t>5.</t>
  </si>
  <si>
    <t>TIEMPO DE EJECUCIÓN (MESES)</t>
  </si>
  <si>
    <t>Ingeniero Residente de Interventoría</t>
  </si>
  <si>
    <t>Ingeniero Especialista en Pavimentos</t>
  </si>
  <si>
    <t xml:space="preserve">Director </t>
  </si>
  <si>
    <t>Profesional Aseguramiento de la Calidad</t>
  </si>
  <si>
    <t>PERSONAL TÉCNICO</t>
  </si>
  <si>
    <t>Comisión de topografía (topógrafo + cadenero)</t>
  </si>
  <si>
    <t>PERSONAL ADMINISTRATIVO</t>
  </si>
  <si>
    <t>Secretaría</t>
  </si>
  <si>
    <t>PERSONAL AUXILIAR TÉCNICO</t>
  </si>
  <si>
    <t>Conductor</t>
  </si>
  <si>
    <t>FACTOR MULTIPLICADOR</t>
  </si>
  <si>
    <t>SUBTOTAL COSTO DE PERSONAL</t>
  </si>
  <si>
    <t xml:space="preserve">TOTAL COSTO DE PERSONAL </t>
  </si>
  <si>
    <t>CANTIDAD POR MES</t>
  </si>
  <si>
    <t>COSTO DE ALQUILER DE EQUIPOS</t>
  </si>
  <si>
    <t>Vehiculo &gt;2000 cc</t>
  </si>
  <si>
    <t>Equipo de laboratorio de suelos y concreto</t>
  </si>
  <si>
    <t xml:space="preserve">IVA = 19% </t>
  </si>
  <si>
    <t>TOTAL COSTOS DE PERSONAL + OTROS COSTOS DIRECTOS</t>
  </si>
  <si>
    <t>Auxiliar de ingeniería</t>
  </si>
  <si>
    <t>ALIRIO LLANOS TRUJILLO</t>
  </si>
  <si>
    <t>M.P. No. 70202173879 TLM</t>
  </si>
  <si>
    <t xml:space="preserve">REPUBLICA DE COLOMBIA 
DEPARTAMENTO DEL HUILA
MUNICIPIO DE PITALITO 
</t>
  </si>
  <si>
    <t>Ingeniero Director de Obra</t>
  </si>
  <si>
    <t>Almacenista</t>
  </si>
  <si>
    <t>Asesor en sistemas de Calidad</t>
  </si>
  <si>
    <t>Asesor en Seguridad Industrial</t>
  </si>
  <si>
    <t>Trabajador Social</t>
  </si>
  <si>
    <t>Secretaria</t>
  </si>
  <si>
    <t>IMPUESTOS</t>
  </si>
  <si>
    <t>Seguridad (5% del Valor del Contrato)</t>
  </si>
  <si>
    <t>VR. PARCIAL</t>
  </si>
  <si>
    <t>CANTIDAD PERSONAL</t>
  </si>
  <si>
    <t xml:space="preserve">Ingeniero Residente de Obra </t>
  </si>
  <si>
    <t xml:space="preserve">Inspector de Obra </t>
  </si>
  <si>
    <t xml:space="preserve">Auxiliar de Ingenieria </t>
  </si>
  <si>
    <t>Laboratorista</t>
  </si>
  <si>
    <t>SUBTOTAL</t>
  </si>
  <si>
    <t>PUBLICACIÓN EN GACETA, POLIZAS E IMPUESTOS</t>
  </si>
  <si>
    <t>ESTAMPILLAS</t>
  </si>
  <si>
    <t>Pólizas</t>
  </si>
  <si>
    <t>ADMINISTRACION (A)</t>
  </si>
  <si>
    <t>ADMINISTRACIÓN (A) TOTAL</t>
  </si>
  <si>
    <t>IMPREVISTOS (B)</t>
  </si>
  <si>
    <t>UTILIDAD (C)</t>
  </si>
  <si>
    <t>TOTAL AIU (A+B+C)</t>
  </si>
  <si>
    <t>COSTOS OBRA (DIRECTOS + INDIRECTOS):</t>
  </si>
  <si>
    <t>COSTOS DIRECTOS:</t>
  </si>
  <si>
    <t>TOTAL IMPREVISTOS</t>
  </si>
  <si>
    <t>TOTAL UTILIDAD</t>
  </si>
  <si>
    <t>MES 4</t>
  </si>
  <si>
    <t>Duración (días)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</si>
  <si>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</si>
  <si>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</si>
  <si>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</si>
  <si>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</si>
  <si>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</si>
  <si>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</si>
  <si>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</si>
  <si>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</si>
  <si>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</si>
  <si>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</si>
  <si>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</si>
  <si>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</si>
  <si>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MES 5</t>
  </si>
  <si>
    <t>MES 6</t>
  </si>
  <si>
    <t>MES 7</t>
  </si>
  <si>
    <t>MES 8</t>
  </si>
  <si>
    <t>MES 9</t>
  </si>
  <si>
    <t>MES 10</t>
  </si>
  <si>
    <t>MES 11</t>
  </si>
  <si>
    <t>MES 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</si>
  <si>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</si>
  <si>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</si>
  <si>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</si>
  <si>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</si>
  <si>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</si>
  <si>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</si>
  <si>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</si>
  <si>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</si>
  <si>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</si>
  <si>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</si>
  <si>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</si>
  <si>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</si>
  <si>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</si>
  <si>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</si>
  <si>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</si>
  <si>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</si>
  <si>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</si>
  <si>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</si>
  <si>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</si>
  <si>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</si>
  <si>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</si>
  <si>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</si>
  <si>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</si>
  <si>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</si>
  <si>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</si>
  <si>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</si>
  <si>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</si>
  <si>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</si>
  <si>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</si>
  <si>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</si>
  <si>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</si>
  <si>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</si>
  <si>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</si>
  <si>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</si>
  <si>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</si>
  <si>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</si>
  <si>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 xml:space="preserve">Descripción </t>
  </si>
  <si>
    <t>Preliminares</t>
  </si>
  <si>
    <t>Interventoría</t>
  </si>
  <si>
    <t>Valor ($)</t>
  </si>
  <si>
    <t>Obras complementarias</t>
  </si>
  <si>
    <t>RELLENO CON MATERIAL SELECCIONADO PROVENIENTE DE LA EXCAVACIÓN.</t>
  </si>
  <si>
    <t>ITEM: 2.1</t>
  </si>
  <si>
    <t>ITEM: 1.1</t>
  </si>
  <si>
    <t>ITEM: 2.2</t>
  </si>
  <si>
    <t>CARROTANQUE DE AGUA (1000 GALONES)</t>
  </si>
  <si>
    <t>VIBROCOMPACTADOR  DINA C15</t>
  </si>
  <si>
    <t>oficial</t>
  </si>
  <si>
    <t>obrero</t>
  </si>
  <si>
    <t>LT</t>
  </si>
  <si>
    <t>ITEM: 2.3</t>
  </si>
  <si>
    <t>ITEM: 2.4</t>
  </si>
  <si>
    <t>SUBBASE GRANULAR CBR=40%</t>
  </si>
  <si>
    <t>ITEM: 2.5</t>
  </si>
  <si>
    <t>ITEM: 2.6</t>
  </si>
  <si>
    <t>ITEM: 2.7</t>
  </si>
  <si>
    <t>ITEM: 2.8</t>
  </si>
  <si>
    <t>ITEM: 3.2</t>
  </si>
  <si>
    <t>ITEM: 3.3</t>
  </si>
  <si>
    <t>PIEDRA MEDIA  ZONGA</t>
  </si>
  <si>
    <t>HERRAMIENTA MENOR 10%M.O.</t>
  </si>
  <si>
    <t>HERRAMIENTA MENOR  10%M.O.</t>
  </si>
  <si>
    <t>HERRAMIENTA MENOR   10%M.O.</t>
  </si>
  <si>
    <t xml:space="preserve">ITEM: </t>
  </si>
  <si>
    <t>Concreto 2000 psi</t>
  </si>
  <si>
    <t>CONCRETO 2000 PSI</t>
  </si>
  <si>
    <t>Concreto 3000 psi</t>
  </si>
  <si>
    <t>CONCRETO 3000 PSI</t>
  </si>
  <si>
    <t>ITEM: 3.4</t>
  </si>
  <si>
    <t>FORMALETA EN MADERA</t>
  </si>
  <si>
    <t>TUBO DE 36" CONCRETO REFORZADO  f´c=28 MPA</t>
  </si>
  <si>
    <t>material pétreo (Piedra)</t>
  </si>
  <si>
    <t xml:space="preserve"> INSUMOS </t>
  </si>
  <si>
    <t>Asesor Ambiental (PAGA)</t>
  </si>
  <si>
    <t xml:space="preserve"> V.M./BASE 
</t>
  </si>
  <si>
    <t>FACT PREST. (%)</t>
  </si>
  <si>
    <t>DEDICACIÓN (%)</t>
  </si>
  <si>
    <t>DURACIÓN (MESES)</t>
  </si>
  <si>
    <t>GASTOS OPERACIONALES</t>
  </si>
  <si>
    <t>Alquiler computadores, impresora</t>
  </si>
  <si>
    <t>Papeleria</t>
  </si>
  <si>
    <t>Seguridad industrial y dotación</t>
  </si>
  <si>
    <t>Transportes</t>
  </si>
  <si>
    <t>Almacenamiento</t>
  </si>
  <si>
    <t>Mantenimiento equipos y herramientas</t>
  </si>
  <si>
    <t>Arriendo de oficina y administración</t>
  </si>
  <si>
    <t>Registro fotografico/videos/informes</t>
  </si>
  <si>
    <t>Ensayos de control de calidad</t>
  </si>
  <si>
    <t>Registro y elaboración de planos record</t>
  </si>
  <si>
    <t>Señalización de obra</t>
  </si>
  <si>
    <t>Valla</t>
  </si>
  <si>
    <t>PERSONAL</t>
  </si>
  <si>
    <t>Vigilante</t>
  </si>
  <si>
    <t>1.29.1</t>
  </si>
  <si>
    <t>1.29.2</t>
  </si>
  <si>
    <t>1.29.3</t>
  </si>
  <si>
    <t>1.29.4</t>
  </si>
  <si>
    <t>1.30.1</t>
  </si>
  <si>
    <t>Pro deporte</t>
  </si>
  <si>
    <t>Pro ancianos</t>
  </si>
  <si>
    <t>Pro cultura</t>
  </si>
  <si>
    <t>Pro universidad</t>
  </si>
  <si>
    <t>M</t>
  </si>
  <si>
    <t>Compresor (barrido y soplado)</t>
  </si>
  <si>
    <t>HERRAMIENTA MENOR 10% M.O.</t>
  </si>
  <si>
    <t>SELLANTE ELASTOMERICO CON BASE EN POLIURETANO</t>
  </si>
  <si>
    <t>FONDE EN ESPUMA DE 10 mm</t>
  </si>
  <si>
    <t>CONCRETO SIMPLE 3000 PSI</t>
  </si>
  <si>
    <t>CONCRETO CLASE E DE 3000 PSI</t>
  </si>
  <si>
    <t xml:space="preserve"> Especialista en Vias, Pavimentos y Geotecnia</t>
  </si>
  <si>
    <t>Un</t>
  </si>
  <si>
    <t>RETROEXCAVADORA DE ORUGA</t>
  </si>
  <si>
    <t>Suministro e instalación de subbase granular. Esp. 320-07 INV.</t>
  </si>
  <si>
    <t xml:space="preserve">Concreto 3000 PSI para  huellas, berma cuneta, bordillo, riostras, sobreanchos y dentellones.  </t>
  </si>
  <si>
    <t>Excavación manual h= 0.3 m y a= 0.20 m para riostras de placa huella, incluye retiro de sobrantes.</t>
  </si>
  <si>
    <t>Concreto ciclopeo  (40% piedra media zonga + 60% concreto simple 3.000 PSI).</t>
  </si>
  <si>
    <t>Acero de refuerzo 4.200 kg/cm² (60.000 psi). ESP. 640 - 07 INV.</t>
  </si>
  <si>
    <t>Relleno compactado en recebo común IP&lt;=9 vibrocompactado al  95% PM.</t>
  </si>
  <si>
    <t>m2</t>
  </si>
  <si>
    <t>Alambre negro No. 18</t>
  </si>
  <si>
    <t>Durmiente ordinario 4*4cm</t>
  </si>
  <si>
    <t>Puntilla de 1"</t>
  </si>
  <si>
    <t>lb</t>
  </si>
  <si>
    <t>RETROEXCAVADORA DE LLANTAS</t>
  </si>
  <si>
    <t>Excavaciónes a maquina  (incluye retiro de sobrantes, transporte hasta escombrera)</t>
  </si>
  <si>
    <t>Sellado de juntas  (incluye limpieza, suministro e instalación de fondo y sellante).</t>
  </si>
  <si>
    <t>Excavación manual, incluye retiro de sobrantes.</t>
  </si>
  <si>
    <t>ITEM: 3.1</t>
  </si>
  <si>
    <t>Tubería de concreto reforzado 1mX36" Esp. 661-07 INV.</t>
  </si>
  <si>
    <t>ITEM: 3.5</t>
  </si>
  <si>
    <t>Filtro de  0.40x0.60m, incluye material granular filtrante y geotextil. Esp. 673.2 INV.</t>
  </si>
  <si>
    <t>ITEM: 3.6</t>
  </si>
  <si>
    <t>Demolición, remoción y disposición final  de estructuras de concreto (alcantarillas)</t>
  </si>
  <si>
    <t>ITEM: 4.1</t>
  </si>
  <si>
    <t>ANÁLISIS DE PRESUPUESTO DE CARACTERIZACIÓN VÍAL</t>
  </si>
  <si>
    <t>Longitud a caracterizar (km)</t>
  </si>
  <si>
    <t>V.M./BASE</t>
  </si>
  <si>
    <t>Dedicación</t>
  </si>
  <si>
    <t>Duración (mes)</t>
  </si>
  <si>
    <t>V.PARCIAL</t>
  </si>
  <si>
    <t>Ingeniero SIG</t>
  </si>
  <si>
    <t>Ingeniero de levantamiento de campo</t>
  </si>
  <si>
    <t>GASTOS PERSONAL</t>
  </si>
  <si>
    <t>Alquiler GPS y equipos topográficos</t>
  </si>
  <si>
    <t xml:space="preserve">Computador Portátil </t>
  </si>
  <si>
    <t>Cámara</t>
  </si>
  <si>
    <t>COSTO TOTAL * km</t>
  </si>
  <si>
    <t>REPUBLICA DE COLOMBIA 
DEPARTAMENTO DEL HUILA
MUNICIPIO DE PITALITO</t>
  </si>
  <si>
    <t>MEJORAMIENTO DE VIAS TERCIARIAS MEDIANTE EL USO DE PLACA HUELLA  EN MUNICIPIOS DEL SUR DEL DEPARTAMENTO DEL HUILA</t>
  </si>
  <si>
    <t>NUMERO DE KILOMETROS</t>
  </si>
  <si>
    <t xml:space="preserve">COSTO TOTAL </t>
  </si>
  <si>
    <t>CRONOGRAMA DE ACTIVIDADES Y FLUJO DE FONDOS</t>
  </si>
  <si>
    <t>MES 1, 2 Y 3</t>
  </si>
  <si>
    <t>MES 13</t>
  </si>
  <si>
    <t>MES 14</t>
  </si>
  <si>
    <t>MES 15</t>
  </si>
  <si>
    <t>MES 16 Y 17</t>
  </si>
  <si>
    <t>Etapa contractual</t>
  </si>
  <si>
    <t>No.</t>
  </si>
  <si>
    <t>Estructura pavimento placa huella</t>
  </si>
  <si>
    <t>Construción obras de drenaje</t>
  </si>
  <si>
    <t>Liquidación y cierre</t>
  </si>
  <si>
    <t>TOTAL</t>
  </si>
  <si>
    <t>ACERO DE 60.000 PSI</t>
  </si>
  <si>
    <t>Localización y replanteo</t>
  </si>
  <si>
    <t>ITEM: 3.7</t>
  </si>
  <si>
    <t>ITEM: 4.2</t>
  </si>
  <si>
    <t>ITEM: 4.3</t>
  </si>
  <si>
    <t>ITEM: 4.4</t>
  </si>
  <si>
    <t>ITEM: 4.5</t>
  </si>
  <si>
    <t>ITEM: 4.6</t>
  </si>
  <si>
    <t>ANDAMIO TUBULAR DE 1.5 m (6 secciones)</t>
  </si>
  <si>
    <t>SALIDA EN PVC DE 2"</t>
  </si>
  <si>
    <t>Conformación de la calzada existente</t>
  </si>
  <si>
    <t>ITEM: 2.9</t>
  </si>
  <si>
    <t>Concreto 3.000 PSI para cajas y cabezales. Esp. 630 – 07 INV.</t>
  </si>
  <si>
    <t xml:space="preserve"> Concreto 3.000 PSI  para muros de contención (Incluye  pases D=2"). Esp. 630 – 07 INV.</t>
  </si>
  <si>
    <t>Concreto  2.000 PSI para solado. Esp. 630 – 07. INV.</t>
  </si>
  <si>
    <t>Concreto  2.000 PSI  para solado. Esp. 630 – 07. INV.</t>
  </si>
  <si>
    <t>Pro desarrollo</t>
  </si>
  <si>
    <t>COSTOS OBRA:</t>
  </si>
  <si>
    <t>Pro usco</t>
  </si>
  <si>
    <t xml:space="preserve">REPUBLICA DE COLOMBIA 
DEPARTAMENTO DEL HUILA
</t>
  </si>
  <si>
    <t>Programa de adaptación de guías ambientales</t>
  </si>
  <si>
    <t xml:space="preserve">CANTIDAD </t>
  </si>
  <si>
    <t>Plan de manejo de tránsito y señalización</t>
  </si>
  <si>
    <t>Asesor Ambiental</t>
  </si>
  <si>
    <t>Campamento</t>
  </si>
  <si>
    <t>1.30.2</t>
  </si>
  <si>
    <t>Varios</t>
  </si>
  <si>
    <r>
      <rPr>
        <b/>
        <sz val="26"/>
        <rFont val="Arial"/>
        <family val="2"/>
      </rPr>
      <t xml:space="preserve">REPUBLICA DE COLOMBIA 
DEPARTAMENTO DEL HUILA
</t>
    </r>
    <r>
      <rPr>
        <b/>
        <sz val="22"/>
        <rFont val="Arial"/>
        <family val="2"/>
      </rPr>
      <t xml:space="preserve">
</t>
    </r>
  </si>
  <si>
    <t>FACTOR MULTIPLICADOR INTERVENTORÍA</t>
  </si>
  <si>
    <t>A</t>
  </si>
  <si>
    <t>VR. CONTRATO ( SMMLV)</t>
  </si>
  <si>
    <t>SALARIOS</t>
  </si>
  <si>
    <t>B</t>
  </si>
  <si>
    <t>VR. PERSONAL (SALARIOS) 34%</t>
  </si>
  <si>
    <t>PRESTACIONES SOCIALES</t>
  </si>
  <si>
    <t>Cesantia</t>
  </si>
  <si>
    <t>Intereses de cesantías</t>
  </si>
  <si>
    <t>Prima</t>
  </si>
  <si>
    <t>Seguridad Social (salud)</t>
  </si>
  <si>
    <t>Seguridad Social (pensión)</t>
  </si>
  <si>
    <t>Aseguradora de Riesgos Laborales</t>
  </si>
  <si>
    <t>Subsidio Familiar</t>
  </si>
  <si>
    <t>Subsidio de Transporte</t>
  </si>
  <si>
    <t>GASTOS GENERALES</t>
  </si>
  <si>
    <t>Arriendo de oficina, administración y servicios públicos</t>
  </si>
  <si>
    <t>3 smmlv</t>
  </si>
  <si>
    <t>Seguridad industrial de oficina del consultor</t>
  </si>
  <si>
    <t>Capacitación de personal</t>
  </si>
  <si>
    <t>COSTOS DE PERFECCIONAMIENTO (PÓLIZAS)</t>
  </si>
  <si>
    <t>FÓRMULA PORCENTUAL</t>
  </si>
  <si>
    <t>Póliza de calidad</t>
  </si>
  <si>
    <t>Póliza de cumplimiento</t>
  </si>
  <si>
    <t>Póliza de salarios y prestaciones sociales</t>
  </si>
  <si>
    <t>Garantía Responsabilidad Civíl Extracontractual</t>
  </si>
  <si>
    <t>IMPREVISTOS 1% DE (1+2+3+4)</t>
  </si>
  <si>
    <t>HONORARIOS (UTILIDADES) 10% DE (1+2+3+4)</t>
  </si>
  <si>
    <t>TOTAL FACTOR MULTIPLICADOR</t>
  </si>
  <si>
    <t>PRIMA ANUAL DE SERVICIOS: Correspondiente a un salario mensual por ano.(100/12)</t>
  </si>
  <si>
    <t>CESANTIAS ANUALES:  Correspondiente a un salario mensual por ano.(100/12)</t>
  </si>
  <si>
    <t>INTERESES DE LAS CESANTIAS: 12% del valor de las cesantias consolidadas a 31 de Diciembre. (depende de cada empresa) S/ CONSTRUDATA 1 - 1.18% ; SE TOMA ASI: =365/36 cesantia anual * 12 %
= 1.21</t>
  </si>
  <si>
    <t>VACACIONES ANUALES: Son 15 días hábiles y corresponden a 18 días calendario S/ FONADE 5.0 % y construdata 4.11 %</t>
  </si>
  <si>
    <t>APORTES PARAFISCALES: SENA, ICBF, SUBSIDIO FAMILIAR: LEY 789 DE 2002,  ARTICULO 1 DE LA LEY 828 DEL 2003</t>
  </si>
  <si>
    <t>6.</t>
  </si>
  <si>
    <t>SEGUROS DE LEY (de vida): S/ FONADE VARIA ENTRE EL 0 - 1.0 %</t>
  </si>
  <si>
    <t>7.</t>
  </si>
  <si>
    <t>PENSIONES:IVM (14.5%; empleador 3/4 de 14.5%). ACTUAL LEY 797 DE 2003 Y DECRETO 510 DEL 2003 (14.5%)</t>
  </si>
  <si>
    <t>8.</t>
  </si>
  <si>
    <t>SALUD:  EGM  (12%; EMPLEADOR 2/3 DE 12%)</t>
  </si>
  <si>
    <t>9.</t>
  </si>
  <si>
    <t>RIESGOS PROFESIONALES:ATEP. Para interventoria clase V (valor inicial 6.96; valor maximo 8.70).
Trabajo de oficina clase I (valor inicial 0,522, valor final 0,70), para construdata 5.60 %</t>
  </si>
  <si>
    <t>10.</t>
  </si>
  <si>
    <t>PRESTACIONES EXTRALEGALES Y AUXILIOS (prima de servicio, navidad y bonificaciones): Depende de cada empresa (varia): se adopta el 25% del total de las prestaciones legales.</t>
  </si>
  <si>
    <t>11.</t>
  </si>
  <si>
    <t>DOTACION (overoles, uniformes y calzado): SEGÚN FONADE 0,75 y  según construdata 2,08% es 0 para estudios.</t>
  </si>
  <si>
    <t>12.</t>
  </si>
  <si>
    <t>SEGURO COLECTIVO:SEGÚN CONSTRUDATA  0,50; es 0 para estudios.</t>
  </si>
  <si>
    <t>13.</t>
  </si>
  <si>
    <t xml:space="preserve">POLIZAS DE CALIDAD, CUMPLIMIENTO, ANTICIPO, SALARIOS:    (su porcentaje final depende, del valor del contrato, el plazo, la vigencia y la garantia. </t>
  </si>
  <si>
    <t>FUNCION:</t>
  </si>
  <si>
    <t>ES DEBER Y OBLIGACION DEL FUNCIONARIO INTERVENTOR O SUPERVISOR DESIGNADO POR LA GOBERNACION DE HUILA, VERIFICAR, REVISAR, VIGILAR Y CONSTATAR EL CUMPLIMIENTO DE LAS CONDICIONES ESTABLECIDAS  EN EL FACTOR MULTIPLICADOR POR PARTE DEL CONSULTOR O FIRMA CO</t>
  </si>
  <si>
    <t>NOTAS:</t>
  </si>
  <si>
    <r>
      <t xml:space="preserve">* </t>
    </r>
    <r>
      <rPr>
        <sz val="9"/>
        <rFont val="Calibri"/>
        <family val="2"/>
        <scheme val="minor"/>
      </rPr>
      <t xml:space="preserve">SE CONSULTO EL MANUAL PARA CONTRATACION DE CONSULTORIA DEL FONADE. EDITADO POR LA SOCIEDAD COLOMBIANA DE INGENIEROS 1996. </t>
    </r>
  </si>
  <si>
    <r>
      <t>*</t>
    </r>
    <r>
      <rPr>
        <sz val="9"/>
        <rFont val="Calibri"/>
        <family val="2"/>
        <scheme val="minor"/>
      </rPr>
      <t xml:space="preserve">  LAS FIRMAS CONSULTORAS TIENEN UNOS COSTOS LABORALES, UNOS GASTOS GENERALES DE ADMINISTRACION Y UNOS COSTOS DE CAPITAL QUE TIENEN QUE APLICAR Y REPARTIR ENTRE SUS CONTRATOS PARA QUE SEAN ABSORBIDOS POR EL COSTO DE PERSONAL FACTURABLE.</t>
    </r>
  </si>
  <si>
    <r>
      <t xml:space="preserve">* </t>
    </r>
    <r>
      <rPr>
        <sz val="9"/>
        <rFont val="Calibri"/>
        <family val="2"/>
        <scheme val="minor"/>
      </rPr>
      <t xml:space="preserve"> ESTOS COSTOS DE ADMINISTRACION VARIAN CON EL TIEMPO DEBIDO A FACTORES INTERNOS Y EXTERNOS QUE AFECTAN A LA FIRMA Y EL TRABAJO. ENTRE DICHOS FACTORES SE PUEDEN MENCIONAR: NUEVOS CONTRATOS, CONTRATOS TERMINADOS, ROTACION DE PERSONAL, CAMBIOS EN LA LEGISLACIÓN</t>
    </r>
  </si>
  <si>
    <t>REPUBLICA DE COLOMBIA 
DEPARTAMENTO DEL HUILA</t>
  </si>
  <si>
    <t>CANT.</t>
  </si>
  <si>
    <t>Laboratorista de suelos y concreto</t>
  </si>
  <si>
    <t>Inspector</t>
  </si>
  <si>
    <t>Contador Público</t>
  </si>
  <si>
    <t>Equipo completo de topografía (incluye estación, nivel y elementos complementarios)</t>
  </si>
  <si>
    <t>Caracterización vías</t>
  </si>
  <si>
    <t>NOTA:  El costo de las actividades de obra incluye el AIU.</t>
  </si>
  <si>
    <t>EQUIPO TOPOGRAFIA</t>
  </si>
  <si>
    <t>Equipo de topografia</t>
  </si>
  <si>
    <t>Topografo</t>
  </si>
  <si>
    <t>Cadenero</t>
  </si>
  <si>
    <t>% PARTICIPACIÓN</t>
  </si>
  <si>
    <t>CANTIDAD</t>
  </si>
  <si>
    <t>LONGITUD</t>
  </si>
  <si>
    <t xml:space="preserve"> PROYECTO: </t>
  </si>
  <si>
    <t xml:space="preserve">Contrato de interventoría No. </t>
  </si>
  <si>
    <t>Vigencia del contrato</t>
  </si>
  <si>
    <t xml:space="preserve">CAPITULO: </t>
  </si>
  <si>
    <t>DESCRIPCIÓN ÍTEM</t>
  </si>
  <si>
    <t>ITEM Nº.</t>
  </si>
  <si>
    <t xml:space="preserve">ACTA PARCIAL No </t>
  </si>
  <si>
    <t>LOCALIZACIÓN</t>
  </si>
  <si>
    <t>MEDIDAS</t>
  </si>
  <si>
    <t>CANT. A PAGAR</t>
  </si>
  <si>
    <t>Objeto: “MEJORAMIENTO DE VIAS TERCIARIAS MEDIANTE EL USO DE PLACA HUELLA EN LOS MUNICIPIOS DEL SUR DEL DEPARTAMENTO DEL HUILA”</t>
  </si>
  <si>
    <t>MEMORIAS DE CANTIDADES</t>
  </si>
  <si>
    <t>Contrato de Obra No. 861 DEL 2018</t>
  </si>
  <si>
    <t>12 MESES</t>
  </si>
  <si>
    <t>PESO KG</t>
  </si>
  <si>
    <t>DIAMETRO</t>
  </si>
  <si>
    <r>
      <rPr>
        <b/>
        <sz val="14"/>
        <color indexed="8"/>
        <rFont val="Verdana"/>
        <family val="2"/>
      </rPr>
      <t>Página</t>
    </r>
    <r>
      <rPr>
        <sz val="14"/>
        <color indexed="8"/>
        <rFont val="Verdana"/>
        <family val="2"/>
      </rPr>
      <t xml:space="preserve"> 1 de 2</t>
    </r>
  </si>
  <si>
    <r>
      <rPr>
        <b/>
        <sz val="14"/>
        <color indexed="8"/>
        <rFont val="Verdana"/>
        <family val="2"/>
      </rPr>
      <t>Código:</t>
    </r>
    <r>
      <rPr>
        <sz val="14"/>
        <color indexed="8"/>
        <rFont val="Verdana"/>
        <family val="2"/>
      </rPr>
      <t xml:space="preserve">  F-GIN-103
</t>
    </r>
    <r>
      <rPr>
        <b/>
        <sz val="14"/>
        <color indexed="8"/>
        <rFont val="Verdana"/>
        <family val="2"/>
      </rPr>
      <t>Versión:</t>
    </r>
    <r>
      <rPr>
        <sz val="14"/>
        <color indexed="8"/>
        <rFont val="Verdana"/>
        <family val="2"/>
      </rPr>
      <t xml:space="preserve">  1
</t>
    </r>
    <r>
      <rPr>
        <b/>
        <sz val="14"/>
        <color indexed="8"/>
        <rFont val="Verdana"/>
        <family val="2"/>
      </rPr>
      <t>Fecha</t>
    </r>
    <r>
      <rPr>
        <sz val="14"/>
        <color indexed="8"/>
        <rFont val="Verdana"/>
        <family val="2"/>
      </rPr>
      <t>: 31/Jul/2015</t>
    </r>
  </si>
  <si>
    <t>PLACA HUELLAS EN EL SUR DEL HUILA</t>
  </si>
  <si>
    <t>CORREGIMIENTO</t>
  </si>
  <si>
    <t>VEREDA - ZONA</t>
  </si>
  <si>
    <t>CONTRATISTA: CONSORCIO VIAS HUILA</t>
  </si>
  <si>
    <t>VoBo. RESIDENTE CONTRATISTA</t>
  </si>
  <si>
    <t>VoBo. RESIDENTE INTERVENTORÍA</t>
  </si>
  <si>
    <t>1. REGISTRO TIPOGRAFICO</t>
  </si>
  <si>
    <t>2. ESQUEMAS</t>
  </si>
  <si>
    <t>3. OBSERVACIOS</t>
  </si>
  <si>
    <t>No DE OBRAS</t>
  </si>
  <si>
    <t>No DE MODULOS</t>
  </si>
  <si>
    <t>Placa Huella</t>
  </si>
  <si>
    <t>1/2"</t>
  </si>
  <si>
    <t>1/4"</t>
  </si>
  <si>
    <t>riostra</t>
  </si>
  <si>
    <t>cuneta</t>
  </si>
  <si>
    <t>bordillo</t>
  </si>
  <si>
    <t>3/8"</t>
  </si>
  <si>
    <t>ESQUEMAS</t>
  </si>
  <si>
    <t>CONTRATADAS</t>
  </si>
  <si>
    <t>UNID</t>
  </si>
  <si>
    <t>CANT</t>
  </si>
  <si>
    <t>VR/UNITARIO</t>
  </si>
  <si>
    <t>VR/TOTAL</t>
  </si>
  <si>
    <t>M3/KM</t>
  </si>
  <si>
    <t>CONFORMACIÓN DE CALZADA EXISTENTE, INCLUYE PERFILADA Y CUNETEADA</t>
  </si>
  <si>
    <t>TRANSPORTE DE MATERIALES EN TERRENO ONDULADO</t>
  </si>
  <si>
    <t xml:space="preserve">SUBTOTAL OBRAS </t>
  </si>
  <si>
    <t>ÍTEM</t>
  </si>
  <si>
    <t>AFIRMADO CON RECEBO (INCLUYE SUMINISTRO, EXTENDIDO, NIVELACIÓN Y COMPACTACION)</t>
  </si>
  <si>
    <t>MANTENIMIENTO Y MEJORAMIENTO DE 11,3 KILOMETROS EN LOS TRAMOS CRÍTICOS DE LA VIAS TERCIARIAS LAS MORAS - CRUCE VEREDA LA ARGENTINA, VEREDA GUAYABITO - VEREDA PRIMAVERA Y VEREDA EL NEME - VEREDA BUENOS AIRES CRUCE HACIA SECTOR QUEBRADILLAS DEL MUNICIPIO DE SALADOBLANCO DEPARTAMENTO DEL HUILA</t>
  </si>
  <si>
    <t>DEPARTAMENTO DEL HUILA</t>
  </si>
  <si>
    <t>CONFORMACIÒN DE CALZADA EXIXTNTE, INCLUYE PERFILADA Y CUNETEADA</t>
  </si>
  <si>
    <t xml:space="preserve">UNIDAD: </t>
  </si>
  <si>
    <t>II. MATERIALES</t>
  </si>
  <si>
    <t>Vol-peso ó Cant.</t>
  </si>
  <si>
    <r>
      <t>M</t>
    </r>
    <r>
      <rPr>
        <vertAlign val="superscript"/>
        <sz val="8"/>
        <rFont val="Arial"/>
        <family val="2"/>
      </rPr>
      <t>3</t>
    </r>
    <r>
      <rPr>
        <sz val="8"/>
        <rFont val="Arial"/>
        <family val="2"/>
      </rPr>
      <t>-Km</t>
    </r>
  </si>
  <si>
    <t>Jornal/H-H</t>
  </si>
  <si>
    <t>V. COSTOS INDIRECTOS</t>
  </si>
  <si>
    <t>Porcentaje</t>
  </si>
  <si>
    <t>Valor Total</t>
  </si>
  <si>
    <t>Administración</t>
  </si>
  <si>
    <t>Utilidad</t>
  </si>
  <si>
    <t>Imprevistos</t>
  </si>
  <si>
    <t>Precio unitario total aproximado al peso</t>
  </si>
  <si>
    <t>INDICE</t>
  </si>
  <si>
    <t>AFIRMADO CON RECEBO (INCLUYE SUMINISTRO, EXTENDIDO Y NIVELACIÒN)</t>
  </si>
  <si>
    <t>Jornal/H-C</t>
  </si>
  <si>
    <t xml:space="preserve">Utilidad </t>
  </si>
  <si>
    <t>Jornal/H-C.</t>
  </si>
  <si>
    <t>MEMORIAS DE CALCULO DE CANTIDADES DE OBRA</t>
  </si>
  <si>
    <t>LONGITUD (m)</t>
  </si>
  <si>
    <t>ANCHO (m)</t>
  </si>
  <si>
    <t>ESPESOR (m)</t>
  </si>
  <si>
    <t>LONG/AREA/VOL</t>
  </si>
  <si>
    <t>CANT. EJEC.</t>
  </si>
  <si>
    <t>m3</t>
  </si>
  <si>
    <t>TRANSPORTE DE MATERIALES EN TERRENO ALTA MONTAÑA</t>
  </si>
  <si>
    <t>KM</t>
  </si>
  <si>
    <t>m3/km</t>
  </si>
  <si>
    <t>CONFORMACIÒN DE CALZADA EXISTENTE, INCLUYE PERFILADA Y CUNETEADA</t>
  </si>
  <si>
    <t>VOLQUETA 6 M3</t>
  </si>
  <si>
    <t xml:space="preserve">VALOR TOTAL </t>
  </si>
  <si>
    <t>Administración 23%</t>
  </si>
  <si>
    <t>Utilidad 5%</t>
  </si>
  <si>
    <t>Imprevistos 2%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</si>
</sst>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6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&quot;$&quot;\ #,##0.00_);\(&quot;$&quot;\ #,##0.00\)"/>
    <numFmt numFmtId="167" formatCode="&quot;$&quot;\ #,##0.00_);[Red]\(&quot;$&quot;\ #,##0.00\)"/>
    <numFmt numFmtId="168" formatCode="_(* #,##0_);_(* \(#,##0\);_(* &quot;-&quot;_);_(@_)"/>
    <numFmt numFmtId="169" formatCode="_(&quot;$&quot;\ * #,##0.00_);_(&quot;$&quot;\ * \(#,##0.00\);_(&quot;$&quot;\ * &quot;-&quot;??_);_(@_)"/>
    <numFmt numFmtId="170" formatCode="_(* #,##0.00_);_(* \(#,##0.00\);_(* &quot;-&quot;??_);_(@_)"/>
    <numFmt numFmtId="171" formatCode="#,##0.000"/>
    <numFmt numFmtId="172" formatCode="#,##0.0"/>
    <numFmt numFmtId="173" formatCode="_-* #,##0.00\ &quot;Pts&quot;_-;\-* #,##0.00\ &quot;Pts&quot;_-;_-* &quot;-&quot;??\ &quot;Pts&quot;_-;_-@_-"/>
    <numFmt numFmtId="174" formatCode="&quot;$&quot;\ #,##0.00"/>
    <numFmt numFmtId="175" formatCode="\$#,##0\ ;\(\$#,##0\)"/>
    <numFmt numFmtId="176" formatCode="_ [$€-2]\ * #,##0.00_ ;_ [$€-2]\ * \-#,##0.00_ ;_ [$€-2]\ * &quot;-&quot;??_ "/>
    <numFmt numFmtId="177" formatCode="_ * #,##0.00_ ;_ * \-#,##0.00_ ;_ * &quot;-&quot;??_ ;_ @_ "/>
    <numFmt numFmtId="178" formatCode="0.0%"/>
    <numFmt numFmtId="179" formatCode="[$$-500A]\ #,##0.00"/>
    <numFmt numFmtId="180" formatCode="_(&quot;$&quot;\ * #,##0_);_(&quot;$&quot;\ * \(#,##0\);_(&quot;$&quot;\ * &quot;-&quot;??_);_(@_)"/>
    <numFmt numFmtId="181" formatCode="&quot;$&quot;\ #,##0"/>
    <numFmt numFmtId="182" formatCode="0.0"/>
    <numFmt numFmtId="183" formatCode="_(* #,##0_);_(* \(#,##0\);_(* &quot;-&quot;??_);_(@_)"/>
    <numFmt numFmtId="184" formatCode="_(* #,##0.0_);_(* \(#,##0.0\);_(* &quot;-&quot;??_);_(@_)"/>
    <numFmt numFmtId="185" formatCode="_-* #,##0.00\ _€_-;\-* #,##0.00\ _€_-;_-* &quot;-&quot;??\ _€_-;_-@_-"/>
    <numFmt numFmtId="186" formatCode="_ &quot;$&quot;\ * #,##0.00_ ;_ &quot;$&quot;\ * \-#,##0.00_ ;_ &quot;$&quot;\ * &quot;-&quot;??_ ;_ @_ "/>
    <numFmt numFmtId="187" formatCode="_-* #,##0.00\ [$€-1]_-;\-* #,##0.00\ [$€-1]_-;_-* &quot;-&quot;??\ [$€-1]_-"/>
    <numFmt numFmtId="188" formatCode="_-* #,##0\ _€_-;\-* #,##0\ _€_-;_-* &quot;-&quot;??\ _€_-;_-@_-"/>
    <numFmt numFmtId="189" formatCode="_ * #,##0_ ;_ * \-#,##0_ ;_ * &quot;-&quot;??_ ;_ @_ "/>
    <numFmt numFmtId="190" formatCode="_ * #,##0.000000_ ;_ * \-#,##0.000000_ ;_ * &quot;-&quot;??_ ;_ @_ "/>
    <numFmt numFmtId="191" formatCode="_-* #,##0.00\ &quot;€&quot;_-;\-* #,##0.00\ &quot;€&quot;_-;_-* &quot;-&quot;??\ &quot;€&quot;_-;_-@_-"/>
    <numFmt numFmtId="192" formatCode="[$$-1004]#,##0.00"/>
    <numFmt numFmtId="193" formatCode="_ &quot;$&quot;\ * #,##0_ ;_ &quot;$&quot;\ * \-#,##0_ ;_ &quot;$&quot;\ * &quot;-&quot;_ ;_ @_ "/>
    <numFmt numFmtId="194" formatCode="[$$-240A]\ #,##0.00"/>
    <numFmt numFmtId="195" formatCode="_(&quot;C$&quot;* #,##0.00_);_(&quot;C$&quot;* \(#,##0.00\);_(&quot;C$&quot;* &quot;-&quot;??_);_(@_)"/>
    <numFmt numFmtId="196" formatCode="_ [$€]\ * #,##0.00_ ;_ [$€]\ * \-#,##0.00_ ;_ [$€]\ * &quot;-&quot;??_ ;_ @_ "/>
    <numFmt numFmtId="197" formatCode="_([$€]* #,##0.00_);_([$€]* \(#,##0.00\);_([$€]* &quot;-&quot;??_);_(@_)"/>
    <numFmt numFmtId="198" formatCode="0.000%"/>
    <numFmt numFmtId="199" formatCode="_ * #,##0_ ;_ * \-#,##0_ ;_ * &quot;-&quot;_ ;_ @_ "/>
    <numFmt numFmtId="200" formatCode="_-* #,##0.00\ _P_t_a_-;\-* #,##0.00\ _P_t_a_-;_-* &quot;-&quot;??\ _P_t_a_-;_-@_-"/>
    <numFmt numFmtId="201" formatCode="_-* #,##0.00\ _P_t_s_-;\-* #,##0.00\ _P_t_s_-;_-* &quot;-&quot;??\ _P_t_s_-;_-@_-"/>
    <numFmt numFmtId="202" formatCode="_ * #,##0_ ;_ * \-#,##0_ ;_ * \-??_ ;_ @_ "/>
    <numFmt numFmtId="203" formatCode="_ * #,##0.00_ ;_ * \-#,##0.00_ ;_ * \-??_ ;_ @_ "/>
    <numFmt numFmtId="204" formatCode="_-* #,##0.00\ _p_t_a_-;\-* #,##0.00\ _p_t_a_-;_-* &quot;-&quot;??\ _p_t_a_-;_-@_-"/>
    <numFmt numFmtId="205" formatCode="_ &quot;$&quot;* #,##0.00_ ;_ &quot;$&quot;* \-#,##0.00_ ;_ &quot;$&quot;* &quot;-&quot;??_ ;_ @_ "/>
    <numFmt numFmtId="206" formatCode="&quot;C$&quot;#,##0_);\(&quot;C$&quot;#,##0\)"/>
    <numFmt numFmtId="207" formatCode="General_)"/>
    <numFmt numFmtId="208" formatCode="\$#,##0.00\ ;\(\$#,##0.00\)"/>
    <numFmt numFmtId="209" formatCode="#,##0.000_ ;\-#,##0.000\ "/>
    <numFmt numFmtId="210" formatCode="0.0000%"/>
    <numFmt numFmtId="211" formatCode="_ [$$-240A]\ * #,##0.00_ ;_ [$$-240A]\ * \-#,##0.00_ ;_ [$$-240A]\ * &quot;-&quot;??_ ;_ @_ "/>
    <numFmt numFmtId="212" formatCode="0.000"/>
    <numFmt numFmtId="213" formatCode="_-&quot;$&quot;* #,##0.00_-;\-&quot;$&quot;* #,##0.00_-;_-&quot;$&quot;* &quot;-&quot;_-;_-@_-"/>
    <numFmt numFmtId="214" formatCode="[$$-240A]#,##0.00"/>
    <numFmt numFmtId="215" formatCode="_(&quot;$&quot;* #,##0_);_(&quot;$&quot;* \(#,##0\);_(&quot;$&quot;* &quot;-&quot;_);_(@_)"/>
    <numFmt numFmtId="221" formatCode="0.00000"/>
  </numFmts>
  <fonts count="1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color indexed="24"/>
      <name val="Arial"/>
      <family val="2"/>
    </font>
    <font>
      <sz val="11"/>
      <color indexed="8"/>
      <name val="Calibri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4"/>
      <color theme="1"/>
      <name val="Arial"/>
      <family val="2"/>
    </font>
    <font>
      <b/>
      <u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name val="Arial"/>
      <family val="2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1"/>
      <name val="Arial"/>
      <family val="2"/>
    </font>
    <font>
      <b/>
      <sz val="18"/>
      <color theme="1"/>
      <name val="Arial"/>
      <family val="2"/>
    </font>
    <font>
      <b/>
      <sz val="12"/>
      <name val="Arial"/>
      <family val="2"/>
    </font>
    <font>
      <sz val="11"/>
      <name val="Calibri"/>
      <family val="2"/>
      <scheme val="minor"/>
    </font>
    <font>
      <strike/>
      <sz val="9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8"/>
      <color rgb="FFFF0000"/>
      <name val="Arial"/>
      <family val="2"/>
    </font>
    <font>
      <sz val="11"/>
      <color rgb="FFFF000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MS Sans Serif"/>
      <family val="2"/>
    </font>
    <font>
      <u/>
      <sz val="10"/>
      <color theme="10"/>
      <name val="Arial"/>
      <family val="2"/>
    </font>
    <font>
      <b/>
      <sz val="10"/>
      <color indexed="8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sz val="10"/>
      <color indexed="8"/>
      <name val="Arial"/>
      <family val="2"/>
    </font>
    <font>
      <sz val="12"/>
      <color theme="1"/>
      <name val="Arial Narrow"/>
      <family val="2"/>
    </font>
    <font>
      <sz val="11"/>
      <color rgb="FFFF0000"/>
      <name val="Calibri"/>
      <family val="2"/>
      <scheme val="minor"/>
    </font>
    <font>
      <b/>
      <sz val="11"/>
      <name val="Arial Narrow"/>
      <family val="2"/>
    </font>
    <font>
      <b/>
      <sz val="14"/>
      <name val="Arial"/>
      <family val="2"/>
    </font>
    <font>
      <b/>
      <sz val="16"/>
      <name val="Arial"/>
      <family val="2"/>
    </font>
    <font>
      <sz val="14"/>
      <color theme="1"/>
      <name val="Verdana"/>
      <family val="2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name val="Arial"/>
      <family val="2"/>
    </font>
    <font>
      <sz val="18"/>
      <name val="Calibri"/>
      <family val="2"/>
      <scheme val="minor"/>
    </font>
    <font>
      <sz val="14"/>
      <name val="Arial"/>
      <family val="2"/>
    </font>
    <font>
      <u/>
      <sz val="11"/>
      <color theme="10"/>
      <name val="Calibri"/>
      <family val="2"/>
    </font>
    <font>
      <sz val="12"/>
      <color theme="1"/>
      <name val="Calibri"/>
      <family val="2"/>
      <scheme val="minor"/>
    </font>
    <font>
      <sz val="10"/>
      <name val="Arial Narrow"/>
      <family val="2"/>
    </font>
    <font>
      <sz val="10"/>
      <color rgb="FF000000"/>
      <name val="Arial"/>
      <family val="2"/>
    </font>
    <font>
      <sz val="10"/>
      <name val="Tahoma"/>
      <family val="2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</font>
    <font>
      <sz val="12"/>
      <name val="Times New Roman"/>
      <family val="1"/>
    </font>
    <font>
      <b/>
      <sz val="18"/>
      <name val="Arial"/>
      <family val="2"/>
    </font>
    <font>
      <sz val="10"/>
      <name val="Helv"/>
    </font>
    <font>
      <sz val="10"/>
      <name val="Helv"/>
      <charset val="204"/>
    </font>
    <font>
      <b/>
      <sz val="15"/>
      <color indexed="56"/>
      <name val="Calibri"/>
      <family val="2"/>
    </font>
    <font>
      <u/>
      <sz val="11"/>
      <color theme="10"/>
      <name val="Calibri"/>
      <family val="2"/>
      <scheme val="minor"/>
    </font>
    <font>
      <sz val="8.0500000000000007"/>
      <color indexed="8"/>
      <name val="Arial"/>
      <family val="2"/>
    </font>
    <font>
      <b/>
      <sz val="9"/>
      <color indexed="8"/>
      <name val="Arial"/>
      <family val="2"/>
    </font>
    <font>
      <sz val="8"/>
      <name val="Courier"/>
      <family val="3"/>
    </font>
    <font>
      <sz val="10"/>
      <color indexed="24"/>
      <name val="Courier New"/>
      <family val="3"/>
    </font>
    <font>
      <sz val="10"/>
      <name val="MS Sans Serif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2"/>
      <color indexed="24"/>
      <name val="Modern"/>
      <family val="3"/>
      <charset val="255"/>
    </font>
    <font>
      <b/>
      <sz val="18"/>
      <color indexed="24"/>
      <name val="Modern"/>
      <family val="3"/>
      <charset val="255"/>
    </font>
    <font>
      <b/>
      <sz val="12"/>
      <color indexed="24"/>
      <name val="Modern"/>
      <family val="3"/>
      <charset val="255"/>
    </font>
    <font>
      <b/>
      <sz val="12"/>
      <color rgb="FFFF0000"/>
      <name val="Arial Narrow"/>
      <family val="2"/>
    </font>
    <font>
      <sz val="12"/>
      <color rgb="FFFF0000"/>
      <name val="Arial Narrow"/>
      <family val="2"/>
    </font>
    <font>
      <sz val="16"/>
      <color theme="1"/>
      <name val="Calibri"/>
      <family val="2"/>
      <scheme val="minor"/>
    </font>
    <font>
      <sz val="14"/>
      <name val="Verdana"/>
      <family val="2"/>
    </font>
    <font>
      <b/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6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rgb="FFFF0000"/>
      <name val="Arial"/>
      <family val="2"/>
    </font>
    <font>
      <sz val="12"/>
      <color rgb="FFFF0000"/>
      <name val="Arial"/>
      <family val="2"/>
    </font>
    <font>
      <sz val="9"/>
      <name val="Calibri"/>
      <family val="2"/>
      <scheme val="minor"/>
    </font>
    <font>
      <b/>
      <u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9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Verdana"/>
      <family val="2"/>
    </font>
    <font>
      <b/>
      <sz val="14"/>
      <color indexed="8"/>
      <name val="Verdana"/>
      <family val="2"/>
    </font>
    <font>
      <sz val="14"/>
      <color indexed="8"/>
      <name val="Verdana"/>
      <family val="2"/>
    </font>
    <font>
      <b/>
      <sz val="14"/>
      <color indexed="8"/>
      <name val="Calibri"/>
      <family val="2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Arial Narrow"/>
      <family val="2"/>
    </font>
    <font>
      <sz val="20"/>
      <name val="Tahoma"/>
      <family val="2"/>
    </font>
    <font>
      <b/>
      <sz val="20"/>
      <name val="Tahoma"/>
      <family val="2"/>
    </font>
    <font>
      <b/>
      <sz val="20"/>
      <color theme="1"/>
      <name val="Tahoma"/>
      <family val="2"/>
    </font>
    <font>
      <sz val="10"/>
      <name val="Arial"/>
    </font>
    <font>
      <vertAlign val="superscript"/>
      <sz val="8"/>
      <name val="Arial"/>
      <family val="2"/>
    </font>
    <font>
      <b/>
      <sz val="8"/>
      <color indexed="1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1"/>
      <name val="Calibri"/>
      <family val="2"/>
      <scheme val="minor"/>
    </font>
    <font>
      <i/>
      <sz val="12"/>
      <name val="Calibri"/>
      <family val="2"/>
      <scheme val="minor"/>
    </font>
  </fonts>
  <fills count="4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4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thick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thin">
        <color auto="1"/>
      </right>
      <top style="dotted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auto="1"/>
      </bottom>
      <diagonal/>
    </border>
  </borders>
  <cellStyleXfs count="1128">
    <xf numFmtId="0" fontId="0" fillId="0" borderId="0"/>
    <xf numFmtId="170" fontId="1" fillId="0" borderId="0" applyFont="0" applyFill="0" applyBorder="0" applyAlignment="0" applyProtection="0"/>
    <xf numFmtId="0" fontId="2" fillId="0" borderId="0"/>
    <xf numFmtId="0" fontId="7" fillId="0" borderId="0" applyNumberFormat="0" applyFill="0" applyBorder="0" applyAlignment="0" applyProtection="0">
      <alignment vertical="top"/>
      <protection locked="0"/>
    </xf>
    <xf numFmtId="17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3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2" fontId="8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9" fillId="0" borderId="0" applyFont="0" applyFill="0" applyBorder="0" applyAlignment="0" applyProtection="0"/>
    <xf numFmtId="16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6" borderId="0" applyNumberFormat="0" applyBorder="0" applyAlignment="0" applyProtection="0"/>
    <xf numFmtId="0" fontId="9" fillId="9" borderId="0" applyNumberFormat="0" applyBorder="0" applyAlignment="0" applyProtection="0"/>
    <xf numFmtId="0" fontId="9" fillId="12" borderId="0" applyNumberFormat="0" applyBorder="0" applyAlignment="0" applyProtection="0"/>
    <xf numFmtId="0" fontId="35" fillId="13" borderId="0" applyNumberFormat="0" applyBorder="0" applyAlignment="0" applyProtection="0"/>
    <xf numFmtId="0" fontId="35" fillId="10" borderId="0" applyNumberFormat="0" applyBorder="0" applyAlignment="0" applyProtection="0"/>
    <xf numFmtId="0" fontId="35" fillId="11" borderId="0" applyNumberFormat="0" applyBorder="0" applyAlignment="0" applyProtection="0"/>
    <xf numFmtId="0" fontId="35" fillId="14" borderId="0" applyNumberFormat="0" applyBorder="0" applyAlignment="0" applyProtection="0"/>
    <xf numFmtId="0" fontId="35" fillId="15" borderId="0" applyNumberFormat="0" applyBorder="0" applyAlignment="0" applyProtection="0"/>
    <xf numFmtId="0" fontId="35" fillId="16" borderId="0" applyNumberFormat="0" applyBorder="0" applyAlignment="0" applyProtection="0"/>
    <xf numFmtId="0" fontId="36" fillId="5" borderId="0" applyNumberFormat="0" applyBorder="0" applyAlignment="0" applyProtection="0"/>
    <xf numFmtId="0" fontId="37" fillId="17" borderId="58" applyNumberFormat="0" applyAlignment="0" applyProtection="0"/>
    <xf numFmtId="0" fontId="38" fillId="18" borderId="59" applyNumberFormat="0" applyAlignment="0" applyProtection="0"/>
    <xf numFmtId="0" fontId="39" fillId="0" borderId="60" applyNumberFormat="0" applyFill="0" applyAlignment="0" applyProtection="0"/>
    <xf numFmtId="0" fontId="40" fillId="0" borderId="0" applyNumberFormat="0" applyFill="0" applyBorder="0" applyAlignment="0" applyProtection="0"/>
    <xf numFmtId="0" fontId="35" fillId="19" borderId="0" applyNumberFormat="0" applyBorder="0" applyAlignment="0" applyProtection="0"/>
    <xf numFmtId="0" fontId="35" fillId="20" borderId="0" applyNumberFormat="0" applyBorder="0" applyAlignment="0" applyProtection="0"/>
    <xf numFmtId="0" fontId="35" fillId="21" borderId="0" applyNumberFormat="0" applyBorder="0" applyAlignment="0" applyProtection="0"/>
    <xf numFmtId="0" fontId="35" fillId="14" borderId="0" applyNumberFormat="0" applyBorder="0" applyAlignment="0" applyProtection="0"/>
    <xf numFmtId="0" fontId="35" fillId="15" borderId="0" applyNumberFormat="0" applyBorder="0" applyAlignment="0" applyProtection="0"/>
    <xf numFmtId="0" fontId="35" fillId="22" borderId="0" applyNumberFormat="0" applyBorder="0" applyAlignment="0" applyProtection="0"/>
    <xf numFmtId="0" fontId="41" fillId="8" borderId="58" applyNumberFormat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42" fillId="4" borderId="0" applyNumberFormat="0" applyBorder="0" applyAlignment="0" applyProtection="0"/>
    <xf numFmtId="185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0" fontId="43" fillId="23" borderId="0" applyNumberFormat="0" applyBorder="0" applyAlignment="0" applyProtection="0"/>
    <xf numFmtId="0" fontId="2" fillId="0" borderId="0"/>
    <xf numFmtId="0" fontId="5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2" fillId="0" borderId="0"/>
    <xf numFmtId="0" fontId="2" fillId="24" borderId="61" applyNumberFormat="0" applyFont="0" applyAlignment="0" applyProtection="0"/>
    <xf numFmtId="0" fontId="2" fillId="24" borderId="61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4" fillId="17" borderId="62" applyNumberFormat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8" fillId="0" borderId="63" applyNumberFormat="0" applyFill="0" applyAlignment="0" applyProtection="0"/>
    <xf numFmtId="0" fontId="40" fillId="0" borderId="64" applyNumberFormat="0" applyFill="0" applyAlignment="0" applyProtection="0"/>
    <xf numFmtId="0" fontId="47" fillId="0" borderId="0" applyNumberFormat="0" applyFill="0" applyBorder="0" applyAlignment="0" applyProtection="0"/>
    <xf numFmtId="0" fontId="49" fillId="0" borderId="65" applyNumberFormat="0" applyFill="0" applyAlignment="0" applyProtection="0"/>
    <xf numFmtId="0" fontId="2" fillId="0" borderId="0"/>
    <xf numFmtId="169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191" fontId="1" fillId="0" borderId="0" applyFont="0" applyFill="0" applyBorder="0" applyAlignment="0" applyProtection="0"/>
    <xf numFmtId="191" fontId="9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top"/>
      <protection locked="0"/>
    </xf>
    <xf numFmtId="0" fontId="1" fillId="0" borderId="0"/>
    <xf numFmtId="165" fontId="1" fillId="0" borderId="0" applyFont="0" applyFill="0" applyBorder="0" applyAlignment="0" applyProtection="0"/>
    <xf numFmtId="169" fontId="9" fillId="0" borderId="0" applyFont="0" applyFill="0" applyBorder="0" applyAlignment="0" applyProtection="0"/>
    <xf numFmtId="0" fontId="1" fillId="0" borderId="0"/>
    <xf numFmtId="169" fontId="2" fillId="0" borderId="0" applyFont="0" applyFill="0" applyBorder="0" applyAlignment="0" applyProtection="0"/>
    <xf numFmtId="0" fontId="69" fillId="0" borderId="0"/>
    <xf numFmtId="0" fontId="1" fillId="28" borderId="0" applyNumberFormat="0" applyBorder="0" applyAlignment="0" applyProtection="0"/>
    <xf numFmtId="193" fontId="69" fillId="0" borderId="0" applyFont="0" applyFill="0" applyBorder="0" applyAlignment="0" applyProtection="0"/>
    <xf numFmtId="0" fontId="69" fillId="0" borderId="0"/>
    <xf numFmtId="186" fontId="69" fillId="0" borderId="0" applyFont="0" applyFill="0" applyBorder="0" applyAlignment="0" applyProtection="0"/>
    <xf numFmtId="177" fontId="69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0" fillId="0" borderId="0"/>
    <xf numFmtId="177" fontId="2" fillId="0" borderId="0" applyFont="0" applyFill="0" applyBorder="0" applyAlignment="0" applyProtection="0"/>
    <xf numFmtId="0" fontId="1" fillId="0" borderId="0"/>
    <xf numFmtId="0" fontId="12" fillId="0" borderId="0"/>
    <xf numFmtId="177" fontId="2" fillId="0" borderId="0" applyFont="0" applyFill="0" applyBorder="0" applyAlignment="0" applyProtection="0"/>
    <xf numFmtId="191" fontId="1" fillId="0" borderId="0" applyFont="0" applyFill="0" applyBorder="0" applyAlignment="0" applyProtection="0"/>
    <xf numFmtId="0" fontId="70" fillId="0" borderId="0"/>
    <xf numFmtId="169" fontId="7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71" fillId="0" borderId="0"/>
    <xf numFmtId="0" fontId="2" fillId="0" borderId="0" applyAlignment="0"/>
    <xf numFmtId="170" fontId="2" fillId="0" borderId="0" applyFont="0" applyFill="0" applyBorder="0" applyAlignment="0" applyProtection="0"/>
    <xf numFmtId="169" fontId="68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50" fillId="0" borderId="0"/>
    <xf numFmtId="9" fontId="1" fillId="0" borderId="0" applyFont="0" applyFill="0" applyBorder="0" applyAlignment="0" applyProtection="0"/>
    <xf numFmtId="0" fontId="1" fillId="0" borderId="0"/>
    <xf numFmtId="9" fontId="2" fillId="0" borderId="0" applyFont="0" applyFill="0" applyBorder="0" applyAlignment="0" applyProtection="0"/>
    <xf numFmtId="195" fontId="2" fillId="0" borderId="0" applyFont="0" applyFill="0" applyBorder="0" applyAlignment="0" applyProtection="0"/>
    <xf numFmtId="16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2" fillId="0" borderId="0"/>
    <xf numFmtId="0" fontId="73" fillId="0" borderId="0"/>
    <xf numFmtId="16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6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0" fontId="74" fillId="0" borderId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6" borderId="0" applyNumberFormat="0" applyBorder="0" applyAlignment="0" applyProtection="0"/>
    <xf numFmtId="0" fontId="9" fillId="9" borderId="0" applyNumberFormat="0" applyBorder="0" applyAlignment="0" applyProtection="0"/>
    <xf numFmtId="0" fontId="9" fillId="12" borderId="0" applyNumberFormat="0" applyBorder="0" applyAlignment="0" applyProtection="0"/>
    <xf numFmtId="0" fontId="35" fillId="13" borderId="0" applyNumberFormat="0" applyBorder="0" applyAlignment="0" applyProtection="0"/>
    <xf numFmtId="0" fontId="35" fillId="10" borderId="0" applyNumberFormat="0" applyBorder="0" applyAlignment="0" applyProtection="0"/>
    <xf numFmtId="0" fontId="35" fillId="11" borderId="0" applyNumberFormat="0" applyBorder="0" applyAlignment="0" applyProtection="0"/>
    <xf numFmtId="0" fontId="35" fillId="14" borderId="0" applyNumberFormat="0" applyBorder="0" applyAlignment="0" applyProtection="0"/>
    <xf numFmtId="0" fontId="35" fillId="15" borderId="0" applyNumberFormat="0" applyBorder="0" applyAlignment="0" applyProtection="0"/>
    <xf numFmtId="0" fontId="35" fillId="16" borderId="0" applyNumberFormat="0" applyBorder="0" applyAlignment="0" applyProtection="0"/>
    <xf numFmtId="0" fontId="35" fillId="19" borderId="0" applyNumberFormat="0" applyBorder="0" applyAlignment="0" applyProtection="0"/>
    <xf numFmtId="0" fontId="35" fillId="20" borderId="0" applyNumberFormat="0" applyBorder="0" applyAlignment="0" applyProtection="0"/>
    <xf numFmtId="0" fontId="35" fillId="21" borderId="0" applyNumberFormat="0" applyBorder="0" applyAlignment="0" applyProtection="0"/>
    <xf numFmtId="0" fontId="35" fillId="14" borderId="0" applyNumberFormat="0" applyBorder="0" applyAlignment="0" applyProtection="0"/>
    <xf numFmtId="0" fontId="35" fillId="15" borderId="0" applyNumberFormat="0" applyBorder="0" applyAlignment="0" applyProtection="0"/>
    <xf numFmtId="0" fontId="35" fillId="22" borderId="0" applyNumberFormat="0" applyBorder="0" applyAlignment="0" applyProtection="0"/>
    <xf numFmtId="0" fontId="42" fillId="4" borderId="0" applyNumberFormat="0" applyBorder="0" applyAlignment="0" applyProtection="0"/>
    <xf numFmtId="0" fontId="37" fillId="17" borderId="58" applyNumberFormat="0" applyAlignment="0" applyProtection="0"/>
    <xf numFmtId="0" fontId="37" fillId="17" borderId="58" applyNumberFormat="0" applyAlignment="0" applyProtection="0"/>
    <xf numFmtId="0" fontId="37" fillId="17" borderId="58" applyNumberFormat="0" applyAlignment="0" applyProtection="0"/>
    <xf numFmtId="0" fontId="37" fillId="17" borderId="58" applyNumberFormat="0" applyAlignment="0" applyProtection="0"/>
    <xf numFmtId="0" fontId="37" fillId="17" borderId="58" applyNumberFormat="0" applyAlignment="0" applyProtection="0"/>
    <xf numFmtId="0" fontId="37" fillId="17" borderId="58" applyNumberFormat="0" applyAlignment="0" applyProtection="0"/>
    <xf numFmtId="0" fontId="37" fillId="17" borderId="58" applyNumberFormat="0" applyAlignment="0" applyProtection="0"/>
    <xf numFmtId="0" fontId="37" fillId="17" borderId="58" applyNumberFormat="0" applyAlignment="0" applyProtection="0"/>
    <xf numFmtId="0" fontId="37" fillId="17" borderId="58" applyNumberFormat="0" applyAlignment="0" applyProtection="0"/>
    <xf numFmtId="0" fontId="37" fillId="17" borderId="58" applyNumberFormat="0" applyAlignment="0" applyProtection="0"/>
    <xf numFmtId="0" fontId="37" fillId="17" borderId="58" applyNumberFormat="0" applyAlignment="0" applyProtection="0"/>
    <xf numFmtId="0" fontId="37" fillId="17" borderId="58" applyNumberFormat="0" applyAlignment="0" applyProtection="0"/>
    <xf numFmtId="0" fontId="37" fillId="17" borderId="58" applyNumberFormat="0" applyAlignment="0" applyProtection="0"/>
    <xf numFmtId="0" fontId="37" fillId="17" borderId="58" applyNumberFormat="0" applyAlignment="0" applyProtection="0"/>
    <xf numFmtId="0" fontId="37" fillId="17" borderId="58" applyNumberFormat="0" applyAlignment="0" applyProtection="0"/>
    <xf numFmtId="0" fontId="38" fillId="18" borderId="59" applyNumberFormat="0" applyAlignment="0" applyProtection="0"/>
    <xf numFmtId="3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5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49" fillId="29" borderId="0" applyNumberFormat="0" applyBorder="0" applyAlignment="0" applyProtection="0"/>
    <xf numFmtId="0" fontId="49" fillId="30" borderId="0" applyNumberFormat="0" applyBorder="0" applyAlignment="0" applyProtection="0"/>
    <xf numFmtId="0" fontId="4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35" fillId="33" borderId="0" applyNumberFormat="0" applyBorder="0" applyAlignment="0" applyProtection="0"/>
    <xf numFmtId="0" fontId="35" fillId="19" borderId="0" applyNumberFormat="0" applyBorder="0" applyAlignment="0" applyProtection="0"/>
    <xf numFmtId="0" fontId="35" fillId="19" borderId="0" applyNumberFormat="0" applyBorder="0" applyAlignment="0" applyProtection="0"/>
    <xf numFmtId="0" fontId="35" fillId="19" borderId="0" applyNumberFormat="0" applyBorder="0" applyAlignment="0" applyProtection="0"/>
    <xf numFmtId="0" fontId="35" fillId="19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35" fillId="36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35" fillId="35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5" borderId="0" applyNumberFormat="0" applyBorder="0" applyAlignment="0" applyProtection="0"/>
    <xf numFmtId="0" fontId="9" fillId="35" borderId="0" applyNumberFormat="0" applyBorder="0" applyAlignment="0" applyProtection="0"/>
    <xf numFmtId="0" fontId="35" fillId="35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9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35" fillId="33" borderId="0" applyNumberFormat="0" applyBorder="0" applyAlignment="0" applyProtection="0"/>
    <xf numFmtId="0" fontId="35" fillId="15" borderId="0" applyNumberFormat="0" applyBorder="0" applyAlignment="0" applyProtection="0"/>
    <xf numFmtId="0" fontId="35" fillId="15" borderId="0" applyNumberFormat="0" applyBorder="0" applyAlignment="0" applyProtection="0"/>
    <xf numFmtId="0" fontId="35" fillId="15" borderId="0" applyNumberFormat="0" applyBorder="0" applyAlignment="0" applyProtection="0"/>
    <xf numFmtId="0" fontId="35" fillId="15" borderId="0" applyNumberFormat="0" applyBorder="0" applyAlignment="0" applyProtection="0"/>
    <xf numFmtId="0" fontId="9" fillId="34" borderId="0" applyNumberFormat="0" applyBorder="0" applyAlignment="0" applyProtection="0"/>
    <xf numFmtId="0" fontId="9" fillId="34" borderId="0" applyNumberFormat="0" applyBorder="0" applyAlignment="0" applyProtection="0"/>
    <xf numFmtId="0" fontId="9" fillId="39" borderId="0" applyNumberFormat="0" applyBorder="0" applyAlignment="0" applyProtection="0"/>
    <xf numFmtId="0" fontId="9" fillId="39" borderId="0" applyNumberFormat="0" applyBorder="0" applyAlignment="0" applyProtection="0"/>
    <xf numFmtId="0" fontId="35" fillId="39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41" fillId="8" borderId="58" applyNumberFormat="0" applyAlignment="0" applyProtection="0"/>
    <xf numFmtId="0" fontId="41" fillId="8" borderId="58" applyNumberFormat="0" applyAlignment="0" applyProtection="0"/>
    <xf numFmtId="0" fontId="41" fillId="8" borderId="58" applyNumberFormat="0" applyAlignment="0" applyProtection="0"/>
    <xf numFmtId="0" fontId="41" fillId="8" borderId="58" applyNumberFormat="0" applyAlignment="0" applyProtection="0"/>
    <xf numFmtId="0" fontId="41" fillId="8" borderId="58" applyNumberFormat="0" applyAlignment="0" applyProtection="0"/>
    <xf numFmtId="0" fontId="41" fillId="8" borderId="58" applyNumberFormat="0" applyAlignment="0" applyProtection="0"/>
    <xf numFmtId="0" fontId="41" fillId="8" borderId="58" applyNumberFormat="0" applyAlignment="0" applyProtection="0"/>
    <xf numFmtId="0" fontId="76" fillId="0" borderId="0"/>
    <xf numFmtId="0" fontId="77" fillId="0" borderId="0"/>
    <xf numFmtId="196" fontId="2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97" fontId="69" fillId="0" borderId="0" applyFont="0" applyFill="0" applyBorder="0" applyAlignment="0" applyProtection="0"/>
    <xf numFmtId="197" fontId="69" fillId="0" borderId="0" applyFont="0" applyFill="0" applyBorder="0" applyAlignment="0" applyProtection="0"/>
    <xf numFmtId="196" fontId="2" fillId="0" borderId="0" applyFont="0" applyFill="0" applyBorder="0" applyAlignment="0" applyProtection="0"/>
    <xf numFmtId="176" fontId="9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6" fillId="5" borderId="0" applyNumberFormat="0" applyBorder="0" applyAlignment="0" applyProtection="0"/>
    <xf numFmtId="0" fontId="78" fillId="0" borderId="75" applyNumberFormat="0" applyFill="0" applyAlignment="0" applyProtection="0"/>
    <xf numFmtId="0" fontId="75" fillId="0" borderId="0" applyNumberFormat="0" applyFill="0" applyBorder="0" applyAlignment="0" applyProtection="0"/>
    <xf numFmtId="0" fontId="48" fillId="0" borderId="63" applyNumberFormat="0" applyFill="0" applyAlignment="0" applyProtection="0"/>
    <xf numFmtId="0" fontId="28" fillId="0" borderId="0" applyNumberFormat="0" applyFill="0" applyBorder="0" applyAlignment="0" applyProtection="0"/>
    <xf numFmtId="0" fontId="40" fillId="0" borderId="64" applyNumberFormat="0" applyFill="0" applyAlignment="0" applyProtection="0"/>
    <xf numFmtId="0" fontId="40" fillId="0" borderId="0" applyNumberForma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79" fillId="0" borderId="0" applyNumberForma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41" fillId="8" borderId="58" applyNumberFormat="0" applyAlignment="0" applyProtection="0"/>
    <xf numFmtId="0" fontId="41" fillId="8" borderId="58" applyNumberFormat="0" applyAlignment="0" applyProtection="0"/>
    <xf numFmtId="0" fontId="41" fillId="8" borderId="58" applyNumberFormat="0" applyAlignment="0" applyProtection="0"/>
    <xf numFmtId="0" fontId="41" fillId="8" borderId="58" applyNumberFormat="0" applyAlignment="0" applyProtection="0"/>
    <xf numFmtId="0" fontId="41" fillId="8" borderId="58" applyNumberFormat="0" applyAlignment="0" applyProtection="0"/>
    <xf numFmtId="0" fontId="41" fillId="8" borderId="58" applyNumberFormat="0" applyAlignment="0" applyProtection="0"/>
    <xf numFmtId="0" fontId="41" fillId="8" borderId="58" applyNumberFormat="0" applyAlignment="0" applyProtection="0"/>
    <xf numFmtId="0" fontId="41" fillId="8" borderId="58" applyNumberFormat="0" applyAlignment="0" applyProtection="0"/>
    <xf numFmtId="0" fontId="39" fillId="0" borderId="60" applyNumberFormat="0" applyFill="0" applyAlignment="0" applyProtection="0"/>
    <xf numFmtId="198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68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80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00" fontId="2" fillId="0" borderId="0" applyFont="0" applyFill="0" applyBorder="0" applyAlignment="0" applyProtection="0"/>
    <xf numFmtId="185" fontId="9" fillId="0" borderId="0" applyFont="0" applyFill="0" applyBorder="0" applyAlignment="0" applyProtection="0"/>
    <xf numFmtId="200" fontId="2" fillId="0" borderId="0" applyFont="0" applyFill="0" applyBorder="0" applyAlignment="0" applyProtection="0"/>
    <xf numFmtId="170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185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70" fontId="2" fillId="0" borderId="0" applyFont="0" applyFill="0" applyBorder="0" applyAlignment="0" applyProtection="0"/>
    <xf numFmtId="201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20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202" fontId="2" fillId="0" borderId="0" applyFill="0" applyBorder="0" applyAlignment="0" applyProtection="0"/>
    <xf numFmtId="177" fontId="2" fillId="0" borderId="0" applyFont="0" applyFill="0" applyBorder="0" applyAlignment="0" applyProtection="0"/>
    <xf numFmtId="202" fontId="2" fillId="0" borderId="0" applyFill="0" applyBorder="0" applyAlignment="0" applyProtection="0"/>
    <xf numFmtId="185" fontId="9" fillId="0" borderId="0" applyFont="0" applyFill="0" applyBorder="0" applyAlignment="0" applyProtection="0"/>
    <xf numFmtId="200" fontId="2" fillId="0" borderId="0" applyFont="0" applyFill="0" applyBorder="0" applyAlignment="0" applyProtection="0"/>
    <xf numFmtId="185" fontId="9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0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203" fontId="2" fillId="0" borderId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7" fontId="80" fillId="0" borderId="0" applyFont="0" applyFill="0" applyBorder="0" applyAlignment="0" applyProtection="0"/>
    <xf numFmtId="204" fontId="9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ill="0" applyBorder="0" applyAlignment="0" applyProtection="0"/>
    <xf numFmtId="43" fontId="2" fillId="0" borderId="0" applyFont="0" applyFill="0" applyBorder="0" applyAlignment="0" applyProtection="0"/>
    <xf numFmtId="204" fontId="9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203" fontId="2" fillId="0" borderId="0" applyFill="0" applyBorder="0" applyAlignment="0" applyProtection="0"/>
    <xf numFmtId="203" fontId="2" fillId="0" borderId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67" fontId="9" fillId="0" borderId="0" applyFont="0" applyFill="0" applyBorder="0" applyAlignment="0" applyProtection="0"/>
    <xf numFmtId="177" fontId="2" fillId="0" borderId="0" applyFont="0" applyFill="0" applyBorder="0" applyAlignment="0" applyProtection="0"/>
    <xf numFmtId="205" fontId="80" fillId="0" borderId="0" applyFont="0" applyFill="0" applyBorder="0" applyAlignment="0" applyProtection="0"/>
    <xf numFmtId="205" fontId="80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69" fontId="70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91" fontId="1" fillId="0" borderId="0" applyFont="0" applyFill="0" applyBorder="0" applyAlignment="0" applyProtection="0"/>
    <xf numFmtId="191" fontId="1" fillId="0" borderId="0" applyFont="0" applyFill="0" applyBorder="0" applyAlignment="0" applyProtection="0"/>
    <xf numFmtId="191" fontId="1" fillId="0" borderId="0" applyFont="0" applyFill="0" applyBorder="0" applyAlignment="0" applyProtection="0"/>
    <xf numFmtId="194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69" fontId="9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91" fontId="1" fillId="0" borderId="0" applyFont="0" applyFill="0" applyBorder="0" applyAlignment="0" applyProtection="0"/>
    <xf numFmtId="191" fontId="1" fillId="0" borderId="0" applyFont="0" applyFill="0" applyBorder="0" applyAlignment="0" applyProtection="0"/>
    <xf numFmtId="191" fontId="1" fillId="0" borderId="0" applyFont="0" applyFill="0" applyBorder="0" applyAlignment="0" applyProtection="0"/>
    <xf numFmtId="191" fontId="1" fillId="0" borderId="0" applyFont="0" applyFill="0" applyBorder="0" applyAlignment="0" applyProtection="0"/>
    <xf numFmtId="191" fontId="1" fillId="0" borderId="0" applyFont="0" applyFill="0" applyBorder="0" applyAlignment="0" applyProtection="0"/>
    <xf numFmtId="191" fontId="1" fillId="0" borderId="0" applyFont="0" applyFill="0" applyBorder="0" applyAlignment="0" applyProtection="0"/>
    <xf numFmtId="191" fontId="1" fillId="0" borderId="0" applyFont="0" applyFill="0" applyBorder="0" applyAlignment="0" applyProtection="0"/>
    <xf numFmtId="191" fontId="2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0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9" fontId="9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9" fontId="9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205" fontId="80" fillId="0" borderId="0" applyFont="0" applyFill="0" applyBorder="0" applyAlignment="0" applyProtection="0"/>
    <xf numFmtId="169" fontId="20" fillId="0" borderId="0" applyFont="0" applyFill="0" applyBorder="0" applyAlignment="0" applyProtection="0"/>
    <xf numFmtId="205" fontId="80" fillId="0" borderId="0" applyFont="0" applyFill="0" applyBorder="0" applyAlignment="0" applyProtection="0"/>
    <xf numFmtId="169" fontId="20" fillId="0" borderId="0" applyFont="0" applyFill="0" applyBorder="0" applyAlignment="0" applyProtection="0"/>
    <xf numFmtId="205" fontId="80" fillId="0" borderId="0" applyFont="0" applyFill="0" applyBorder="0" applyAlignment="0" applyProtection="0"/>
    <xf numFmtId="206" fontId="2" fillId="0" borderId="0" applyFont="0" applyFill="0" applyBorder="0" applyAlignment="0" applyProtection="0"/>
    <xf numFmtId="207" fontId="8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50" fillId="0" borderId="0"/>
    <xf numFmtId="0" fontId="2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50" fillId="0" borderId="0"/>
    <xf numFmtId="0" fontId="2" fillId="0" borderId="0"/>
    <xf numFmtId="0" fontId="50" fillId="0" borderId="0"/>
    <xf numFmtId="0" fontId="1" fillId="0" borderId="0"/>
    <xf numFmtId="0" fontId="2" fillId="0" borderId="0"/>
    <xf numFmtId="0" fontId="50" fillId="0" borderId="0"/>
    <xf numFmtId="0" fontId="1" fillId="0" borderId="0"/>
    <xf numFmtId="0" fontId="1" fillId="0" borderId="0"/>
    <xf numFmtId="0" fontId="1" fillId="0" borderId="0"/>
    <xf numFmtId="0" fontId="83" fillId="0" borderId="0">
      <alignment vertical="center"/>
    </xf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50" fillId="0" borderId="0"/>
    <xf numFmtId="0" fontId="2" fillId="0" borderId="0"/>
    <xf numFmtId="0" fontId="50" fillId="0" borderId="0"/>
    <xf numFmtId="0" fontId="2" fillId="0" borderId="0"/>
    <xf numFmtId="0" fontId="2" fillId="0" borderId="0" applyAlignment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 applyBorder="0"/>
    <xf numFmtId="0" fontId="9" fillId="0" borderId="0"/>
    <xf numFmtId="0" fontId="2" fillId="0" borderId="0"/>
    <xf numFmtId="0" fontId="9" fillId="0" borderId="0"/>
    <xf numFmtId="0" fontId="2" fillId="0" borderId="0"/>
    <xf numFmtId="0" fontId="84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2" fillId="0" borderId="0"/>
    <xf numFmtId="0" fontId="5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9" fillId="0" borderId="0"/>
    <xf numFmtId="0" fontId="2" fillId="24" borderId="61" applyNumberFormat="0" applyFont="0" applyAlignment="0" applyProtection="0"/>
    <xf numFmtId="0" fontId="2" fillId="24" borderId="61" applyNumberFormat="0" applyFont="0" applyAlignment="0" applyProtection="0"/>
    <xf numFmtId="0" fontId="2" fillId="24" borderId="61" applyNumberFormat="0" applyFont="0" applyAlignment="0" applyProtection="0"/>
    <xf numFmtId="0" fontId="2" fillId="24" borderId="61" applyNumberFormat="0" applyFont="0" applyAlignment="0" applyProtection="0"/>
    <xf numFmtId="0" fontId="2" fillId="24" borderId="61" applyNumberFormat="0" applyFont="0" applyAlignment="0" applyProtection="0"/>
    <xf numFmtId="0" fontId="2" fillId="24" borderId="61" applyNumberFormat="0" applyFont="0" applyAlignment="0" applyProtection="0"/>
    <xf numFmtId="0" fontId="2" fillId="24" borderId="61" applyNumberFormat="0" applyFont="0" applyAlignment="0" applyProtection="0"/>
    <xf numFmtId="0" fontId="2" fillId="24" borderId="61" applyNumberFormat="0" applyFont="0" applyAlignment="0" applyProtection="0"/>
    <xf numFmtId="0" fontId="2" fillId="24" borderId="61" applyNumberFormat="0" applyFont="0" applyAlignment="0" applyProtection="0"/>
    <xf numFmtId="0" fontId="2" fillId="24" borderId="61" applyNumberFormat="0" applyFont="0" applyAlignment="0" applyProtection="0"/>
    <xf numFmtId="0" fontId="2" fillId="24" borderId="61" applyNumberFormat="0" applyFont="0" applyAlignment="0" applyProtection="0"/>
    <xf numFmtId="0" fontId="2" fillId="24" borderId="61" applyNumberFormat="0" applyFont="0" applyAlignment="0" applyProtection="0"/>
    <xf numFmtId="0" fontId="2" fillId="24" borderId="61" applyNumberFormat="0" applyFont="0" applyAlignment="0" applyProtection="0"/>
    <xf numFmtId="0" fontId="2" fillId="24" borderId="61" applyNumberFormat="0" applyFont="0" applyAlignment="0" applyProtection="0"/>
    <xf numFmtId="0" fontId="2" fillId="24" borderId="61" applyNumberFormat="0" applyFont="0" applyAlignment="0" applyProtection="0"/>
    <xf numFmtId="0" fontId="2" fillId="24" borderId="61" applyNumberFormat="0" applyFont="0" applyAlignment="0" applyProtection="0"/>
    <xf numFmtId="0" fontId="2" fillId="24" borderId="61" applyNumberFormat="0" applyFont="0" applyAlignment="0" applyProtection="0"/>
    <xf numFmtId="0" fontId="2" fillId="24" borderId="61" applyNumberFormat="0" applyFont="0" applyAlignment="0" applyProtection="0"/>
    <xf numFmtId="0" fontId="2" fillId="24" borderId="61" applyNumberFormat="0" applyFont="0" applyAlignment="0" applyProtection="0"/>
    <xf numFmtId="0" fontId="2" fillId="24" borderId="61" applyNumberFormat="0" applyFont="0" applyAlignment="0" applyProtection="0"/>
    <xf numFmtId="0" fontId="2" fillId="24" borderId="61" applyNumberFormat="0" applyFont="0" applyAlignment="0" applyProtection="0"/>
    <xf numFmtId="0" fontId="2" fillId="24" borderId="61" applyNumberFormat="0" applyFont="0" applyAlignment="0" applyProtection="0"/>
    <xf numFmtId="0" fontId="2" fillId="24" borderId="61" applyNumberFormat="0" applyFont="0" applyAlignment="0" applyProtection="0"/>
    <xf numFmtId="0" fontId="2" fillId="24" borderId="61" applyNumberFormat="0" applyFont="0" applyAlignment="0" applyProtection="0"/>
    <xf numFmtId="0" fontId="2" fillId="24" borderId="61" applyNumberFormat="0" applyFont="0" applyAlignment="0" applyProtection="0"/>
    <xf numFmtId="0" fontId="2" fillId="24" borderId="61" applyNumberFormat="0" applyFont="0" applyAlignment="0" applyProtection="0"/>
    <xf numFmtId="0" fontId="2" fillId="24" borderId="61" applyNumberFormat="0" applyFont="0" applyAlignment="0" applyProtection="0"/>
    <xf numFmtId="0" fontId="2" fillId="24" borderId="61" applyNumberFormat="0" applyFont="0" applyAlignment="0" applyProtection="0"/>
    <xf numFmtId="0" fontId="44" fillId="17" borderId="62" applyNumberFormat="0" applyAlignment="0" applyProtection="0"/>
    <xf numFmtId="0" fontId="44" fillId="17" borderId="62" applyNumberFormat="0" applyAlignment="0" applyProtection="0"/>
    <xf numFmtId="0" fontId="44" fillId="17" borderId="62" applyNumberFormat="0" applyAlignment="0" applyProtection="0"/>
    <xf numFmtId="0" fontId="44" fillId="17" borderId="62" applyNumberFormat="0" applyAlignment="0" applyProtection="0"/>
    <xf numFmtId="0" fontId="44" fillId="17" borderId="62" applyNumberFormat="0" applyAlignment="0" applyProtection="0"/>
    <xf numFmtId="0" fontId="44" fillId="17" borderId="62" applyNumberFormat="0" applyAlignment="0" applyProtection="0"/>
    <xf numFmtId="0" fontId="44" fillId="17" borderId="62" applyNumberFormat="0" applyAlignment="0" applyProtection="0"/>
    <xf numFmtId="0" fontId="44" fillId="17" borderId="62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80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ill="0" applyBorder="0" applyAlignment="0" applyProtection="0"/>
    <xf numFmtId="9" fontId="9" fillId="0" borderId="0" applyFont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3" fontId="2" fillId="0" borderId="0" applyFont="0" applyFill="0" applyBorder="0" applyAlignment="0" applyProtection="0"/>
    <xf numFmtId="0" fontId="85" fillId="0" borderId="0">
      <alignment vertical="top"/>
    </xf>
    <xf numFmtId="0" fontId="44" fillId="17" borderId="62" applyNumberFormat="0" applyAlignment="0" applyProtection="0"/>
    <xf numFmtId="0" fontId="44" fillId="17" borderId="62" applyNumberFormat="0" applyAlignment="0" applyProtection="0"/>
    <xf numFmtId="0" fontId="44" fillId="17" borderId="62" applyNumberFormat="0" applyAlignment="0" applyProtection="0"/>
    <xf numFmtId="0" fontId="44" fillId="17" borderId="62" applyNumberFormat="0" applyAlignment="0" applyProtection="0"/>
    <xf numFmtId="0" fontId="44" fillId="17" borderId="62" applyNumberFormat="0" applyAlignment="0" applyProtection="0"/>
    <xf numFmtId="0" fontId="44" fillId="17" borderId="62" applyNumberFormat="0" applyAlignment="0" applyProtection="0"/>
    <xf numFmtId="0" fontId="44" fillId="17" borderId="62" applyNumberFormat="0" applyAlignment="0" applyProtection="0"/>
    <xf numFmtId="0" fontId="84" fillId="0" borderId="0"/>
    <xf numFmtId="0" fontId="2" fillId="0" borderId="0" applyNumberFormat="0"/>
    <xf numFmtId="191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78" fillId="0" borderId="75" applyNumberFormat="0" applyFill="0" applyAlignment="0" applyProtection="0"/>
    <xf numFmtId="0" fontId="86" fillId="0" borderId="0" applyNumberFormat="0" applyFill="0" applyBorder="0" applyAlignment="0" applyProtection="0"/>
    <xf numFmtId="0" fontId="49" fillId="0" borderId="65" applyNumberFormat="0" applyFill="0" applyAlignment="0" applyProtection="0"/>
    <xf numFmtId="0" fontId="49" fillId="0" borderId="65" applyNumberFormat="0" applyFill="0" applyAlignment="0" applyProtection="0"/>
    <xf numFmtId="0" fontId="49" fillId="0" borderId="65" applyNumberFormat="0" applyFill="0" applyAlignment="0" applyProtection="0"/>
    <xf numFmtId="0" fontId="49" fillId="0" borderId="65" applyNumberFormat="0" applyFill="0" applyAlignment="0" applyProtection="0"/>
    <xf numFmtId="0" fontId="49" fillId="0" borderId="65" applyNumberFormat="0" applyFill="0" applyAlignment="0" applyProtection="0"/>
    <xf numFmtId="0" fontId="49" fillId="0" borderId="65" applyNumberFormat="0" applyFill="0" applyAlignment="0" applyProtection="0"/>
    <xf numFmtId="0" fontId="49" fillId="0" borderId="65" applyNumberFormat="0" applyFill="0" applyAlignment="0" applyProtection="0"/>
    <xf numFmtId="0" fontId="45" fillId="0" borderId="0" applyNumberFormat="0" applyFill="0" applyBorder="0" applyAlignment="0" applyProtection="0"/>
    <xf numFmtId="0" fontId="87" fillId="0" borderId="0" applyProtection="0"/>
    <xf numFmtId="208" fontId="87" fillId="0" borderId="0" applyProtection="0"/>
    <xf numFmtId="0" fontId="88" fillId="0" borderId="0" applyProtection="0"/>
    <xf numFmtId="0" fontId="89" fillId="0" borderId="0" applyProtection="0"/>
    <xf numFmtId="0" fontId="87" fillId="0" borderId="74" applyProtection="0"/>
    <xf numFmtId="0" fontId="87" fillId="0" borderId="0"/>
    <xf numFmtId="10" fontId="87" fillId="0" borderId="0" applyProtection="0"/>
    <xf numFmtId="0" fontId="87" fillId="0" borderId="0"/>
    <xf numFmtId="2" fontId="87" fillId="0" borderId="0" applyProtection="0"/>
    <xf numFmtId="4" fontId="87" fillId="0" borderId="0" applyProtection="0"/>
    <xf numFmtId="177" fontId="2" fillId="0" borderId="0" applyFont="0" applyFill="0" applyBorder="0" applyAlignment="0" applyProtection="0"/>
    <xf numFmtId="169" fontId="9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7" fillId="17" borderId="76" applyNumberFormat="0" applyAlignment="0" applyProtection="0"/>
    <xf numFmtId="0" fontId="37" fillId="17" borderId="76" applyNumberFormat="0" applyAlignment="0" applyProtection="0"/>
    <xf numFmtId="0" fontId="37" fillId="17" borderId="76" applyNumberFormat="0" applyAlignment="0" applyProtection="0"/>
    <xf numFmtId="0" fontId="37" fillId="17" borderId="76" applyNumberFormat="0" applyAlignment="0" applyProtection="0"/>
    <xf numFmtId="0" fontId="37" fillId="17" borderId="76" applyNumberFormat="0" applyAlignment="0" applyProtection="0"/>
    <xf numFmtId="0" fontId="37" fillId="17" borderId="76" applyNumberFormat="0" applyAlignment="0" applyProtection="0"/>
    <xf numFmtId="0" fontId="37" fillId="17" borderId="76" applyNumberFormat="0" applyAlignment="0" applyProtection="0"/>
    <xf numFmtId="0" fontId="37" fillId="17" borderId="76" applyNumberFormat="0" applyAlignment="0" applyProtection="0"/>
    <xf numFmtId="0" fontId="37" fillId="17" borderId="76" applyNumberFormat="0" applyAlignment="0" applyProtection="0"/>
    <xf numFmtId="0" fontId="37" fillId="17" borderId="76" applyNumberFormat="0" applyAlignment="0" applyProtection="0"/>
    <xf numFmtId="0" fontId="37" fillId="17" borderId="76" applyNumberFormat="0" applyAlignment="0" applyProtection="0"/>
    <xf numFmtId="0" fontId="37" fillId="17" borderId="76" applyNumberFormat="0" applyAlignment="0" applyProtection="0"/>
    <xf numFmtId="0" fontId="37" fillId="17" borderId="76" applyNumberFormat="0" applyAlignment="0" applyProtection="0"/>
    <xf numFmtId="0" fontId="37" fillId="17" borderId="76" applyNumberFormat="0" applyAlignment="0" applyProtection="0"/>
    <xf numFmtId="0" fontId="37" fillId="17" borderId="76" applyNumberFormat="0" applyAlignment="0" applyProtection="0"/>
    <xf numFmtId="0" fontId="37" fillId="17" borderId="76" applyNumberFormat="0" applyAlignment="0" applyProtection="0"/>
    <xf numFmtId="0" fontId="41" fillId="8" borderId="76" applyNumberFormat="0" applyAlignment="0" applyProtection="0"/>
    <xf numFmtId="0" fontId="41" fillId="8" borderId="76" applyNumberFormat="0" applyAlignment="0" applyProtection="0"/>
    <xf numFmtId="0" fontId="41" fillId="8" borderId="76" applyNumberFormat="0" applyAlignment="0" applyProtection="0"/>
    <xf numFmtId="0" fontId="41" fillId="8" borderId="76" applyNumberFormat="0" applyAlignment="0" applyProtection="0"/>
    <xf numFmtId="0" fontId="41" fillId="8" borderId="76" applyNumberFormat="0" applyAlignment="0" applyProtection="0"/>
    <xf numFmtId="0" fontId="41" fillId="8" borderId="76" applyNumberFormat="0" applyAlignment="0" applyProtection="0"/>
    <xf numFmtId="0" fontId="41" fillId="8" borderId="76" applyNumberFormat="0" applyAlignment="0" applyProtection="0"/>
    <xf numFmtId="0" fontId="41" fillId="8" borderId="76" applyNumberFormat="0" applyAlignment="0" applyProtection="0"/>
    <xf numFmtId="0" fontId="40" fillId="0" borderId="77" applyNumberFormat="0" applyFill="0" applyAlignment="0" applyProtection="0"/>
    <xf numFmtId="0" fontId="41" fillId="8" borderId="76" applyNumberFormat="0" applyAlignment="0" applyProtection="0"/>
    <xf numFmtId="0" fontId="41" fillId="8" borderId="76" applyNumberFormat="0" applyAlignment="0" applyProtection="0"/>
    <xf numFmtId="0" fontId="41" fillId="8" borderId="76" applyNumberFormat="0" applyAlignment="0" applyProtection="0"/>
    <xf numFmtId="0" fontId="41" fillId="8" borderId="76" applyNumberFormat="0" applyAlignment="0" applyProtection="0"/>
    <xf numFmtId="0" fontId="41" fillId="8" borderId="76" applyNumberFormat="0" applyAlignment="0" applyProtection="0"/>
    <xf numFmtId="0" fontId="41" fillId="8" borderId="76" applyNumberFormat="0" applyAlignment="0" applyProtection="0"/>
    <xf numFmtId="0" fontId="41" fillId="8" borderId="76" applyNumberFormat="0" applyAlignment="0" applyProtection="0"/>
    <xf numFmtId="0" fontId="41" fillId="8" borderId="76" applyNumberFormat="0" applyAlignment="0" applyProtection="0"/>
    <xf numFmtId="0" fontId="40" fillId="0" borderId="81" applyNumberFormat="0" applyFill="0" applyAlignment="0" applyProtection="0"/>
    <xf numFmtId="0" fontId="2" fillId="24" borderId="78" applyNumberFormat="0" applyFont="0" applyAlignment="0" applyProtection="0"/>
    <xf numFmtId="0" fontId="2" fillId="24" borderId="78" applyNumberFormat="0" applyFont="0" applyAlignment="0" applyProtection="0"/>
    <xf numFmtId="0" fontId="2" fillId="24" borderId="78" applyNumberFormat="0" applyFont="0" applyAlignment="0" applyProtection="0"/>
    <xf numFmtId="0" fontId="2" fillId="24" borderId="78" applyNumberFormat="0" applyFont="0" applyAlignment="0" applyProtection="0"/>
    <xf numFmtId="0" fontId="2" fillId="24" borderId="78" applyNumberFormat="0" applyFont="0" applyAlignment="0" applyProtection="0"/>
    <xf numFmtId="0" fontId="2" fillId="24" borderId="78" applyNumberFormat="0" applyFont="0" applyAlignment="0" applyProtection="0"/>
    <xf numFmtId="0" fontId="2" fillId="24" borderId="78" applyNumberFormat="0" applyFont="0" applyAlignment="0" applyProtection="0"/>
    <xf numFmtId="0" fontId="2" fillId="24" borderId="78" applyNumberFormat="0" applyFont="0" applyAlignment="0" applyProtection="0"/>
    <xf numFmtId="0" fontId="2" fillId="24" borderId="78" applyNumberFormat="0" applyFont="0" applyAlignment="0" applyProtection="0"/>
    <xf numFmtId="0" fontId="2" fillId="24" borderId="78" applyNumberFormat="0" applyFont="0" applyAlignment="0" applyProtection="0"/>
    <xf numFmtId="0" fontId="2" fillId="24" borderId="78" applyNumberFormat="0" applyFont="0" applyAlignment="0" applyProtection="0"/>
    <xf numFmtId="0" fontId="2" fillId="24" borderId="78" applyNumberFormat="0" applyFont="0" applyAlignment="0" applyProtection="0"/>
    <xf numFmtId="0" fontId="2" fillId="24" borderId="78" applyNumberFormat="0" applyFont="0" applyAlignment="0" applyProtection="0"/>
    <xf numFmtId="0" fontId="2" fillId="24" borderId="78" applyNumberFormat="0" applyFont="0" applyAlignment="0" applyProtection="0"/>
    <xf numFmtId="0" fontId="2" fillId="24" borderId="78" applyNumberFormat="0" applyFont="0" applyAlignment="0" applyProtection="0"/>
    <xf numFmtId="0" fontId="2" fillId="24" borderId="78" applyNumberFormat="0" applyFont="0" applyAlignment="0" applyProtection="0"/>
    <xf numFmtId="0" fontId="2" fillId="24" borderId="78" applyNumberFormat="0" applyFont="0" applyAlignment="0" applyProtection="0"/>
    <xf numFmtId="0" fontId="2" fillId="24" borderId="78" applyNumberFormat="0" applyFont="0" applyAlignment="0" applyProtection="0"/>
    <xf numFmtId="0" fontId="2" fillId="24" borderId="78" applyNumberFormat="0" applyFont="0" applyAlignment="0" applyProtection="0"/>
    <xf numFmtId="0" fontId="2" fillId="24" borderId="78" applyNumberFormat="0" applyFont="0" applyAlignment="0" applyProtection="0"/>
    <xf numFmtId="0" fontId="2" fillId="24" borderId="78" applyNumberFormat="0" applyFont="0" applyAlignment="0" applyProtection="0"/>
    <xf numFmtId="0" fontId="2" fillId="24" borderId="78" applyNumberFormat="0" applyFont="0" applyAlignment="0" applyProtection="0"/>
    <xf numFmtId="0" fontId="2" fillId="24" borderId="78" applyNumberFormat="0" applyFont="0" applyAlignment="0" applyProtection="0"/>
    <xf numFmtId="0" fontId="2" fillId="24" borderId="78" applyNumberFormat="0" applyFont="0" applyAlignment="0" applyProtection="0"/>
    <xf numFmtId="0" fontId="2" fillId="24" borderId="78" applyNumberFormat="0" applyFont="0" applyAlignment="0" applyProtection="0"/>
    <xf numFmtId="0" fontId="2" fillId="24" borderId="78" applyNumberFormat="0" applyFont="0" applyAlignment="0" applyProtection="0"/>
    <xf numFmtId="0" fontId="2" fillId="24" borderId="78" applyNumberFormat="0" applyFont="0" applyAlignment="0" applyProtection="0"/>
    <xf numFmtId="0" fontId="2" fillId="24" borderId="78" applyNumberFormat="0" applyFont="0" applyAlignment="0" applyProtection="0"/>
    <xf numFmtId="0" fontId="2" fillId="24" borderId="78" applyNumberFormat="0" applyFont="0" applyAlignment="0" applyProtection="0"/>
    <xf numFmtId="0" fontId="2" fillId="24" borderId="78" applyNumberFormat="0" applyFont="0" applyAlignment="0" applyProtection="0"/>
    <xf numFmtId="0" fontId="44" fillId="17" borderId="79" applyNumberFormat="0" applyAlignment="0" applyProtection="0"/>
    <xf numFmtId="0" fontId="44" fillId="17" borderId="79" applyNumberFormat="0" applyAlignment="0" applyProtection="0"/>
    <xf numFmtId="0" fontId="44" fillId="17" borderId="79" applyNumberFormat="0" applyAlignment="0" applyProtection="0"/>
    <xf numFmtId="0" fontId="44" fillId="17" borderId="79" applyNumberFormat="0" applyAlignment="0" applyProtection="0"/>
    <xf numFmtId="0" fontId="44" fillId="17" borderId="79" applyNumberFormat="0" applyAlignment="0" applyProtection="0"/>
    <xf numFmtId="0" fontId="44" fillId="17" borderId="79" applyNumberFormat="0" applyAlignment="0" applyProtection="0"/>
    <xf numFmtId="0" fontId="44" fillId="17" borderId="79" applyNumberFormat="0" applyAlignment="0" applyProtection="0"/>
    <xf numFmtId="0" fontId="44" fillId="17" borderId="79" applyNumberFormat="0" applyAlignment="0" applyProtection="0"/>
    <xf numFmtId="0" fontId="44" fillId="17" borderId="79" applyNumberFormat="0" applyAlignment="0" applyProtection="0"/>
    <xf numFmtId="0" fontId="44" fillId="17" borderId="79" applyNumberFormat="0" applyAlignment="0" applyProtection="0"/>
    <xf numFmtId="0" fontId="44" fillId="17" borderId="79" applyNumberFormat="0" applyAlignment="0" applyProtection="0"/>
    <xf numFmtId="0" fontId="44" fillId="17" borderId="79" applyNumberFormat="0" applyAlignment="0" applyProtection="0"/>
    <xf numFmtId="0" fontId="44" fillId="17" borderId="79" applyNumberFormat="0" applyAlignment="0" applyProtection="0"/>
    <xf numFmtId="0" fontId="44" fillId="17" borderId="79" applyNumberFormat="0" applyAlignment="0" applyProtection="0"/>
    <xf numFmtId="0" fontId="44" fillId="17" borderId="79" applyNumberFormat="0" applyAlignment="0" applyProtection="0"/>
    <xf numFmtId="0" fontId="44" fillId="17" borderId="79" applyNumberFormat="0" applyAlignment="0" applyProtection="0"/>
    <xf numFmtId="0" fontId="40" fillId="0" borderId="77" applyNumberFormat="0" applyFill="0" applyAlignment="0" applyProtection="0"/>
    <xf numFmtId="0" fontId="69" fillId="0" borderId="0"/>
    <xf numFmtId="0" fontId="49" fillId="0" borderId="80" applyNumberFormat="0" applyFill="0" applyAlignment="0" applyProtection="0"/>
    <xf numFmtId="0" fontId="49" fillId="0" borderId="80" applyNumberFormat="0" applyFill="0" applyAlignment="0" applyProtection="0"/>
    <xf numFmtId="0" fontId="49" fillId="0" borderId="80" applyNumberFormat="0" applyFill="0" applyAlignment="0" applyProtection="0"/>
    <xf numFmtId="0" fontId="49" fillId="0" borderId="80" applyNumberFormat="0" applyFill="0" applyAlignment="0" applyProtection="0"/>
    <xf numFmtId="0" fontId="49" fillId="0" borderId="80" applyNumberFormat="0" applyFill="0" applyAlignment="0" applyProtection="0"/>
    <xf numFmtId="0" fontId="49" fillId="0" borderId="80" applyNumberFormat="0" applyFill="0" applyAlignment="0" applyProtection="0"/>
    <xf numFmtId="0" fontId="49" fillId="0" borderId="80" applyNumberFormat="0" applyFill="0" applyAlignment="0" applyProtection="0"/>
    <xf numFmtId="0" fontId="49" fillId="0" borderId="80" applyNumberFormat="0" applyFill="0" applyAlignment="0" applyProtection="0"/>
    <xf numFmtId="191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0" fontId="40" fillId="0" borderId="81" applyNumberFormat="0" applyFill="0" applyAlignment="0" applyProtection="0"/>
    <xf numFmtId="185" fontId="1" fillId="0" borderId="0" applyFont="0" applyFill="0" applyBorder="0" applyAlignment="0" applyProtection="0"/>
    <xf numFmtId="191" fontId="1" fillId="0" borderId="0" applyFont="0" applyFill="0" applyBorder="0" applyAlignment="0" applyProtection="0"/>
    <xf numFmtId="0" fontId="69" fillId="0" borderId="0"/>
    <xf numFmtId="0" fontId="109" fillId="0" borderId="0"/>
    <xf numFmtId="170" fontId="1" fillId="0" borderId="0" applyFont="0" applyFill="0" applyBorder="0" applyAlignment="0" applyProtection="0"/>
    <xf numFmtId="0" fontId="1" fillId="0" borderId="0"/>
    <xf numFmtId="170" fontId="1" fillId="0" borderId="0" applyFont="0" applyFill="0" applyBorder="0" applyAlignment="0" applyProtection="0"/>
    <xf numFmtId="0" fontId="2" fillId="0" borderId="0"/>
    <xf numFmtId="0" fontId="121" fillId="0" borderId="0"/>
    <xf numFmtId="215" fontId="2" fillId="0" borderId="0" applyFont="0" applyFill="0" applyBorder="0" applyAlignment="0" applyProtection="0"/>
    <xf numFmtId="0" fontId="2" fillId="0" borderId="0"/>
  </cellStyleXfs>
  <cellXfs count="1218">
    <xf numFmtId="0" fontId="0" fillId="0" borderId="0" xfId="0"/>
    <xf numFmtId="4" fontId="11" fillId="0" borderId="0" xfId="0" applyNumberFormat="1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vertical="center"/>
    </xf>
    <xf numFmtId="0" fontId="2" fillId="0" borderId="0" xfId="2" applyAlignment="1">
      <alignment vertical="center"/>
    </xf>
    <xf numFmtId="0" fontId="3" fillId="0" borderId="0" xfId="2" quotePrefix="1" applyFont="1" applyAlignment="1">
      <alignment horizontal="left" vertical="center"/>
    </xf>
    <xf numFmtId="0" fontId="5" fillId="0" borderId="0" xfId="2" applyFont="1" applyAlignment="1">
      <alignment vertical="center"/>
    </xf>
    <xf numFmtId="0" fontId="3" fillId="0" borderId="0" xfId="2" applyFont="1" applyAlignment="1">
      <alignment vertical="center"/>
    </xf>
    <xf numFmtId="0" fontId="3" fillId="0" borderId="0" xfId="2" applyFont="1" applyAlignment="1">
      <alignment horizontal="right" vertical="center"/>
    </xf>
    <xf numFmtId="0" fontId="16" fillId="0" borderId="0" xfId="3" applyFont="1" applyAlignment="1" applyProtection="1">
      <alignment horizontal="center" vertical="center"/>
    </xf>
    <xf numFmtId="0" fontId="6" fillId="0" borderId="0" xfId="2" applyFont="1" applyAlignment="1">
      <alignment vertical="center"/>
    </xf>
    <xf numFmtId="0" fontId="5" fillId="0" borderId="11" xfId="2" applyFont="1" applyBorder="1" applyAlignment="1">
      <alignment horizontal="center" vertical="center"/>
    </xf>
    <xf numFmtId="0" fontId="5" fillId="0" borderId="11" xfId="2" quotePrefix="1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12" xfId="2" applyFont="1" applyBorder="1" applyAlignment="1">
      <alignment vertical="center"/>
    </xf>
    <xf numFmtId="3" fontId="5" fillId="0" borderId="16" xfId="2" applyNumberFormat="1" applyFont="1" applyBorder="1" applyAlignment="1">
      <alignment horizontal="center" vertical="center"/>
    </xf>
    <xf numFmtId="4" fontId="5" fillId="0" borderId="16" xfId="2" applyNumberFormat="1" applyFont="1" applyBorder="1" applyAlignment="1">
      <alignment vertical="center"/>
    </xf>
    <xf numFmtId="4" fontId="5" fillId="0" borderId="17" xfId="2" applyNumberFormat="1" applyFont="1" applyBorder="1" applyAlignment="1">
      <alignment vertical="center"/>
    </xf>
    <xf numFmtId="0" fontId="5" fillId="0" borderId="18" xfId="2" applyFont="1" applyBorder="1" applyAlignment="1">
      <alignment vertical="center"/>
    </xf>
    <xf numFmtId="3" fontId="5" fillId="0" borderId="19" xfId="2" applyNumberFormat="1" applyFont="1" applyBorder="1" applyAlignment="1">
      <alignment horizontal="center" vertical="center"/>
    </xf>
    <xf numFmtId="3" fontId="5" fillId="0" borderId="19" xfId="2" applyNumberFormat="1" applyFont="1" applyBorder="1" applyAlignment="1">
      <alignment vertical="center"/>
    </xf>
    <xf numFmtId="3" fontId="5" fillId="0" borderId="23" xfId="2" applyNumberFormat="1" applyFont="1" applyBorder="1" applyAlignment="1">
      <alignment horizontal="center" vertical="center"/>
    </xf>
    <xf numFmtId="3" fontId="5" fillId="0" borderId="23" xfId="2" applyNumberFormat="1" applyFont="1" applyBorder="1" applyAlignment="1">
      <alignment vertical="center"/>
    </xf>
    <xf numFmtId="4" fontId="5" fillId="0" borderId="23" xfId="2" applyNumberFormat="1" applyFont="1" applyBorder="1" applyAlignment="1">
      <alignment vertical="center"/>
    </xf>
    <xf numFmtId="4" fontId="5" fillId="0" borderId="24" xfId="2" applyNumberFormat="1" applyFont="1" applyBorder="1" applyAlignment="1">
      <alignment vertical="center"/>
    </xf>
    <xf numFmtId="0" fontId="5" fillId="0" borderId="25" xfId="2" applyFont="1" applyBorder="1" applyAlignment="1">
      <alignment vertical="center"/>
    </xf>
    <xf numFmtId="0" fontId="3" fillId="0" borderId="0" xfId="2" applyFont="1" applyAlignment="1">
      <alignment horizontal="center" vertical="center"/>
    </xf>
    <xf numFmtId="4" fontId="5" fillId="0" borderId="26" xfId="2" applyNumberFormat="1" applyFont="1" applyBorder="1" applyAlignment="1">
      <alignment vertical="center"/>
    </xf>
    <xf numFmtId="170" fontId="2" fillId="0" borderId="0" xfId="2" applyNumberFormat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4" xfId="2" applyFont="1" applyBorder="1" applyAlignment="1">
      <alignment vertical="center"/>
    </xf>
    <xf numFmtId="0" fontId="5" fillId="0" borderId="15" xfId="2" applyFont="1" applyBorder="1" applyAlignment="1">
      <alignment vertical="center"/>
    </xf>
    <xf numFmtId="3" fontId="5" fillId="0" borderId="16" xfId="2" applyNumberFormat="1" applyFont="1" applyBorder="1" applyAlignment="1">
      <alignment vertical="center"/>
    </xf>
    <xf numFmtId="171" fontId="5" fillId="0" borderId="16" xfId="2" applyNumberFormat="1" applyFont="1" applyBorder="1" applyAlignment="1">
      <alignment vertical="center"/>
    </xf>
    <xf numFmtId="4" fontId="5" fillId="0" borderId="27" xfId="2" applyNumberFormat="1" applyFont="1" applyBorder="1" applyAlignment="1">
      <alignment vertical="center"/>
    </xf>
    <xf numFmtId="0" fontId="5" fillId="0" borderId="13" xfId="2" applyFont="1" applyBorder="1" applyAlignment="1">
      <alignment vertical="center"/>
    </xf>
    <xf numFmtId="171" fontId="5" fillId="0" borderId="19" xfId="2" applyNumberFormat="1" applyFont="1" applyBorder="1" applyAlignment="1">
      <alignment vertical="center"/>
    </xf>
    <xf numFmtId="0" fontId="5" fillId="0" borderId="20" xfId="2" applyFont="1" applyBorder="1" applyAlignment="1">
      <alignment vertical="center"/>
    </xf>
    <xf numFmtId="0" fontId="5" fillId="0" borderId="21" xfId="2" applyFont="1" applyBorder="1" applyAlignment="1">
      <alignment vertical="center"/>
    </xf>
    <xf numFmtId="0" fontId="5" fillId="0" borderId="22" xfId="2" applyFont="1" applyBorder="1" applyAlignment="1">
      <alignment vertical="center"/>
    </xf>
    <xf numFmtId="0" fontId="6" fillId="0" borderId="7" xfId="2" applyFont="1" applyBorder="1" applyAlignment="1">
      <alignment vertical="center"/>
    </xf>
    <xf numFmtId="0" fontId="5" fillId="0" borderId="7" xfId="2" applyFont="1" applyBorder="1" applyAlignment="1">
      <alignment vertical="center"/>
    </xf>
    <xf numFmtId="3" fontId="2" fillId="0" borderId="0" xfId="2" applyNumberFormat="1" applyAlignment="1">
      <alignment vertical="center"/>
    </xf>
    <xf numFmtId="0" fontId="5" fillId="0" borderId="29" xfId="2" applyFont="1" applyBorder="1" applyAlignment="1">
      <alignment vertical="center"/>
    </xf>
    <xf numFmtId="0" fontId="5" fillId="0" borderId="30" xfId="2" applyFont="1" applyBorder="1" applyAlignment="1">
      <alignment vertical="center"/>
    </xf>
    <xf numFmtId="0" fontId="5" fillId="0" borderId="31" xfId="2" applyFont="1" applyBorder="1" applyAlignment="1">
      <alignment vertical="center"/>
    </xf>
    <xf numFmtId="0" fontId="5" fillId="0" borderId="32" xfId="2" applyFont="1" applyBorder="1" applyAlignment="1">
      <alignment horizontal="center" vertical="center"/>
    </xf>
    <xf numFmtId="4" fontId="5" fillId="0" borderId="16" xfId="0" applyNumberFormat="1" applyFont="1" applyBorder="1" applyAlignment="1">
      <alignment vertical="center"/>
    </xf>
    <xf numFmtId="0" fontId="5" fillId="0" borderId="33" xfId="2" applyFont="1" applyBorder="1" applyAlignment="1">
      <alignment horizontal="center" vertical="center"/>
    </xf>
    <xf numFmtId="174" fontId="5" fillId="0" borderId="16" xfId="4" applyNumberFormat="1" applyFont="1" applyBorder="1" applyAlignment="1">
      <alignment vertical="center"/>
    </xf>
    <xf numFmtId="4" fontId="5" fillId="0" borderId="34" xfId="2" applyNumberFormat="1" applyFont="1" applyBorder="1" applyAlignment="1">
      <alignment vertical="center"/>
    </xf>
    <xf numFmtId="0" fontId="5" fillId="0" borderId="28" xfId="2" applyFont="1" applyBorder="1" applyAlignment="1">
      <alignment vertical="center"/>
    </xf>
    <xf numFmtId="0" fontId="5" fillId="0" borderId="0" xfId="2" applyFont="1" applyAlignment="1">
      <alignment horizontal="center" vertical="center"/>
    </xf>
    <xf numFmtId="0" fontId="3" fillId="0" borderId="0" xfId="2" applyFont="1" applyAlignment="1">
      <alignment horizontal="centerContinuous" vertical="center"/>
    </xf>
    <xf numFmtId="0" fontId="5" fillId="0" borderId="0" xfId="2" applyFont="1" applyAlignment="1">
      <alignment horizontal="centerContinuous" vertical="center"/>
    </xf>
    <xf numFmtId="4" fontId="5" fillId="0" borderId="25" xfId="2" applyNumberFormat="1" applyFont="1" applyBorder="1" applyAlignment="1">
      <alignment vertical="center"/>
    </xf>
    <xf numFmtId="0" fontId="17" fillId="0" borderId="0" xfId="2" applyFont="1" applyAlignment="1">
      <alignment vertical="center"/>
    </xf>
    <xf numFmtId="0" fontId="18" fillId="0" borderId="0" xfId="2" quotePrefix="1" applyFont="1" applyAlignment="1">
      <alignment horizontal="left" vertical="center"/>
    </xf>
    <xf numFmtId="0" fontId="18" fillId="0" borderId="0" xfId="2" applyFont="1" applyAlignment="1">
      <alignment vertical="center"/>
    </xf>
    <xf numFmtId="0" fontId="18" fillId="0" borderId="0" xfId="2" applyFont="1" applyAlignment="1">
      <alignment horizontal="right" vertical="center"/>
    </xf>
    <xf numFmtId="0" fontId="19" fillId="0" borderId="0" xfId="3" applyFont="1" applyAlignment="1" applyProtection="1">
      <alignment horizontal="center" vertical="center"/>
    </xf>
    <xf numFmtId="0" fontId="18" fillId="0" borderId="0" xfId="2" applyFont="1" applyAlignment="1">
      <alignment horizontal="center" vertical="center"/>
    </xf>
    <xf numFmtId="0" fontId="17" fillId="0" borderId="11" xfId="2" applyFont="1" applyBorder="1" applyAlignment="1">
      <alignment horizontal="center" vertical="center"/>
    </xf>
    <xf numFmtId="0" fontId="17" fillId="0" borderId="11" xfId="2" quotePrefix="1" applyFont="1" applyBorder="1" applyAlignment="1">
      <alignment horizontal="center" vertical="center"/>
    </xf>
    <xf numFmtId="0" fontId="17" fillId="0" borderId="10" xfId="2" applyFont="1" applyBorder="1" applyAlignment="1">
      <alignment horizontal="center" vertical="center"/>
    </xf>
    <xf numFmtId="0" fontId="17" fillId="0" borderId="12" xfId="2" applyFont="1" applyBorder="1" applyAlignment="1">
      <alignment vertical="center"/>
    </xf>
    <xf numFmtId="3" fontId="17" fillId="0" borderId="16" xfId="2" applyNumberFormat="1" applyFont="1" applyBorder="1" applyAlignment="1">
      <alignment horizontal="center" vertical="center"/>
    </xf>
    <xf numFmtId="4" fontId="17" fillId="0" borderId="16" xfId="2" applyNumberFormat="1" applyFont="1" applyBorder="1" applyAlignment="1">
      <alignment vertical="center"/>
    </xf>
    <xf numFmtId="4" fontId="17" fillId="0" borderId="17" xfId="2" applyNumberFormat="1" applyFont="1" applyBorder="1" applyAlignment="1">
      <alignment vertical="center"/>
    </xf>
    <xf numFmtId="0" fontId="17" fillId="0" borderId="18" xfId="2" applyFont="1" applyBorder="1" applyAlignment="1">
      <alignment vertical="center"/>
    </xf>
    <xf numFmtId="3" fontId="17" fillId="0" borderId="19" xfId="2" applyNumberFormat="1" applyFont="1" applyBorder="1" applyAlignment="1">
      <alignment horizontal="center" vertical="center"/>
    </xf>
    <xf numFmtId="3" fontId="17" fillId="0" borderId="19" xfId="2" applyNumberFormat="1" applyFont="1" applyBorder="1" applyAlignment="1">
      <alignment vertical="center"/>
    </xf>
    <xf numFmtId="3" fontId="17" fillId="0" borderId="23" xfId="2" applyNumberFormat="1" applyFont="1" applyBorder="1" applyAlignment="1">
      <alignment horizontal="center" vertical="center"/>
    </xf>
    <xf numFmtId="3" fontId="17" fillId="0" borderId="23" xfId="2" applyNumberFormat="1" applyFont="1" applyBorder="1" applyAlignment="1">
      <alignment vertical="center"/>
    </xf>
    <xf numFmtId="4" fontId="17" fillId="0" borderId="23" xfId="2" applyNumberFormat="1" applyFont="1" applyBorder="1" applyAlignment="1">
      <alignment vertical="center"/>
    </xf>
    <xf numFmtId="4" fontId="17" fillId="0" borderId="24" xfId="2" applyNumberFormat="1" applyFont="1" applyBorder="1" applyAlignment="1">
      <alignment vertical="center"/>
    </xf>
    <xf numFmtId="0" fontId="17" fillId="0" borderId="25" xfId="2" applyFont="1" applyBorder="1" applyAlignment="1">
      <alignment vertical="center"/>
    </xf>
    <xf numFmtId="4" fontId="17" fillId="0" borderId="26" xfId="2" applyNumberFormat="1" applyFont="1" applyBorder="1" applyAlignment="1">
      <alignment vertical="center"/>
    </xf>
    <xf numFmtId="170" fontId="17" fillId="0" borderId="0" xfId="2" applyNumberFormat="1" applyFont="1" applyAlignment="1">
      <alignment vertical="center"/>
    </xf>
    <xf numFmtId="0" fontId="17" fillId="0" borderId="13" xfId="0" applyFont="1" applyBorder="1" applyAlignment="1">
      <alignment vertical="center"/>
    </xf>
    <xf numFmtId="0" fontId="17" fillId="0" borderId="14" xfId="2" applyFont="1" applyBorder="1" applyAlignment="1">
      <alignment vertical="center"/>
    </xf>
    <xf numFmtId="0" fontId="17" fillId="0" borderId="15" xfId="2" applyFont="1" applyBorder="1" applyAlignment="1">
      <alignment vertical="center"/>
    </xf>
    <xf numFmtId="3" fontId="17" fillId="0" borderId="16" xfId="2" applyNumberFormat="1" applyFont="1" applyBorder="1" applyAlignment="1">
      <alignment vertical="center"/>
    </xf>
    <xf numFmtId="171" fontId="17" fillId="0" borderId="16" xfId="2" applyNumberFormat="1" applyFont="1" applyBorder="1" applyAlignment="1">
      <alignment vertical="center"/>
    </xf>
    <xf numFmtId="0" fontId="17" fillId="0" borderId="13" xfId="2" applyFont="1" applyBorder="1" applyAlignment="1">
      <alignment vertical="center"/>
    </xf>
    <xf numFmtId="171" fontId="17" fillId="0" borderId="19" xfId="2" applyNumberFormat="1" applyFont="1" applyBorder="1" applyAlignment="1">
      <alignment vertical="center"/>
    </xf>
    <xf numFmtId="0" fontId="17" fillId="0" borderId="20" xfId="2" applyFont="1" applyBorder="1" applyAlignment="1">
      <alignment vertical="center"/>
    </xf>
    <xf numFmtId="0" fontId="17" fillId="0" borderId="21" xfId="2" applyFont="1" applyBorder="1" applyAlignment="1">
      <alignment vertical="center"/>
    </xf>
    <xf numFmtId="0" fontId="17" fillId="0" borderId="22" xfId="2" applyFont="1" applyBorder="1" applyAlignment="1">
      <alignment vertical="center"/>
    </xf>
    <xf numFmtId="0" fontId="18" fillId="0" borderId="7" xfId="2" applyFont="1" applyBorder="1" applyAlignment="1">
      <alignment vertical="center"/>
    </xf>
    <xf numFmtId="0" fontId="17" fillId="0" borderId="7" xfId="2" applyFont="1" applyBorder="1" applyAlignment="1">
      <alignment vertical="center"/>
    </xf>
    <xf numFmtId="3" fontId="17" fillId="0" borderId="0" xfId="2" applyNumberFormat="1" applyFont="1" applyAlignment="1">
      <alignment vertical="center"/>
    </xf>
    <xf numFmtId="0" fontId="17" fillId="0" borderId="32" xfId="2" applyFont="1" applyBorder="1" applyAlignment="1">
      <alignment horizontal="center" vertical="center"/>
    </xf>
    <xf numFmtId="4" fontId="17" fillId="0" borderId="16" xfId="2" applyNumberFormat="1" applyFont="1" applyBorder="1" applyAlignment="1">
      <alignment horizontal="center" vertical="center"/>
    </xf>
    <xf numFmtId="172" fontId="17" fillId="0" borderId="16" xfId="2" applyNumberFormat="1" applyFont="1" applyBorder="1" applyAlignment="1">
      <alignment horizontal="center" vertical="center"/>
    </xf>
    <xf numFmtId="172" fontId="17" fillId="0" borderId="16" xfId="0" applyNumberFormat="1" applyFont="1" applyBorder="1" applyAlignment="1">
      <alignment horizontal="center" vertical="center"/>
    </xf>
    <xf numFmtId="4" fontId="17" fillId="0" borderId="16" xfId="0" applyNumberFormat="1" applyFont="1" applyBorder="1" applyAlignment="1">
      <alignment horizontal="center" vertical="center"/>
    </xf>
    <xf numFmtId="4" fontId="17" fillId="0" borderId="16" xfId="0" applyNumberFormat="1" applyFont="1" applyBorder="1" applyAlignment="1">
      <alignment vertical="center"/>
    </xf>
    <xf numFmtId="0" fontId="17" fillId="0" borderId="16" xfId="2" applyFont="1" applyBorder="1" applyAlignment="1">
      <alignment vertical="center"/>
    </xf>
    <xf numFmtId="172" fontId="17" fillId="0" borderId="16" xfId="2" applyNumberFormat="1" applyFont="1" applyBorder="1" applyAlignment="1">
      <alignment vertical="center"/>
    </xf>
    <xf numFmtId="0" fontId="17" fillId="0" borderId="33" xfId="2" applyFont="1" applyBorder="1" applyAlignment="1">
      <alignment horizontal="center" vertical="center"/>
    </xf>
    <xf numFmtId="174" fontId="17" fillId="0" borderId="16" xfId="4" applyNumberFormat="1" applyFont="1" applyBorder="1" applyAlignment="1">
      <alignment vertical="center"/>
    </xf>
    <xf numFmtId="4" fontId="17" fillId="0" borderId="34" xfId="2" applyNumberFormat="1" applyFont="1" applyBorder="1" applyAlignment="1">
      <alignment vertical="center"/>
    </xf>
    <xf numFmtId="0" fontId="17" fillId="0" borderId="28" xfId="2" applyFont="1" applyBorder="1" applyAlignment="1">
      <alignment vertical="center"/>
    </xf>
    <xf numFmtId="0" fontId="17" fillId="0" borderId="0" xfId="2" applyFont="1" applyAlignment="1">
      <alignment horizontal="center" vertical="center"/>
    </xf>
    <xf numFmtId="0" fontId="18" fillId="0" borderId="0" xfId="2" applyFont="1" applyAlignment="1">
      <alignment horizontal="centerContinuous" vertical="center"/>
    </xf>
    <xf numFmtId="0" fontId="17" fillId="0" borderId="0" xfId="2" applyFont="1" applyAlignment="1">
      <alignment horizontal="centerContinuous" vertical="center"/>
    </xf>
    <xf numFmtId="0" fontId="2" fillId="0" borderId="0" xfId="2" applyAlignment="1">
      <alignment horizontal="center" vertical="center"/>
    </xf>
    <xf numFmtId="3" fontId="5" fillId="0" borderId="16" xfId="2" applyNumberFormat="1" applyFont="1" applyBorder="1" applyAlignment="1">
      <alignment horizontal="right" vertical="center"/>
    </xf>
    <xf numFmtId="4" fontId="5" fillId="0" borderId="16" xfId="2" applyNumberFormat="1" applyFont="1" applyBorder="1" applyAlignment="1">
      <alignment horizontal="right" vertical="center"/>
    </xf>
    <xf numFmtId="172" fontId="5" fillId="0" borderId="16" xfId="2" applyNumberFormat="1" applyFont="1" applyBorder="1" applyAlignment="1">
      <alignment horizontal="right" vertical="center"/>
    </xf>
    <xf numFmtId="172" fontId="5" fillId="0" borderId="16" xfId="0" applyNumberFormat="1" applyFont="1" applyBorder="1" applyAlignment="1">
      <alignment horizontal="right" vertical="center"/>
    </xf>
    <xf numFmtId="4" fontId="5" fillId="0" borderId="16" xfId="0" applyNumberFormat="1" applyFont="1" applyBorder="1" applyAlignment="1">
      <alignment horizontal="right" vertical="center"/>
    </xf>
    <xf numFmtId="171" fontId="5" fillId="0" borderId="16" xfId="2" applyNumberFormat="1" applyFont="1" applyBorder="1" applyAlignment="1">
      <alignment horizontal="right" vertical="center"/>
    </xf>
    <xf numFmtId="0" fontId="5" fillId="0" borderId="28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5" fillId="0" borderId="5" xfId="2" applyFont="1" applyBorder="1" applyAlignment="1">
      <alignment vertical="center"/>
    </xf>
    <xf numFmtId="0" fontId="5" fillId="0" borderId="8" xfId="2" applyFont="1" applyBorder="1" applyAlignment="1">
      <alignment vertical="center"/>
    </xf>
    <xf numFmtId="3" fontId="5" fillId="0" borderId="16" xfId="0" applyNumberFormat="1" applyFont="1" applyBorder="1" applyAlignment="1">
      <alignment horizontal="center" vertical="center"/>
    </xf>
    <xf numFmtId="3" fontId="5" fillId="0" borderId="16" xfId="0" applyNumberFormat="1" applyFont="1" applyBorder="1" applyAlignment="1">
      <alignment horizontal="right" vertical="center"/>
    </xf>
    <xf numFmtId="0" fontId="5" fillId="0" borderId="3" xfId="2" applyFont="1" applyBorder="1" applyAlignment="1">
      <alignment vertical="center"/>
    </xf>
    <xf numFmtId="4" fontId="5" fillId="0" borderId="52" xfId="2" applyNumberFormat="1" applyFont="1" applyBorder="1" applyAlignment="1">
      <alignment vertical="center"/>
    </xf>
    <xf numFmtId="0" fontId="7" fillId="0" borderId="0" xfId="3" applyAlignment="1" applyProtection="1">
      <alignment horizontal="left" vertical="center"/>
    </xf>
    <xf numFmtId="4" fontId="5" fillId="0" borderId="19" xfId="2" applyNumberFormat="1" applyFont="1" applyBorder="1" applyAlignment="1">
      <alignment vertical="center"/>
    </xf>
    <xf numFmtId="0" fontId="5" fillId="0" borderId="43" xfId="2" applyFont="1" applyBorder="1" applyAlignment="1">
      <alignment vertical="center"/>
    </xf>
    <xf numFmtId="0" fontId="5" fillId="0" borderId="44" xfId="2" applyFont="1" applyBorder="1" applyAlignment="1">
      <alignment vertical="center"/>
    </xf>
    <xf numFmtId="0" fontId="5" fillId="0" borderId="45" xfId="2" applyFont="1" applyBorder="1" applyAlignment="1">
      <alignment vertical="center"/>
    </xf>
    <xf numFmtId="4" fontId="5" fillId="0" borderId="46" xfId="2" applyNumberFormat="1" applyFont="1" applyBorder="1" applyAlignment="1">
      <alignment vertical="center"/>
    </xf>
    <xf numFmtId="0" fontId="17" fillId="0" borderId="9" xfId="2" applyFont="1" applyBorder="1" applyAlignment="1">
      <alignment vertical="center"/>
    </xf>
    <xf numFmtId="0" fontId="17" fillId="0" borderId="10" xfId="2" applyFont="1" applyBorder="1" applyAlignment="1">
      <alignment vertical="center"/>
    </xf>
    <xf numFmtId="0" fontId="17" fillId="0" borderId="33" xfId="2" applyFont="1" applyBorder="1" applyAlignment="1">
      <alignment vertical="center"/>
    </xf>
    <xf numFmtId="0" fontId="3" fillId="0" borderId="5" xfId="2" applyFont="1" applyBorder="1" applyAlignment="1">
      <alignment vertical="center"/>
    </xf>
    <xf numFmtId="170" fontId="4" fillId="0" borderId="0" xfId="2" applyNumberFormat="1" applyFont="1" applyAlignment="1">
      <alignment vertical="center"/>
    </xf>
    <xf numFmtId="3" fontId="5" fillId="0" borderId="14" xfId="0" applyNumberFormat="1" applyFont="1" applyBorder="1" applyAlignment="1">
      <alignment horizontal="right" vertical="center"/>
    </xf>
    <xf numFmtId="0" fontId="5" fillId="0" borderId="53" xfId="2" applyFont="1" applyBorder="1" applyAlignment="1">
      <alignment horizontal="center" vertical="center"/>
    </xf>
    <xf numFmtId="181" fontId="5" fillId="0" borderId="16" xfId="4" applyNumberFormat="1" applyFont="1" applyBorder="1" applyAlignment="1">
      <alignment vertical="center"/>
    </xf>
    <xf numFmtId="0" fontId="2" fillId="0" borderId="13" xfId="2" applyBorder="1" applyAlignment="1">
      <alignment vertical="center"/>
    </xf>
    <xf numFmtId="4" fontId="5" fillId="0" borderId="16" xfId="2" applyNumberFormat="1" applyFont="1" applyBorder="1" applyAlignment="1">
      <alignment horizontal="center" vertical="center"/>
    </xf>
    <xf numFmtId="0" fontId="17" fillId="0" borderId="33" xfId="2" applyFont="1" applyBorder="1" applyAlignment="1">
      <alignment horizontal="center" vertical="center" wrapText="1"/>
    </xf>
    <xf numFmtId="180" fontId="5" fillId="0" borderId="34" xfId="41" applyNumberFormat="1" applyFont="1" applyBorder="1" applyAlignment="1">
      <alignment vertical="center"/>
    </xf>
    <xf numFmtId="180" fontId="5" fillId="0" borderId="52" xfId="41" applyNumberFormat="1" applyFont="1" applyBorder="1" applyAlignment="1">
      <alignment vertical="center"/>
    </xf>
    <xf numFmtId="3" fontId="5" fillId="0" borderId="34" xfId="2" applyNumberFormat="1" applyFont="1" applyBorder="1" applyAlignment="1">
      <alignment vertical="center"/>
    </xf>
    <xf numFmtId="0" fontId="12" fillId="0" borderId="16" xfId="0" applyFont="1" applyBorder="1" applyAlignment="1">
      <alignment vertical="center"/>
    </xf>
    <xf numFmtId="0" fontId="5" fillId="0" borderId="14" xfId="2" applyFont="1" applyBorder="1" applyAlignment="1">
      <alignment horizontal="right" vertical="center"/>
    </xf>
    <xf numFmtId="180" fontId="5" fillId="0" borderId="16" xfId="41" applyNumberFormat="1" applyFont="1" applyBorder="1" applyAlignment="1">
      <alignment horizontal="right" vertical="center"/>
    </xf>
    <xf numFmtId="180" fontId="5" fillId="0" borderId="16" xfId="41" applyNumberFormat="1" applyFont="1" applyBorder="1" applyAlignment="1">
      <alignment vertical="center"/>
    </xf>
    <xf numFmtId="180" fontId="5" fillId="0" borderId="23" xfId="41" applyNumberFormat="1" applyFont="1" applyBorder="1" applyAlignment="1">
      <alignment vertical="center"/>
    </xf>
    <xf numFmtId="180" fontId="5" fillId="0" borderId="19" xfId="41" applyNumberFormat="1" applyFont="1" applyBorder="1" applyAlignment="1">
      <alignment vertical="center"/>
    </xf>
    <xf numFmtId="3" fontId="5" fillId="0" borderId="17" xfId="2" applyNumberFormat="1" applyFont="1" applyBorder="1" applyAlignment="1">
      <alignment vertical="center"/>
    </xf>
    <xf numFmtId="3" fontId="5" fillId="0" borderId="23" xfId="2" applyNumberFormat="1" applyFont="1" applyBorder="1" applyAlignment="1">
      <alignment horizontal="right" vertical="center"/>
    </xf>
    <xf numFmtId="169" fontId="12" fillId="0" borderId="0" xfId="41" applyFont="1" applyAlignment="1">
      <alignment vertical="center"/>
    </xf>
    <xf numFmtId="4" fontId="2" fillId="0" borderId="0" xfId="2" applyNumberFormat="1" applyAlignment="1">
      <alignment vertical="center"/>
    </xf>
    <xf numFmtId="0" fontId="21" fillId="0" borderId="0" xfId="0" applyFont="1" applyAlignment="1">
      <alignment vertical="center"/>
    </xf>
    <xf numFmtId="180" fontId="5" fillId="2" borderId="34" xfId="41" applyNumberFormat="1" applyFont="1" applyFill="1" applyBorder="1" applyAlignment="1">
      <alignment vertical="center"/>
    </xf>
    <xf numFmtId="169" fontId="12" fillId="0" borderId="0" xfId="41" applyFont="1"/>
    <xf numFmtId="0" fontId="23" fillId="0" borderId="16" xfId="0" applyFont="1" applyBorder="1" applyAlignment="1">
      <alignment horizontal="center"/>
    </xf>
    <xf numFmtId="0" fontId="13" fillId="0" borderId="0" xfId="0" applyFont="1" applyAlignment="1">
      <alignment horizontal="center" vertical="center" wrapText="1"/>
    </xf>
    <xf numFmtId="170" fontId="21" fillId="0" borderId="0" xfId="0" applyNumberFormat="1" applyFont="1" applyAlignment="1">
      <alignment vertical="center"/>
    </xf>
    <xf numFmtId="0" fontId="21" fillId="0" borderId="16" xfId="0" applyFont="1" applyBorder="1" applyAlignment="1">
      <alignment vertical="center"/>
    </xf>
    <xf numFmtId="0" fontId="21" fillId="0" borderId="16" xfId="0" applyFont="1" applyBorder="1" applyAlignment="1">
      <alignment horizontal="center" vertical="center"/>
    </xf>
    <xf numFmtId="0" fontId="5" fillId="0" borderId="43" xfId="0" applyFont="1" applyBorder="1" applyAlignment="1">
      <alignment vertical="center"/>
    </xf>
    <xf numFmtId="180" fontId="5" fillId="2" borderId="54" xfId="41" applyNumberFormat="1" applyFont="1" applyFill="1" applyBorder="1" applyAlignment="1">
      <alignment vertical="center"/>
    </xf>
    <xf numFmtId="169" fontId="5" fillId="0" borderId="19" xfId="41" applyFont="1" applyBorder="1" applyAlignment="1">
      <alignment vertical="center"/>
    </xf>
    <xf numFmtId="174" fontId="12" fillId="0" borderId="0" xfId="0" applyNumberFormat="1" applyFont="1" applyAlignment="1">
      <alignment vertical="center"/>
    </xf>
    <xf numFmtId="180" fontId="17" fillId="0" borderId="17" xfId="41" applyNumberFormat="1" applyFont="1" applyBorder="1" applyAlignment="1">
      <alignment vertical="center"/>
    </xf>
    <xf numFmtId="180" fontId="17" fillId="0" borderId="26" xfId="41" applyNumberFormat="1" applyFont="1" applyBorder="1" applyAlignment="1">
      <alignment vertical="center"/>
    </xf>
    <xf numFmtId="180" fontId="17" fillId="0" borderId="16" xfId="41" applyNumberFormat="1" applyFont="1" applyBorder="1" applyAlignment="1">
      <alignment vertical="center"/>
    </xf>
    <xf numFmtId="180" fontId="17" fillId="0" borderId="34" xfId="41" applyNumberFormat="1" applyFont="1" applyBorder="1" applyAlignment="1">
      <alignment vertical="center"/>
    </xf>
    <xf numFmtId="0" fontId="29" fillId="0" borderId="0" xfId="0" applyFont="1"/>
    <xf numFmtId="3" fontId="30" fillId="0" borderId="23" xfId="2" applyNumberFormat="1" applyFont="1" applyBorder="1" applyAlignment="1">
      <alignment horizontal="center" vertical="center"/>
    </xf>
    <xf numFmtId="164" fontId="17" fillId="0" borderId="16" xfId="43" applyFont="1" applyBorder="1" applyAlignment="1">
      <alignment horizontal="center" vertical="center"/>
    </xf>
    <xf numFmtId="171" fontId="5" fillId="0" borderId="16" xfId="0" applyNumberFormat="1" applyFont="1" applyBorder="1" applyAlignment="1">
      <alignment horizontal="right" vertical="center"/>
    </xf>
    <xf numFmtId="170" fontId="5" fillId="0" borderId="16" xfId="5" applyNumberFormat="1" applyFont="1" applyBorder="1" applyAlignment="1">
      <alignment horizontal="center" vertical="center"/>
    </xf>
    <xf numFmtId="170" fontId="5" fillId="0" borderId="16" xfId="2" applyNumberFormat="1" applyFont="1" applyBorder="1" applyAlignment="1">
      <alignment horizontal="center" vertical="center"/>
    </xf>
    <xf numFmtId="39" fontId="5" fillId="0" borderId="16" xfId="5" applyNumberFormat="1" applyFont="1" applyBorder="1" applyAlignment="1">
      <alignment horizontal="center" vertical="center"/>
    </xf>
    <xf numFmtId="169" fontId="17" fillId="0" borderId="26" xfId="41" applyFont="1" applyBorder="1" applyAlignment="1">
      <alignment vertical="center"/>
    </xf>
    <xf numFmtId="169" fontId="5" fillId="0" borderId="26" xfId="41" applyFont="1" applyBorder="1" applyAlignment="1">
      <alignment vertical="center"/>
    </xf>
    <xf numFmtId="43" fontId="2" fillId="0" borderId="0" xfId="2" applyNumberFormat="1" applyAlignment="1">
      <alignment vertical="center"/>
    </xf>
    <xf numFmtId="164" fontId="17" fillId="0" borderId="16" xfId="43" applyFont="1" applyBorder="1" applyAlignment="1">
      <alignment vertical="center"/>
    </xf>
    <xf numFmtId="9" fontId="5" fillId="0" borderId="21" xfId="2" applyNumberFormat="1" applyFont="1" applyBorder="1" applyAlignment="1">
      <alignment vertical="center"/>
    </xf>
    <xf numFmtId="4" fontId="5" fillId="0" borderId="0" xfId="2" applyNumberFormat="1" applyFont="1" applyAlignment="1">
      <alignment vertical="center"/>
    </xf>
    <xf numFmtId="0" fontId="3" fillId="0" borderId="18" xfId="2" applyFont="1" applyBorder="1" applyAlignment="1">
      <alignment vertical="center"/>
    </xf>
    <xf numFmtId="4" fontId="5" fillId="0" borderId="19" xfId="2" applyNumberFormat="1" applyFont="1" applyBorder="1" applyAlignment="1">
      <alignment horizontal="right" vertical="center"/>
    </xf>
    <xf numFmtId="180" fontId="5" fillId="2" borderId="52" xfId="41" applyNumberFormat="1" applyFont="1" applyFill="1" applyBorder="1" applyAlignment="1">
      <alignment vertical="center"/>
    </xf>
    <xf numFmtId="0" fontId="5" fillId="2" borderId="18" xfId="2" applyFont="1" applyFill="1" applyBorder="1" applyAlignment="1">
      <alignment vertical="center"/>
    </xf>
    <xf numFmtId="0" fontId="2" fillId="2" borderId="0" xfId="2" applyFill="1" applyAlignment="1">
      <alignment vertical="center"/>
    </xf>
    <xf numFmtId="169" fontId="17" fillId="0" borderId="17" xfId="41" applyFont="1" applyBorder="1"/>
    <xf numFmtId="3" fontId="17" fillId="0" borderId="24" xfId="2" applyNumberFormat="1" applyFont="1" applyBorder="1" applyAlignment="1">
      <alignment vertical="center"/>
    </xf>
    <xf numFmtId="180" fontId="5" fillId="2" borderId="17" xfId="41" applyNumberFormat="1" applyFont="1" applyFill="1" applyBorder="1" applyAlignment="1">
      <alignment vertical="center"/>
    </xf>
    <xf numFmtId="180" fontId="5" fillId="2" borderId="46" xfId="41" applyNumberFormat="1" applyFont="1" applyFill="1" applyBorder="1" applyAlignment="1">
      <alignment vertical="center"/>
    </xf>
    <xf numFmtId="180" fontId="5" fillId="0" borderId="24" xfId="41" applyNumberFormat="1" applyFont="1" applyBorder="1" applyAlignment="1">
      <alignment vertical="center"/>
    </xf>
    <xf numFmtId="174" fontId="17" fillId="0" borderId="16" xfId="0" applyNumberFormat="1" applyFont="1" applyBorder="1"/>
    <xf numFmtId="170" fontId="17" fillId="0" borderId="16" xfId="5" applyNumberFormat="1" applyFont="1" applyBorder="1" applyAlignment="1">
      <alignment horizontal="center" vertical="center"/>
    </xf>
    <xf numFmtId="3" fontId="17" fillId="0" borderId="16" xfId="2" applyNumberFormat="1" applyFont="1" applyBorder="1" applyAlignment="1">
      <alignment horizontal="right" vertical="center"/>
    </xf>
    <xf numFmtId="0" fontId="2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23" fillId="0" borderId="0" xfId="0" applyFont="1" applyAlignment="1">
      <alignment vertical="top"/>
    </xf>
    <xf numFmtId="0" fontId="23" fillId="0" borderId="0" xfId="0" applyFont="1" applyAlignment="1">
      <alignment horizontal="center" vertical="top"/>
    </xf>
    <xf numFmtId="0" fontId="4" fillId="0" borderId="0" xfId="29"/>
    <xf numFmtId="0" fontId="53" fillId="0" borderId="0" xfId="2" applyFont="1" applyAlignment="1">
      <alignment horizontal="left"/>
    </xf>
    <xf numFmtId="0" fontId="53" fillId="0" borderId="0" xfId="0" applyFont="1" applyAlignment="1">
      <alignment horizontal="center" vertical="center"/>
    </xf>
    <xf numFmtId="0" fontId="14" fillId="0" borderId="4" xfId="2" applyFont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4" fillId="0" borderId="5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right"/>
    </xf>
    <xf numFmtId="183" fontId="2" fillId="0" borderId="16" xfId="111" applyNumberFormat="1" applyFont="1" applyBorder="1" applyAlignment="1">
      <alignment horizontal="center" vertical="center"/>
    </xf>
    <xf numFmtId="9" fontId="2" fillId="0" borderId="16" xfId="127" applyBorder="1" applyAlignment="1">
      <alignment horizontal="right" vertical="center"/>
    </xf>
    <xf numFmtId="170" fontId="2" fillId="0" borderId="16" xfId="111" applyNumberFormat="1" applyFont="1" applyBorder="1" applyAlignment="1">
      <alignment horizontal="right" vertical="center"/>
    </xf>
    <xf numFmtId="0" fontId="2" fillId="0" borderId="34" xfId="2" applyBorder="1" applyAlignment="1">
      <alignment horizontal="right" vertical="center"/>
    </xf>
    <xf numFmtId="183" fontId="2" fillId="0" borderId="16" xfId="111" applyNumberFormat="1" applyFont="1" applyBorder="1" applyAlignment="1">
      <alignment vertical="center"/>
    </xf>
    <xf numFmtId="169" fontId="2" fillId="0" borderId="16" xfId="136" applyFont="1" applyBorder="1" applyAlignment="1">
      <alignment vertical="center"/>
    </xf>
    <xf numFmtId="9" fontId="2" fillId="0" borderId="16" xfId="127" applyBorder="1" applyAlignment="1">
      <alignment horizontal="center" vertical="center"/>
    </xf>
    <xf numFmtId="169" fontId="2" fillId="0" borderId="34" xfId="136" applyFont="1" applyBorder="1" applyAlignment="1">
      <alignment horizontal="right" vertical="center"/>
    </xf>
    <xf numFmtId="2" fontId="55" fillId="0" borderId="16" xfId="2" applyNumberFormat="1" applyFont="1" applyBorder="1" applyAlignment="1">
      <alignment vertical="center"/>
    </xf>
    <xf numFmtId="170" fontId="52" fillId="0" borderId="16" xfId="111" applyNumberFormat="1" applyFont="1" applyBorder="1" applyAlignment="1">
      <alignment horizontal="right" vertical="center"/>
    </xf>
    <xf numFmtId="0" fontId="2" fillId="0" borderId="16" xfId="2" applyBorder="1" applyAlignment="1">
      <alignment horizontal="right" vertical="center"/>
    </xf>
    <xf numFmtId="169" fontId="6" fillId="0" borderId="34" xfId="136" applyFont="1" applyBorder="1" applyAlignment="1">
      <alignment horizontal="right" vertical="center"/>
    </xf>
    <xf numFmtId="0" fontId="6" fillId="0" borderId="16" xfId="135" applyFont="1" applyBorder="1" applyAlignment="1">
      <alignment horizontal="center" vertical="center"/>
    </xf>
    <xf numFmtId="170" fontId="6" fillId="0" borderId="16" xfId="135" applyNumberFormat="1" applyFont="1" applyBorder="1" applyAlignment="1">
      <alignment horizontal="center" vertical="center"/>
    </xf>
    <xf numFmtId="169" fontId="6" fillId="0" borderId="34" xfId="136" applyFont="1" applyBorder="1" applyAlignment="1">
      <alignment horizontal="center" vertical="center" wrapText="1"/>
    </xf>
    <xf numFmtId="0" fontId="55" fillId="0" borderId="16" xfId="2" applyFont="1" applyBorder="1" applyAlignment="1">
      <alignment vertical="center"/>
    </xf>
    <xf numFmtId="0" fontId="55" fillId="0" borderId="16" xfId="2" applyFont="1" applyBorder="1" applyAlignment="1">
      <alignment horizontal="right" vertical="center"/>
    </xf>
    <xf numFmtId="170" fontId="55" fillId="0" borderId="16" xfId="111" applyNumberFormat="1" applyFont="1" applyBorder="1" applyAlignment="1">
      <alignment horizontal="right" vertical="center"/>
    </xf>
    <xf numFmtId="169" fontId="55" fillId="0" borderId="34" xfId="136" applyFont="1" applyBorder="1" applyAlignment="1">
      <alignment horizontal="right" vertical="center"/>
    </xf>
    <xf numFmtId="0" fontId="55" fillId="0" borderId="16" xfId="2" applyFont="1" applyBorder="1" applyAlignment="1">
      <alignment horizontal="center" vertical="center"/>
    </xf>
    <xf numFmtId="188" fontId="4" fillId="0" borderId="0" xfId="29" applyNumberFormat="1"/>
    <xf numFmtId="4" fontId="55" fillId="0" borderId="16" xfId="2" applyNumberFormat="1" applyFont="1" applyBorder="1" applyAlignment="1">
      <alignment horizontal="right" vertical="center"/>
    </xf>
    <xf numFmtId="169" fontId="52" fillId="0" borderId="34" xfId="136" applyFont="1" applyBorder="1" applyAlignment="1">
      <alignment horizontal="right" vertical="center"/>
    </xf>
    <xf numFmtId="0" fontId="2" fillId="0" borderId="16" xfId="2" applyBorder="1" applyAlignment="1">
      <alignment vertical="center"/>
    </xf>
    <xf numFmtId="4" fontId="4" fillId="0" borderId="0" xfId="29" applyNumberFormat="1"/>
    <xf numFmtId="169" fontId="4" fillId="0" borderId="0" xfId="29" applyNumberFormat="1"/>
    <xf numFmtId="0" fontId="55" fillId="0" borderId="0" xfId="135" applyFont="1"/>
    <xf numFmtId="0" fontId="55" fillId="0" borderId="0" xfId="135" applyFont="1" applyAlignment="1">
      <alignment horizontal="right"/>
    </xf>
    <xf numFmtId="0" fontId="4" fillId="0" borderId="0" xfId="29" applyAlignment="1">
      <alignment horizontal="right"/>
    </xf>
    <xf numFmtId="0" fontId="56" fillId="0" borderId="0" xfId="29" applyFont="1"/>
    <xf numFmtId="0" fontId="53" fillId="0" borderId="0" xfId="29" applyFont="1"/>
    <xf numFmtId="0" fontId="2" fillId="0" borderId="0" xfId="0" applyFont="1"/>
    <xf numFmtId="0" fontId="54" fillId="0" borderId="4" xfId="0" applyFont="1" applyBorder="1" applyAlignment="1">
      <alignment horizontal="center"/>
    </xf>
    <xf numFmtId="0" fontId="54" fillId="0" borderId="5" xfId="0" applyFont="1" applyBorder="1" applyAlignment="1">
      <alignment horizontal="center"/>
    </xf>
    <xf numFmtId="0" fontId="54" fillId="0" borderId="38" xfId="0" applyFont="1" applyBorder="1" applyAlignment="1">
      <alignment horizontal="center" vertical="center" wrapText="1"/>
    </xf>
    <xf numFmtId="0" fontId="54" fillId="0" borderId="16" xfId="0" applyFont="1" applyBorder="1" applyAlignment="1">
      <alignment vertical="center" wrapText="1"/>
    </xf>
    <xf numFmtId="189" fontId="54" fillId="0" borderId="34" xfId="137" applyNumberFormat="1" applyFont="1" applyBorder="1" applyAlignment="1">
      <alignment vertical="center" wrapText="1"/>
    </xf>
    <xf numFmtId="0" fontId="53" fillId="0" borderId="38" xfId="0" applyFont="1" applyBorder="1" applyAlignment="1">
      <alignment horizontal="center" vertical="center" wrapText="1"/>
    </xf>
    <xf numFmtId="0" fontId="53" fillId="0" borderId="16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177" fontId="54" fillId="0" borderId="16" xfId="137" applyNumberFormat="1" applyFont="1" applyBorder="1" applyAlignment="1">
      <alignment horizontal="center" vertical="center" wrapText="1"/>
    </xf>
    <xf numFmtId="192" fontId="54" fillId="0" borderId="34" xfId="138" applyNumberFormat="1" applyFont="1" applyBorder="1" applyAlignment="1">
      <alignment vertical="center" wrapText="1"/>
    </xf>
    <xf numFmtId="169" fontId="2" fillId="0" borderId="0" xfId="41" applyFont="1"/>
    <xf numFmtId="189" fontId="2" fillId="0" borderId="0" xfId="0" applyNumberFormat="1" applyFont="1"/>
    <xf numFmtId="190" fontId="54" fillId="0" borderId="16" xfId="137" applyNumberFormat="1" applyFont="1" applyBorder="1" applyAlignment="1">
      <alignment horizontal="center" vertical="center" wrapText="1"/>
    </xf>
    <xf numFmtId="189" fontId="0" fillId="0" borderId="0" xfId="0" applyNumberFormat="1"/>
    <xf numFmtId="3" fontId="2" fillId="0" borderId="0" xfId="0" applyNumberFormat="1" applyFont="1"/>
    <xf numFmtId="189" fontId="6" fillId="0" borderId="0" xfId="0" applyNumberFormat="1" applyFont="1"/>
    <xf numFmtId="4" fontId="0" fillId="0" borderId="0" xfId="0" applyNumberFormat="1"/>
    <xf numFmtId="0" fontId="53" fillId="0" borderId="2" xfId="0" applyFont="1" applyBorder="1"/>
    <xf numFmtId="192" fontId="0" fillId="0" borderId="0" xfId="0" applyNumberFormat="1"/>
    <xf numFmtId="0" fontId="53" fillId="0" borderId="0" xfId="0" applyFont="1"/>
    <xf numFmtId="0" fontId="54" fillId="0" borderId="0" xfId="0" applyFont="1"/>
    <xf numFmtId="0" fontId="53" fillId="0" borderId="0" xfId="0" applyFont="1" applyAlignment="1">
      <alignment horizontal="left"/>
    </xf>
    <xf numFmtId="0" fontId="53" fillId="0" borderId="0" xfId="0" applyFont="1" applyAlignment="1">
      <alignment horizontal="center"/>
    </xf>
    <xf numFmtId="3" fontId="53" fillId="0" borderId="0" xfId="0" applyNumberFormat="1" applyFont="1" applyAlignment="1">
      <alignment horizontal="right"/>
    </xf>
    <xf numFmtId="3" fontId="53" fillId="0" borderId="0" xfId="0" applyNumberFormat="1" applyFont="1"/>
    <xf numFmtId="172" fontId="53" fillId="0" borderId="0" xfId="0" applyNumberFormat="1" applyFont="1" applyAlignment="1">
      <alignment horizontal="right"/>
    </xf>
    <xf numFmtId="172" fontId="53" fillId="0" borderId="0" xfId="0" applyNumberFormat="1" applyFont="1"/>
    <xf numFmtId="4" fontId="53" fillId="0" borderId="0" xfId="0" applyNumberFormat="1" applyFont="1"/>
    <xf numFmtId="171" fontId="53" fillId="0" borderId="0" xfId="0" applyNumberFormat="1" applyFont="1"/>
    <xf numFmtId="1" fontId="55" fillId="0" borderId="16" xfId="2" applyNumberFormat="1" applyFont="1" applyBorder="1" applyAlignment="1">
      <alignment horizontal="center" vertical="center"/>
    </xf>
    <xf numFmtId="0" fontId="2" fillId="0" borderId="16" xfId="2" applyBorder="1" applyAlignment="1">
      <alignment horizontal="center" vertical="center"/>
    </xf>
    <xf numFmtId="4" fontId="2" fillId="0" borderId="34" xfId="136" applyNumberFormat="1" applyFont="1" applyBorder="1" applyAlignment="1">
      <alignment horizontal="right" vertical="center"/>
    </xf>
    <xf numFmtId="0" fontId="18" fillId="26" borderId="16" xfId="135" applyFont="1" applyFill="1" applyBorder="1" applyAlignment="1">
      <alignment horizontal="center" vertical="center" wrapText="1"/>
    </xf>
    <xf numFmtId="0" fontId="18" fillId="26" borderId="34" xfId="135" applyFont="1" applyFill="1" applyBorder="1" applyAlignment="1">
      <alignment horizontal="center" vertical="center" wrapText="1"/>
    </xf>
    <xf numFmtId="0" fontId="6" fillId="26" borderId="16" xfId="135" applyFont="1" applyFill="1" applyBorder="1" applyAlignment="1">
      <alignment horizontal="center" vertical="center"/>
    </xf>
    <xf numFmtId="185" fontId="6" fillId="26" borderId="34" xfId="135" applyNumberFormat="1" applyFont="1" applyFill="1" applyBorder="1" applyAlignment="1">
      <alignment horizontal="center" vertical="center" wrapText="1"/>
    </xf>
    <xf numFmtId="3" fontId="2" fillId="0" borderId="16" xfId="2" applyNumberFormat="1" applyBorder="1" applyAlignment="1">
      <alignment horizontal="center" vertical="center"/>
    </xf>
    <xf numFmtId="169" fontId="2" fillId="0" borderId="16" xfId="136" applyFont="1" applyBorder="1" applyAlignment="1">
      <alignment horizontal="right" vertical="center"/>
    </xf>
    <xf numFmtId="4" fontId="52" fillId="0" borderId="34" xfId="136" applyNumberFormat="1" applyFont="1" applyBorder="1" applyAlignment="1">
      <alignment horizontal="right" vertical="center"/>
    </xf>
    <xf numFmtId="0" fontId="2" fillId="0" borderId="44" xfId="135" applyBorder="1"/>
    <xf numFmtId="0" fontId="2" fillId="0" borderId="44" xfId="135" applyBorder="1" applyAlignment="1">
      <alignment horizontal="left"/>
    </xf>
    <xf numFmtId="0" fontId="2" fillId="0" borderId="44" xfId="135" applyBorder="1" applyAlignment="1">
      <alignment horizontal="right"/>
    </xf>
    <xf numFmtId="169" fontId="2" fillId="0" borderId="44" xfId="41" applyFont="1" applyBorder="1" applyAlignment="1">
      <alignment horizontal="right"/>
    </xf>
    <xf numFmtId="170" fontId="55" fillId="0" borderId="0" xfId="135" applyNumberFormat="1" applyFont="1" applyAlignment="1">
      <alignment horizontal="right"/>
    </xf>
    <xf numFmtId="169" fontId="1" fillId="0" borderId="0" xfId="41" applyAlignment="1">
      <alignment horizontal="right"/>
    </xf>
    <xf numFmtId="174" fontId="56" fillId="0" borderId="0" xfId="29" applyNumberFormat="1" applyFont="1"/>
    <xf numFmtId="0" fontId="54" fillId="0" borderId="0" xfId="0" applyFont="1" applyAlignment="1">
      <alignment horizontal="center"/>
    </xf>
    <xf numFmtId="0" fontId="0" fillId="0" borderId="16" xfId="0" applyBorder="1"/>
    <xf numFmtId="1" fontId="53" fillId="0" borderId="16" xfId="137" applyNumberFormat="1" applyFont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4" fontId="0" fillId="0" borderId="16" xfId="43" applyNumberFormat="1" applyFont="1" applyBorder="1"/>
    <xf numFmtId="43" fontId="0" fillId="0" borderId="0" xfId="0" applyNumberFormat="1"/>
    <xf numFmtId="4" fontId="25" fillId="0" borderId="0" xfId="0" applyNumberFormat="1" applyFont="1" applyAlignment="1">
      <alignment horizontal="right" vertical="center" wrapText="1"/>
    </xf>
    <xf numFmtId="0" fontId="0" fillId="0" borderId="38" xfId="0" applyBorder="1" applyAlignment="1">
      <alignment horizontal="center"/>
    </xf>
    <xf numFmtId="4" fontId="53" fillId="0" borderId="34" xfId="137" applyNumberFormat="1" applyFont="1" applyBorder="1" applyAlignment="1">
      <alignment vertical="center" wrapText="1"/>
    </xf>
    <xf numFmtId="2" fontId="0" fillId="0" borderId="38" xfId="0" applyNumberFormat="1" applyBorder="1" applyAlignment="1">
      <alignment horizontal="center"/>
    </xf>
    <xf numFmtId="2" fontId="0" fillId="0" borderId="38" xfId="0" applyNumberFormat="1" applyBorder="1"/>
    <xf numFmtId="192" fontId="54" fillId="0" borderId="34" xfId="138" applyNumberFormat="1" applyFont="1" applyBorder="1" applyAlignment="1">
      <alignment horizontal="right"/>
    </xf>
    <xf numFmtId="2" fontId="0" fillId="0" borderId="38" xfId="0" applyNumberFormat="1" applyBorder="1" applyAlignment="1">
      <alignment horizontal="right"/>
    </xf>
    <xf numFmtId="0" fontId="54" fillId="0" borderId="39" xfId="0" applyFont="1" applyBorder="1" applyAlignment="1">
      <alignment vertical="center" wrapText="1"/>
    </xf>
    <xf numFmtId="0" fontId="54" fillId="0" borderId="23" xfId="0" applyFont="1" applyBorder="1" applyAlignment="1">
      <alignment vertical="center" wrapText="1"/>
    </xf>
    <xf numFmtId="177" fontId="54" fillId="0" borderId="23" xfId="137" applyNumberFormat="1" applyFont="1" applyBorder="1" applyAlignment="1">
      <alignment horizontal="center" vertical="center" wrapText="1"/>
    </xf>
    <xf numFmtId="192" fontId="54" fillId="0" borderId="52" xfId="138" applyNumberFormat="1" applyFont="1" applyBorder="1" applyAlignment="1">
      <alignment vertical="center" wrapText="1"/>
    </xf>
    <xf numFmtId="0" fontId="54" fillId="26" borderId="38" xfId="0" applyFont="1" applyFill="1" applyBorder="1" applyAlignment="1">
      <alignment horizontal="center" vertical="center"/>
    </xf>
    <xf numFmtId="0" fontId="54" fillId="26" borderId="16" xfId="0" applyFont="1" applyFill="1" applyBorder="1" applyAlignment="1">
      <alignment horizontal="center" vertical="center"/>
    </xf>
    <xf numFmtId="189" fontId="54" fillId="26" borderId="16" xfId="137" applyNumberFormat="1" applyFont="1" applyFill="1" applyBorder="1" applyAlignment="1">
      <alignment horizontal="center" vertical="center" wrapText="1"/>
    </xf>
    <xf numFmtId="189" fontId="54" fillId="26" borderId="34" xfId="137" applyNumberFormat="1" applyFont="1" applyFill="1" applyBorder="1" applyAlignment="1">
      <alignment horizontal="center" vertical="center" wrapText="1"/>
    </xf>
    <xf numFmtId="4" fontId="54" fillId="0" borderId="66" xfId="137" applyNumberFormat="1" applyFont="1" applyBorder="1" applyAlignment="1">
      <alignment vertical="center" wrapText="1"/>
    </xf>
    <xf numFmtId="182" fontId="53" fillId="0" borderId="16" xfId="137" applyNumberFormat="1" applyFont="1" applyBorder="1" applyAlignment="1">
      <alignment horizontal="center" vertical="center" wrapText="1"/>
    </xf>
    <xf numFmtId="41" fontId="29" fillId="0" borderId="16" xfId="139" applyFont="1" applyBorder="1" applyAlignment="1">
      <alignment horizontal="center"/>
    </xf>
    <xf numFmtId="4" fontId="54" fillId="0" borderId="34" xfId="137" applyNumberFormat="1" applyFont="1" applyBorder="1" applyAlignment="1">
      <alignment vertical="center" wrapText="1"/>
    </xf>
    <xf numFmtId="4" fontId="54" fillId="0" borderId="5" xfId="137" applyNumberFormat="1" applyFont="1" applyBorder="1" applyAlignment="1">
      <alignment vertical="center" wrapText="1"/>
    </xf>
    <xf numFmtId="0" fontId="54" fillId="0" borderId="16" xfId="0" applyFont="1" applyBorder="1" applyAlignment="1">
      <alignment horizontal="right" vertical="center" wrapText="1"/>
    </xf>
    <xf numFmtId="0" fontId="3" fillId="0" borderId="0" xfId="0" applyFont="1" applyAlignment="1">
      <alignment horizontal="left"/>
    </xf>
    <xf numFmtId="0" fontId="5" fillId="0" borderId="0" xfId="59" applyFont="1" applyAlignment="1">
      <alignment horizontal="center" vertical="center"/>
    </xf>
    <xf numFmtId="0" fontId="5" fillId="0" borderId="0" xfId="59" applyFont="1" applyAlignment="1">
      <alignment vertical="center"/>
    </xf>
    <xf numFmtId="0" fontId="59" fillId="26" borderId="26" xfId="59" applyFont="1" applyFill="1" applyBorder="1" applyAlignment="1">
      <alignment horizontal="center" vertical="center"/>
    </xf>
    <xf numFmtId="0" fontId="60" fillId="26" borderId="40" xfId="59" applyFont="1" applyFill="1" applyBorder="1" applyAlignment="1">
      <alignment horizontal="centerContinuous" vertical="center"/>
    </xf>
    <xf numFmtId="0" fontId="60" fillId="26" borderId="41" xfId="59" applyFont="1" applyFill="1" applyBorder="1" applyAlignment="1">
      <alignment horizontal="centerContinuous" vertical="center"/>
    </xf>
    <xf numFmtId="0" fontId="60" fillId="26" borderId="42" xfId="59" applyFont="1" applyFill="1" applyBorder="1" applyAlignment="1">
      <alignment horizontal="centerContinuous" vertical="center"/>
    </xf>
    <xf numFmtId="0" fontId="65" fillId="0" borderId="0" xfId="2" applyFont="1" applyAlignment="1">
      <alignment horizontal="left"/>
    </xf>
    <xf numFmtId="0" fontId="17" fillId="26" borderId="40" xfId="59" applyFont="1" applyFill="1" applyBorder="1" applyAlignment="1">
      <alignment horizontal="center" vertical="center"/>
    </xf>
    <xf numFmtId="0" fontId="17" fillId="26" borderId="41" xfId="59" applyFont="1" applyFill="1" applyBorder="1" applyAlignment="1">
      <alignment horizontal="center" vertical="center"/>
    </xf>
    <xf numFmtId="0" fontId="17" fillId="26" borderId="42" xfId="59" applyFont="1" applyFill="1" applyBorder="1" applyAlignment="1">
      <alignment horizontal="center" vertical="center"/>
    </xf>
    <xf numFmtId="0" fontId="18" fillId="0" borderId="26" xfId="2" applyFont="1" applyBorder="1" applyAlignment="1">
      <alignment vertical="center" wrapText="1"/>
    </xf>
    <xf numFmtId="174" fontId="5" fillId="0" borderId="0" xfId="0" applyNumberFormat="1" applyFont="1"/>
    <xf numFmtId="0" fontId="17" fillId="0" borderId="56" xfId="2" applyFont="1" applyBorder="1" applyAlignment="1">
      <alignment horizontal="center" vertical="center"/>
    </xf>
    <xf numFmtId="0" fontId="17" fillId="0" borderId="56" xfId="2" applyFont="1" applyBorder="1" applyAlignment="1">
      <alignment horizontal="right" vertical="center"/>
    </xf>
    <xf numFmtId="0" fontId="17" fillId="0" borderId="43" xfId="2" applyFont="1" applyBorder="1" applyAlignment="1">
      <alignment vertical="center"/>
    </xf>
    <xf numFmtId="0" fontId="17" fillId="0" borderId="5" xfId="2" applyFont="1" applyBorder="1" applyAlignment="1">
      <alignment vertical="center"/>
    </xf>
    <xf numFmtId="170" fontId="2" fillId="0" borderId="16" xfId="5" applyNumberFormat="1" applyFont="1" applyBorder="1" applyAlignment="1">
      <alignment horizontal="center" vertical="center"/>
    </xf>
    <xf numFmtId="0" fontId="18" fillId="0" borderId="0" xfId="2" applyFont="1" applyAlignment="1">
      <alignment vertical="center" wrapText="1"/>
    </xf>
    <xf numFmtId="0" fontId="18" fillId="0" borderId="0" xfId="2" applyFont="1" applyAlignment="1">
      <alignment horizontal="center" vertical="center" wrapText="1"/>
    </xf>
    <xf numFmtId="0" fontId="5" fillId="0" borderId="13" xfId="2" applyFont="1" applyBorder="1" applyAlignment="1">
      <alignment horizontal="left" vertical="center"/>
    </xf>
    <xf numFmtId="0" fontId="5" fillId="0" borderId="15" xfId="2" applyFont="1" applyBorder="1" applyAlignment="1">
      <alignment horizontal="left" vertical="center"/>
    </xf>
    <xf numFmtId="0" fontId="5" fillId="0" borderId="14" xfId="2" applyFont="1" applyBorder="1" applyAlignment="1">
      <alignment horizontal="left" vertical="center"/>
    </xf>
    <xf numFmtId="0" fontId="5" fillId="0" borderId="43" xfId="2" applyFont="1" applyBorder="1" applyAlignment="1">
      <alignment horizontal="left" vertical="center"/>
    </xf>
    <xf numFmtId="0" fontId="5" fillId="0" borderId="44" xfId="2" applyFont="1" applyBorder="1" applyAlignment="1">
      <alignment horizontal="left" vertical="center"/>
    </xf>
    <xf numFmtId="0" fontId="5" fillId="0" borderId="45" xfId="2" applyFont="1" applyBorder="1" applyAlignment="1">
      <alignment horizontal="left" vertical="center"/>
    </xf>
    <xf numFmtId="3" fontId="5" fillId="0" borderId="19" xfId="2" applyNumberFormat="1" applyFont="1" applyBorder="1" applyAlignment="1">
      <alignment horizontal="right" vertical="center"/>
    </xf>
    <xf numFmtId="170" fontId="5" fillId="0" borderId="16" xfId="45" applyNumberFormat="1" applyFont="1" applyBorder="1" applyAlignment="1">
      <alignment horizontal="center" vertical="center"/>
    </xf>
    <xf numFmtId="9" fontId="53" fillId="0" borderId="16" xfId="137" applyNumberFormat="1" applyFont="1" applyBorder="1" applyAlignment="1">
      <alignment horizontal="center" vertical="center" wrapText="1"/>
    </xf>
    <xf numFmtId="4" fontId="91" fillId="0" borderId="34" xfId="137" applyNumberFormat="1" applyFont="1" applyBorder="1" applyAlignment="1">
      <alignment vertical="center" wrapText="1"/>
    </xf>
    <xf numFmtId="1" fontId="91" fillId="0" borderId="16" xfId="137" applyNumberFormat="1" applyFont="1" applyBorder="1" applyAlignment="1">
      <alignment horizontal="center" vertical="center" wrapText="1"/>
    </xf>
    <xf numFmtId="0" fontId="57" fillId="0" borderId="16" xfId="0" applyFont="1" applyBorder="1" applyAlignment="1">
      <alignment horizontal="center"/>
    </xf>
    <xf numFmtId="0" fontId="57" fillId="0" borderId="16" xfId="0" applyFont="1" applyBorder="1"/>
    <xf numFmtId="4" fontId="57" fillId="0" borderId="16" xfId="43" applyNumberFormat="1" applyFont="1" applyBorder="1"/>
    <xf numFmtId="9" fontId="91" fillId="0" borderId="16" xfId="137" applyNumberFormat="1" applyFont="1" applyBorder="1" applyAlignment="1">
      <alignment horizontal="center" vertical="center" wrapText="1"/>
    </xf>
    <xf numFmtId="0" fontId="57" fillId="0" borderId="16" xfId="0" applyFont="1" applyBorder="1" applyAlignment="1">
      <alignment horizontal="right"/>
    </xf>
    <xf numFmtId="0" fontId="90" fillId="0" borderId="16" xfId="0" applyFont="1" applyBorder="1" applyAlignment="1">
      <alignment horizontal="right" vertical="center" wrapText="1"/>
    </xf>
    <xf numFmtId="4" fontId="57" fillId="0" borderId="16" xfId="0" applyNumberFormat="1" applyFont="1" applyBorder="1" applyAlignment="1">
      <alignment horizontal="right"/>
    </xf>
    <xf numFmtId="0" fontId="0" fillId="0" borderId="16" xfId="0" applyBorder="1" applyAlignment="1">
      <alignment horizontal="right"/>
    </xf>
    <xf numFmtId="178" fontId="53" fillId="0" borderId="16" xfId="137" applyNumberFormat="1" applyFont="1" applyBorder="1" applyAlignment="1">
      <alignment horizontal="center" vertical="center" wrapText="1"/>
    </xf>
    <xf numFmtId="0" fontId="12" fillId="0" borderId="4" xfId="0" applyFont="1" applyBorder="1"/>
    <xf numFmtId="0" fontId="17" fillId="0" borderId="9" xfId="59" applyFont="1" applyBorder="1" applyAlignment="1">
      <alignment horizontal="center" vertical="center"/>
    </xf>
    <xf numFmtId="0" fontId="17" fillId="0" borderId="10" xfId="59" applyFont="1" applyBorder="1" applyAlignment="1">
      <alignment horizontal="center" vertical="center"/>
    </xf>
    <xf numFmtId="0" fontId="17" fillId="0" borderId="32" xfId="59" applyFont="1" applyBorder="1" applyAlignment="1">
      <alignment horizontal="center" vertical="center"/>
    </xf>
    <xf numFmtId="0" fontId="61" fillId="0" borderId="73" xfId="0" applyFont="1" applyBorder="1" applyAlignment="1">
      <alignment horizontal="center" vertical="center" wrapText="1"/>
    </xf>
    <xf numFmtId="0" fontId="61" fillId="0" borderId="73" xfId="0" applyFont="1" applyBorder="1" applyAlignment="1">
      <alignment vertical="center" wrapText="1"/>
    </xf>
    <xf numFmtId="0" fontId="12" fillId="0" borderId="16" xfId="0" applyFont="1" applyBorder="1"/>
    <xf numFmtId="0" fontId="2" fillId="0" borderId="0" xfId="775" applyAlignment="1">
      <alignment vertical="center" wrapText="1"/>
    </xf>
    <xf numFmtId="0" fontId="2" fillId="0" borderId="0" xfId="775" applyAlignment="1">
      <alignment vertical="center"/>
    </xf>
    <xf numFmtId="0" fontId="6" fillId="0" borderId="0" xfId="775" applyFont="1" applyAlignment="1">
      <alignment vertical="center"/>
    </xf>
    <xf numFmtId="0" fontId="60" fillId="0" borderId="0" xfId="775" applyFont="1" applyAlignment="1">
      <alignment vertical="center"/>
    </xf>
    <xf numFmtId="0" fontId="60" fillId="0" borderId="0" xfId="775" applyFont="1" applyAlignment="1">
      <alignment horizontal="center" vertical="center"/>
    </xf>
    <xf numFmtId="0" fontId="5" fillId="0" borderId="0" xfId="775" applyFont="1" applyAlignment="1">
      <alignment horizontal="center" vertical="center" wrapText="1"/>
    </xf>
    <xf numFmtId="180" fontId="2" fillId="0" borderId="0" xfId="775" applyNumberFormat="1" applyAlignment="1">
      <alignment vertical="center"/>
    </xf>
    <xf numFmtId="170" fontId="2" fillId="0" borderId="0" xfId="775" applyNumberFormat="1" applyAlignment="1">
      <alignment vertical="center"/>
    </xf>
    <xf numFmtId="9" fontId="2" fillId="0" borderId="0" xfId="42" applyFont="1" applyAlignment="1">
      <alignment vertical="center"/>
    </xf>
    <xf numFmtId="0" fontId="28" fillId="0" borderId="55" xfId="29" applyFont="1" applyBorder="1" applyAlignment="1">
      <alignment wrapText="1"/>
    </xf>
    <xf numFmtId="0" fontId="28" fillId="0" borderId="0" xfId="29" applyFont="1" applyAlignment="1">
      <alignment wrapText="1"/>
    </xf>
    <xf numFmtId="0" fontId="14" fillId="0" borderId="55" xfId="2" applyFont="1" applyBorder="1" applyAlignment="1">
      <alignment vertical="center" wrapText="1"/>
    </xf>
    <xf numFmtId="0" fontId="14" fillId="0" borderId="0" xfId="2" applyFont="1" applyAlignment="1">
      <alignment vertical="center" wrapText="1"/>
    </xf>
    <xf numFmtId="0" fontId="28" fillId="0" borderId="68" xfId="29" applyFont="1" applyBorder="1" applyAlignment="1">
      <alignment wrapText="1"/>
    </xf>
    <xf numFmtId="0" fontId="14" fillId="0" borderId="68" xfId="2" applyFont="1" applyBorder="1" applyAlignment="1">
      <alignment vertical="center" wrapText="1"/>
    </xf>
    <xf numFmtId="0" fontId="31" fillId="0" borderId="0" xfId="775" applyFont="1" applyAlignment="1">
      <alignment horizontal="center" vertical="center"/>
    </xf>
    <xf numFmtId="185" fontId="23" fillId="0" borderId="49" xfId="111" applyFont="1" applyBorder="1" applyAlignment="1">
      <alignment horizontal="center" vertical="center"/>
    </xf>
    <xf numFmtId="0" fontId="23" fillId="0" borderId="0" xfId="775" applyFont="1" applyAlignment="1">
      <alignment vertical="center" wrapText="1"/>
    </xf>
    <xf numFmtId="0" fontId="23" fillId="0" borderId="0" xfId="775" applyFont="1" applyAlignment="1">
      <alignment vertical="center"/>
    </xf>
    <xf numFmtId="0" fontId="23" fillId="0" borderId="16" xfId="775" applyFont="1" applyBorder="1" applyAlignment="1">
      <alignment vertical="center" wrapText="1"/>
    </xf>
    <xf numFmtId="169" fontId="23" fillId="0" borderId="16" xfId="681" applyFont="1" applyBorder="1" applyAlignment="1">
      <alignment vertical="center" wrapText="1"/>
    </xf>
    <xf numFmtId="2" fontId="23" fillId="0" borderId="16" xfId="775" applyNumberFormat="1" applyFont="1" applyBorder="1" applyAlignment="1">
      <alignment horizontal="center" vertical="center"/>
    </xf>
    <xf numFmtId="180" fontId="23" fillId="0" borderId="16" xfId="775" applyNumberFormat="1" applyFont="1" applyBorder="1" applyAlignment="1">
      <alignment vertical="center"/>
    </xf>
    <xf numFmtId="180" fontId="31" fillId="0" borderId="0" xfId="775" applyNumberFormat="1" applyFont="1" applyAlignment="1">
      <alignment vertical="center"/>
    </xf>
    <xf numFmtId="0" fontId="31" fillId="0" borderId="0" xfId="775" applyFont="1" applyAlignment="1">
      <alignment horizontal="right" vertical="center" wrapText="1"/>
    </xf>
    <xf numFmtId="0" fontId="31" fillId="0" borderId="30" xfId="775" applyFont="1" applyBorder="1" applyAlignment="1">
      <alignment horizontal="right" vertical="center" wrapText="1"/>
    </xf>
    <xf numFmtId="180" fontId="31" fillId="0" borderId="30" xfId="775" applyNumberFormat="1" applyFont="1" applyBorder="1" applyAlignment="1">
      <alignment vertical="center"/>
    </xf>
    <xf numFmtId="180" fontId="31" fillId="0" borderId="31" xfId="775" applyNumberFormat="1" applyFont="1" applyBorder="1" applyAlignment="1">
      <alignment vertical="center"/>
    </xf>
    <xf numFmtId="169" fontId="31" fillId="27" borderId="16" xfId="669" applyFont="1" applyFill="1" applyBorder="1" applyAlignment="1">
      <alignment horizontal="center" vertical="center"/>
    </xf>
    <xf numFmtId="184" fontId="31" fillId="27" borderId="16" xfId="1012" applyNumberFormat="1" applyFont="1" applyFill="1" applyBorder="1" applyAlignment="1">
      <alignment horizontal="center" vertical="center"/>
    </xf>
    <xf numFmtId="184" fontId="31" fillId="27" borderId="16" xfId="1012" applyNumberFormat="1" applyFont="1" applyFill="1" applyBorder="1" applyAlignment="1">
      <alignment horizontal="center" vertical="center" wrapText="1"/>
    </xf>
    <xf numFmtId="183" fontId="31" fillId="27" borderId="16" xfId="1012" applyNumberFormat="1" applyFont="1" applyFill="1" applyBorder="1" applyAlignment="1">
      <alignment horizontal="center" vertical="center"/>
    </xf>
    <xf numFmtId="0" fontId="23" fillId="0" borderId="16" xfId="775" applyFont="1" applyBorder="1" applyAlignment="1">
      <alignment vertical="center"/>
    </xf>
    <xf numFmtId="0" fontId="60" fillId="26" borderId="26" xfId="59" applyFont="1" applyFill="1" applyBorder="1" applyAlignment="1">
      <alignment horizontal="center" vertical="center"/>
    </xf>
    <xf numFmtId="0" fontId="59" fillId="26" borderId="26" xfId="59" applyFont="1" applyFill="1" applyBorder="1" applyAlignment="1">
      <alignment horizontal="center" vertical="center" wrapText="1"/>
    </xf>
    <xf numFmtId="0" fontId="59" fillId="0" borderId="70" xfId="59" applyFont="1" applyBorder="1" applyAlignment="1">
      <alignment horizontal="center" vertical="center"/>
    </xf>
    <xf numFmtId="0" fontId="5" fillId="0" borderId="14" xfId="59" applyFont="1" applyBorder="1" applyAlignment="1">
      <alignment horizontal="center" vertical="center"/>
    </xf>
    <xf numFmtId="0" fontId="66" fillId="0" borderId="70" xfId="59" applyFont="1" applyBorder="1" applyAlignment="1">
      <alignment horizontal="center" vertical="center"/>
    </xf>
    <xf numFmtId="0" fontId="17" fillId="26" borderId="82" xfId="59" applyFont="1" applyFill="1" applyBorder="1" applyAlignment="1">
      <alignment horizontal="center" vertical="center"/>
    </xf>
    <xf numFmtId="0" fontId="17" fillId="26" borderId="83" xfId="59" applyFont="1" applyFill="1" applyBorder="1" applyAlignment="1">
      <alignment horizontal="center" vertical="center"/>
    </xf>
    <xf numFmtId="0" fontId="0" fillId="0" borderId="71" xfId="0" applyBorder="1"/>
    <xf numFmtId="0" fontId="66" fillId="0" borderId="70" xfId="59" applyFont="1" applyBorder="1" applyAlignment="1">
      <alignment horizontal="center" vertical="center" wrapText="1"/>
    </xf>
    <xf numFmtId="0" fontId="92" fillId="0" borderId="71" xfId="0" applyFont="1" applyBorder="1" applyAlignment="1">
      <alignment horizontal="center" vertical="center"/>
    </xf>
    <xf numFmtId="0" fontId="3" fillId="25" borderId="14" xfId="59" applyFont="1" applyFill="1" applyBorder="1" applyAlignment="1">
      <alignment vertical="center"/>
    </xf>
    <xf numFmtId="0" fontId="3" fillId="25" borderId="57" xfId="59" applyFont="1" applyFill="1" applyBorder="1" applyAlignment="1">
      <alignment vertical="center"/>
    </xf>
    <xf numFmtId="0" fontId="0" fillId="25" borderId="71" xfId="0" applyFill="1" applyBorder="1"/>
    <xf numFmtId="0" fontId="61" fillId="0" borderId="26" xfId="0" applyFont="1" applyBorder="1" applyAlignment="1">
      <alignment horizontal="center" vertical="center" wrapText="1"/>
    </xf>
    <xf numFmtId="0" fontId="93" fillId="0" borderId="70" xfId="59" applyFont="1" applyBorder="1" applyAlignment="1">
      <alignment horizontal="left" vertical="center"/>
    </xf>
    <xf numFmtId="3" fontId="17" fillId="0" borderId="16" xfId="4" applyNumberFormat="1" applyFont="1" applyBorder="1" applyAlignment="1">
      <alignment vertical="center"/>
    </xf>
    <xf numFmtId="0" fontId="15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181" fontId="10" fillId="0" borderId="0" xfId="0" applyNumberFormat="1" applyFont="1" applyAlignment="1">
      <alignment vertical="center"/>
    </xf>
    <xf numFmtId="180" fontId="12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169" fontId="23" fillId="0" borderId="0" xfId="41" applyFont="1" applyAlignment="1">
      <alignment vertical="center"/>
    </xf>
    <xf numFmtId="13" fontId="12" fillId="0" borderId="0" xfId="41" applyNumberFormat="1" applyFont="1" applyAlignment="1">
      <alignment vertical="center"/>
    </xf>
    <xf numFmtId="0" fontId="5" fillId="0" borderId="56" xfId="2" applyFont="1" applyBorder="1" applyAlignment="1">
      <alignment horizontal="center" vertical="center"/>
    </xf>
    <xf numFmtId="209" fontId="23" fillId="0" borderId="16" xfId="111" applyNumberFormat="1" applyFont="1" applyBorder="1" applyAlignment="1">
      <alignment horizontal="center" vertical="center"/>
    </xf>
    <xf numFmtId="4" fontId="29" fillId="0" borderId="16" xfId="0" applyNumberFormat="1" applyFont="1" applyBorder="1" applyAlignment="1">
      <alignment horizontal="right"/>
    </xf>
    <xf numFmtId="3" fontId="25" fillId="0" borderId="0" xfId="0" applyNumberFormat="1" applyFont="1" applyAlignment="1">
      <alignment horizontal="right" vertical="center" wrapText="1"/>
    </xf>
    <xf numFmtId="3" fontId="97" fillId="0" borderId="0" xfId="0" applyNumberFormat="1" applyFont="1"/>
    <xf numFmtId="189" fontId="98" fillId="0" borderId="0" xfId="0" applyNumberFormat="1" applyFont="1"/>
    <xf numFmtId="3" fontId="59" fillId="0" borderId="0" xfId="0" applyNumberFormat="1" applyFont="1"/>
    <xf numFmtId="3" fontId="66" fillId="0" borderId="0" xfId="0" applyNumberFormat="1" applyFont="1"/>
    <xf numFmtId="0" fontId="29" fillId="0" borderId="16" xfId="0" applyFont="1" applyBorder="1" applyAlignment="1">
      <alignment horizontal="right"/>
    </xf>
    <xf numFmtId="4" fontId="29" fillId="0" borderId="16" xfId="43" applyNumberFormat="1" applyFont="1" applyBorder="1"/>
    <xf numFmtId="192" fontId="12" fillId="0" borderId="0" xfId="0" applyNumberFormat="1" applyFont="1"/>
    <xf numFmtId="0" fontId="54" fillId="0" borderId="55" xfId="0" applyFont="1" applyBorder="1" applyAlignment="1">
      <alignment horizontal="center"/>
    </xf>
    <xf numFmtId="0" fontId="54" fillId="0" borderId="68" xfId="0" applyFont="1" applyBorder="1" applyAlignment="1">
      <alignment horizontal="center"/>
    </xf>
    <xf numFmtId="4" fontId="54" fillId="0" borderId="68" xfId="137" applyNumberFormat="1" applyFont="1" applyBorder="1" applyAlignment="1">
      <alignment vertical="center" wrapText="1"/>
    </xf>
    <xf numFmtId="4" fontId="54" fillId="0" borderId="56" xfId="137" applyNumberFormat="1" applyFont="1" applyBorder="1" applyAlignment="1">
      <alignment vertical="center" wrapText="1"/>
    </xf>
    <xf numFmtId="0" fontId="54" fillId="0" borderId="16" xfId="0" applyFont="1" applyBorder="1" applyAlignment="1">
      <alignment horizontal="center" vertical="center" wrapText="1"/>
    </xf>
    <xf numFmtId="189" fontId="54" fillId="0" borderId="16" xfId="137" applyNumberFormat="1" applyFont="1" applyBorder="1" applyAlignment="1">
      <alignment vertical="center" wrapText="1"/>
    </xf>
    <xf numFmtId="4" fontId="53" fillId="0" borderId="16" xfId="137" applyNumberFormat="1" applyFont="1" applyBorder="1" applyAlignment="1">
      <alignment vertical="center" wrapText="1"/>
    </xf>
    <xf numFmtId="4" fontId="0" fillId="0" borderId="16" xfId="0" applyNumberFormat="1" applyBorder="1" applyAlignment="1">
      <alignment horizontal="center"/>
    </xf>
    <xf numFmtId="2" fontId="0" fillId="0" borderId="16" xfId="0" applyNumberFormat="1" applyBorder="1"/>
    <xf numFmtId="4" fontId="54" fillId="0" borderId="16" xfId="137" applyNumberFormat="1" applyFont="1" applyBorder="1" applyAlignment="1">
      <alignment vertical="center" wrapText="1"/>
    </xf>
    <xf numFmtId="2" fontId="0" fillId="0" borderId="16" xfId="0" applyNumberFormat="1" applyBorder="1" applyAlignment="1">
      <alignment horizontal="center"/>
    </xf>
    <xf numFmtId="192" fontId="54" fillId="0" borderId="16" xfId="138" applyNumberFormat="1" applyFont="1" applyBorder="1" applyAlignment="1">
      <alignment horizontal="right"/>
    </xf>
    <xf numFmtId="2" fontId="0" fillId="0" borderId="16" xfId="0" applyNumberFormat="1" applyBorder="1" applyAlignment="1">
      <alignment horizontal="right"/>
    </xf>
    <xf numFmtId="192" fontId="54" fillId="0" borderId="16" xfId="138" applyNumberFormat="1" applyFont="1" applyBorder="1" applyAlignment="1">
      <alignment vertical="center" wrapText="1"/>
    </xf>
    <xf numFmtId="0" fontId="53" fillId="0" borderId="16" xfId="0" applyFont="1" applyBorder="1" applyAlignment="1">
      <alignment horizontal="center" vertical="center" wrapText="1"/>
    </xf>
    <xf numFmtId="0" fontId="1" fillId="2" borderId="0" xfId="174" applyFill="1"/>
    <xf numFmtId="0" fontId="31" fillId="2" borderId="0" xfId="174" applyFont="1" applyFill="1" applyAlignment="1">
      <alignment horizontal="right" vertical="center" wrapText="1"/>
    </xf>
    <xf numFmtId="166" fontId="99" fillId="2" borderId="16" xfId="176" applyNumberFormat="1" applyFont="1" applyFill="1" applyBorder="1" applyAlignment="1">
      <alignment vertical="center" wrapText="1"/>
    </xf>
    <xf numFmtId="0" fontId="2" fillId="2" borderId="16" xfId="174" applyFont="1" applyFill="1" applyBorder="1" applyAlignment="1">
      <alignment vertical="center" wrapText="1"/>
    </xf>
    <xf numFmtId="0" fontId="6" fillId="2" borderId="16" xfId="174" applyFont="1" applyFill="1" applyBorder="1" applyAlignment="1">
      <alignment horizontal="center" vertical="center" wrapText="1"/>
    </xf>
    <xf numFmtId="0" fontId="6" fillId="2" borderId="16" xfId="174" applyFont="1" applyFill="1" applyBorder="1" applyAlignment="1">
      <alignment vertical="center" wrapText="1"/>
    </xf>
    <xf numFmtId="210" fontId="2" fillId="2" borderId="16" xfId="175" applyNumberFormat="1" applyFill="1" applyBorder="1" applyAlignment="1">
      <alignment vertical="center" wrapText="1"/>
    </xf>
    <xf numFmtId="2" fontId="28" fillId="2" borderId="16" xfId="174" applyNumberFormat="1" applyFont="1" applyFill="1" applyBorder="1" applyAlignment="1">
      <alignment vertical="center" wrapText="1"/>
    </xf>
    <xf numFmtId="166" fontId="2" fillId="2" borderId="16" xfId="176" applyNumberFormat="1" applyFill="1" applyBorder="1" applyAlignment="1">
      <alignment vertical="center" wrapText="1"/>
    </xf>
    <xf numFmtId="0" fontId="0" fillId="2" borderId="16" xfId="174" applyFont="1" applyFill="1" applyBorder="1" applyAlignment="1">
      <alignment vertical="center" wrapText="1"/>
    </xf>
    <xf numFmtId="0" fontId="2" fillId="2" borderId="16" xfId="174" applyFont="1" applyFill="1" applyBorder="1" applyAlignment="1">
      <alignment horizontal="center" vertical="center" wrapText="1"/>
    </xf>
    <xf numFmtId="0" fontId="2" fillId="2" borderId="16" xfId="174" applyFont="1" applyFill="1" applyBorder="1" applyAlignment="1">
      <alignment horizontal="left" vertical="center" wrapText="1"/>
    </xf>
    <xf numFmtId="210" fontId="2" fillId="2" borderId="16" xfId="175" applyNumberFormat="1" applyFill="1" applyBorder="1" applyAlignment="1">
      <alignment horizontal="right" vertical="center" wrapText="1"/>
    </xf>
    <xf numFmtId="2" fontId="6" fillId="2" borderId="16" xfId="174" applyNumberFormat="1" applyFont="1" applyFill="1" applyBorder="1" applyAlignment="1">
      <alignment vertical="center" wrapText="1"/>
    </xf>
    <xf numFmtId="2" fontId="2" fillId="2" borderId="16" xfId="174" applyNumberFormat="1" applyFont="1" applyFill="1" applyBorder="1" applyAlignment="1">
      <alignment horizontal="center" vertical="center" wrapText="1"/>
    </xf>
    <xf numFmtId="169" fontId="0" fillId="2" borderId="0" xfId="177" applyFont="1" applyFill="1"/>
    <xf numFmtId="10" fontId="0" fillId="2" borderId="0" xfId="178" applyNumberFormat="1" applyFont="1" applyFill="1"/>
    <xf numFmtId="10" fontId="1" fillId="2" borderId="0" xfId="174" applyNumberFormat="1" applyFill="1"/>
    <xf numFmtId="167" fontId="1" fillId="2" borderId="0" xfId="174" applyNumberFormat="1" applyFill="1"/>
    <xf numFmtId="4" fontId="6" fillId="2" borderId="16" xfId="174" applyNumberFormat="1" applyFont="1" applyFill="1" applyBorder="1" applyAlignment="1">
      <alignment horizontal="center" vertical="center" wrapText="1"/>
    </xf>
    <xf numFmtId="4" fontId="6" fillId="2" borderId="16" xfId="174" applyNumberFormat="1" applyFont="1" applyFill="1" applyBorder="1" applyAlignment="1">
      <alignment vertical="center" wrapText="1"/>
    </xf>
    <xf numFmtId="4" fontId="6" fillId="2" borderId="16" xfId="175" applyNumberFormat="1" applyFont="1" applyFill="1" applyBorder="1" applyAlignment="1">
      <alignment vertical="center" wrapText="1"/>
    </xf>
    <xf numFmtId="172" fontId="2" fillId="2" borderId="0" xfId="115" applyNumberFormat="1" applyFill="1" applyAlignment="1">
      <alignment horizontal="center" vertical="center"/>
    </xf>
    <xf numFmtId="0" fontId="2" fillId="2" borderId="0" xfId="115" applyFill="1" applyAlignment="1">
      <alignment horizontal="left" vertical="center" wrapText="1"/>
    </xf>
    <xf numFmtId="177" fontId="2" fillId="2" borderId="0" xfId="48" applyFill="1" applyAlignment="1">
      <alignment horizontal="center" vertical="center"/>
    </xf>
    <xf numFmtId="2" fontId="2" fillId="2" borderId="0" xfId="48" applyNumberFormat="1" applyFill="1" applyAlignment="1">
      <alignment horizontal="center" vertical="center"/>
    </xf>
    <xf numFmtId="0" fontId="32" fillId="0" borderId="0" xfId="1119" applyFont="1"/>
    <xf numFmtId="0" fontId="32" fillId="0" borderId="0" xfId="1119" applyFont="1" applyAlignment="1">
      <alignment horizontal="left" vertical="center" wrapText="1" indent="1"/>
    </xf>
    <xf numFmtId="0" fontId="23" fillId="0" borderId="0" xfId="1119" applyFont="1"/>
    <xf numFmtId="0" fontId="100" fillId="0" borderId="0" xfId="1119" applyFont="1"/>
    <xf numFmtId="0" fontId="1" fillId="2" borderId="0" xfId="174" applyFill="1" applyAlignment="1">
      <alignment horizontal="center"/>
    </xf>
    <xf numFmtId="0" fontId="29" fillId="2" borderId="0" xfId="174" applyFont="1" applyFill="1" applyAlignment="1">
      <alignment horizontal="center"/>
    </xf>
    <xf numFmtId="0" fontId="29" fillId="2" borderId="0" xfId="174" applyFont="1" applyFill="1"/>
    <xf numFmtId="0" fontId="101" fillId="2" borderId="0" xfId="174" applyFont="1" applyFill="1"/>
    <xf numFmtId="0" fontId="29" fillId="2" borderId="0" xfId="174" applyFont="1" applyFill="1" applyAlignment="1">
      <alignment horizontal="center" vertical="center"/>
    </xf>
    <xf numFmtId="0" fontId="101" fillId="2" borderId="0" xfId="174" applyFont="1" applyFill="1" applyAlignment="1">
      <alignment vertical="justify" wrapText="1"/>
    </xf>
    <xf numFmtId="0" fontId="1" fillId="2" borderId="0" xfId="174" applyFill="1" applyAlignment="1">
      <alignment vertical="justify" wrapText="1"/>
    </xf>
    <xf numFmtId="0" fontId="29" fillId="2" borderId="0" xfId="174" applyFont="1" applyFill="1" applyAlignment="1">
      <alignment vertical="justify" wrapText="1"/>
    </xf>
    <xf numFmtId="0" fontId="2" fillId="2" borderId="0" xfId="174" applyFont="1" applyFill="1" applyAlignment="1">
      <alignment horizontal="center" vertical="center" wrapText="1"/>
    </xf>
    <xf numFmtId="0" fontId="102" fillId="2" borderId="0" xfId="174" applyFont="1" applyFill="1" applyAlignment="1">
      <alignment horizontal="center"/>
    </xf>
    <xf numFmtId="0" fontId="103" fillId="2" borderId="0" xfId="174" applyFont="1" applyFill="1" applyAlignment="1">
      <alignment horizontal="center"/>
    </xf>
    <xf numFmtId="0" fontId="2" fillId="2" borderId="0" xfId="174" applyFont="1" applyFill="1" applyAlignment="1">
      <alignment vertical="center" wrapText="1"/>
    </xf>
    <xf numFmtId="0" fontId="18" fillId="26" borderId="15" xfId="135" applyFont="1" applyFill="1" applyBorder="1" applyAlignment="1">
      <alignment horizontal="center" vertical="center"/>
    </xf>
    <xf numFmtId="0" fontId="6" fillId="0" borderId="15" xfId="2" applyFont="1" applyBorder="1" applyAlignment="1">
      <alignment vertical="center"/>
    </xf>
    <xf numFmtId="0" fontId="55" fillId="0" borderId="15" xfId="2" applyFont="1" applyBorder="1" applyAlignment="1">
      <alignment horizontal="left" vertical="center"/>
    </xf>
    <xf numFmtId="0" fontId="6" fillId="0" borderId="15" xfId="135" applyFont="1" applyBorder="1" applyAlignment="1">
      <alignment vertical="center"/>
    </xf>
    <xf numFmtId="0" fontId="2" fillId="0" borderId="15" xfId="135" applyBorder="1" applyAlignment="1">
      <alignment vertical="center"/>
    </xf>
    <xf numFmtId="0" fontId="6" fillId="26" borderId="15" xfId="135" applyFont="1" applyFill="1" applyBorder="1" applyAlignment="1">
      <alignment horizontal="center" vertical="center"/>
    </xf>
    <xf numFmtId="0" fontId="6" fillId="0" borderId="15" xfId="135" applyFont="1" applyBorder="1"/>
    <xf numFmtId="0" fontId="2" fillId="0" borderId="15" xfId="135" applyBorder="1"/>
    <xf numFmtId="0" fontId="6" fillId="0" borderId="68" xfId="2" applyFont="1" applyBorder="1" applyAlignment="1">
      <alignment horizontal="center" vertical="center"/>
    </xf>
    <xf numFmtId="0" fontId="2" fillId="0" borderId="68" xfId="2" applyBorder="1" applyAlignment="1">
      <alignment horizontal="center" vertical="center"/>
    </xf>
    <xf numFmtId="3" fontId="2" fillId="0" borderId="68" xfId="2" applyNumberFormat="1" applyBorder="1" applyAlignment="1">
      <alignment horizontal="center" vertical="center"/>
    </xf>
    <xf numFmtId="0" fontId="6" fillId="0" borderId="68" xfId="135" applyFont="1" applyBorder="1" applyAlignment="1">
      <alignment horizontal="center" vertical="center"/>
    </xf>
    <xf numFmtId="0" fontId="55" fillId="0" borderId="68" xfId="2" applyFont="1" applyBorder="1" applyAlignment="1">
      <alignment horizontal="center" vertical="center"/>
    </xf>
    <xf numFmtId="1" fontId="2" fillId="0" borderId="68" xfId="2" applyNumberFormat="1" applyBorder="1" applyAlignment="1">
      <alignment horizontal="center" vertical="center"/>
    </xf>
    <xf numFmtId="0" fontId="2" fillId="0" borderId="68" xfId="2" applyBorder="1" applyAlignment="1">
      <alignment vertical="center"/>
    </xf>
    <xf numFmtId="0" fontId="2" fillId="0" borderId="0" xfId="135"/>
    <xf numFmtId="0" fontId="2" fillId="0" borderId="15" xfId="135" applyBorder="1" applyAlignment="1">
      <alignment vertical="center" wrapText="1"/>
    </xf>
    <xf numFmtId="0" fontId="2" fillId="0" borderId="0" xfId="135" applyAlignment="1">
      <alignment horizontal="left"/>
    </xf>
    <xf numFmtId="0" fontId="2" fillId="0" borderId="0" xfId="135" applyAlignment="1">
      <alignment horizontal="right"/>
    </xf>
    <xf numFmtId="169" fontId="2" fillId="0" borderId="0" xfId="41" applyFont="1" applyAlignment="1">
      <alignment horizontal="right"/>
    </xf>
    <xf numFmtId="0" fontId="28" fillId="26" borderId="26" xfId="59" applyFont="1" applyFill="1" applyBorder="1" applyAlignment="1">
      <alignment horizontal="center" vertical="center" wrapText="1"/>
    </xf>
    <xf numFmtId="0" fontId="28" fillId="25" borderId="56" xfId="59" applyFont="1" applyFill="1" applyBorder="1" applyAlignment="1">
      <alignment horizontal="center" vertical="center" wrapText="1"/>
    </xf>
    <xf numFmtId="0" fontId="61" fillId="0" borderId="36" xfId="0" applyFont="1" applyBorder="1" applyAlignment="1">
      <alignment horizontal="center" vertical="center" wrapText="1"/>
    </xf>
    <xf numFmtId="3" fontId="0" fillId="0" borderId="26" xfId="0" applyNumberFormat="1" applyBorder="1" applyAlignment="1">
      <alignment horizontal="center" vertical="center"/>
    </xf>
    <xf numFmtId="4" fontId="107" fillId="0" borderId="26" xfId="0" applyNumberFormat="1" applyFont="1" applyBorder="1" applyAlignment="1">
      <alignment horizontal="right" vertical="center"/>
    </xf>
    <xf numFmtId="0" fontId="62" fillId="0" borderId="0" xfId="0" applyFont="1" applyAlignment="1">
      <alignment horizontal="right"/>
    </xf>
    <xf numFmtId="0" fontId="13" fillId="0" borderId="16" xfId="0" applyFont="1" applyBorder="1" applyAlignment="1">
      <alignment horizontal="center"/>
    </xf>
    <xf numFmtId="169" fontId="13" fillId="0" borderId="16" xfId="41" applyFont="1" applyBorder="1" applyAlignment="1">
      <alignment horizontal="center"/>
    </xf>
    <xf numFmtId="0" fontId="12" fillId="0" borderId="16" xfId="0" applyFont="1" applyBorder="1" applyAlignment="1">
      <alignment horizontal="left"/>
    </xf>
    <xf numFmtId="0" fontId="12" fillId="0" borderId="16" xfId="0" applyFont="1" applyBorder="1" applyAlignment="1">
      <alignment horizontal="center"/>
    </xf>
    <xf numFmtId="169" fontId="12" fillId="0" borderId="16" xfId="41" applyFont="1" applyBorder="1" applyAlignment="1">
      <alignment horizontal="center"/>
    </xf>
    <xf numFmtId="0" fontId="23" fillId="0" borderId="16" xfId="0" applyFont="1" applyBorder="1"/>
    <xf numFmtId="169" fontId="23" fillId="0" borderId="16" xfId="41" applyFont="1" applyBorder="1"/>
    <xf numFmtId="0" fontId="20" fillId="0" borderId="16" xfId="0" applyFont="1" applyBorder="1"/>
    <xf numFmtId="0" fontId="24" fillId="0" borderId="16" xfId="0" applyFont="1" applyBorder="1" applyAlignment="1">
      <alignment horizontal="center" vertical="center" wrapText="1"/>
    </xf>
    <xf numFmtId="170" fontId="0" fillId="0" borderId="16" xfId="0" applyNumberFormat="1" applyBorder="1"/>
    <xf numFmtId="170" fontId="0" fillId="0" borderId="16" xfId="0" applyNumberFormat="1" applyBorder="1" applyAlignment="1">
      <alignment horizontal="center" vertical="center"/>
    </xf>
    <xf numFmtId="170" fontId="29" fillId="0" borderId="16" xfId="0" applyNumberFormat="1" applyFont="1" applyBorder="1" applyAlignment="1">
      <alignment vertical="center"/>
    </xf>
    <xf numFmtId="170" fontId="0" fillId="0" borderId="16" xfId="0" applyNumberFormat="1" applyBorder="1" applyAlignment="1">
      <alignment vertical="center"/>
    </xf>
    <xf numFmtId="170" fontId="29" fillId="0" borderId="16" xfId="0" applyNumberFormat="1" applyFont="1" applyBorder="1" applyAlignment="1">
      <alignment horizontal="center" vertical="center"/>
    </xf>
    <xf numFmtId="0" fontId="22" fillId="0" borderId="16" xfId="0" applyFont="1" applyBorder="1" applyAlignment="1">
      <alignment vertical="center"/>
    </xf>
    <xf numFmtId="170" fontId="22" fillId="0" borderId="16" xfId="0" applyNumberFormat="1" applyFont="1" applyBorder="1" applyAlignment="1">
      <alignment vertical="center"/>
    </xf>
    <xf numFmtId="0" fontId="11" fillId="0" borderId="16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169" fontId="13" fillId="0" borderId="16" xfId="41" applyFont="1" applyBorder="1" applyAlignment="1">
      <alignment horizontal="center" vertical="center"/>
    </xf>
    <xf numFmtId="3" fontId="12" fillId="0" borderId="16" xfId="41" applyNumberFormat="1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169" fontId="14" fillId="0" borderId="16" xfId="41" applyFont="1" applyBorder="1" applyAlignment="1">
      <alignment vertical="center"/>
    </xf>
    <xf numFmtId="0" fontId="31" fillId="0" borderId="16" xfId="0" applyFont="1" applyBorder="1" applyAlignment="1">
      <alignment horizontal="center" vertical="center"/>
    </xf>
    <xf numFmtId="0" fontId="5" fillId="0" borderId="16" xfId="2" applyFont="1" applyBorder="1" applyAlignment="1">
      <alignment horizontal="justify" vertical="center"/>
    </xf>
    <xf numFmtId="0" fontId="5" fillId="0" borderId="16" xfId="0" applyFont="1" applyBorder="1" applyAlignment="1">
      <alignment horizontal="justify" vertical="center"/>
    </xf>
    <xf numFmtId="0" fontId="5" fillId="0" borderId="16" xfId="0" applyFont="1" applyBorder="1" applyAlignment="1">
      <alignment horizontal="justify" vertical="center" wrapText="1"/>
    </xf>
    <xf numFmtId="169" fontId="5" fillId="0" borderId="16" xfId="41" applyFont="1" applyBorder="1" applyAlignment="1">
      <alignment vertical="center"/>
    </xf>
    <xf numFmtId="3" fontId="32" fillId="0" borderId="16" xfId="0" applyNumberFormat="1" applyFont="1" applyBorder="1" applyAlignment="1">
      <alignment horizontal="right" vertical="center"/>
    </xf>
    <xf numFmtId="0" fontId="63" fillId="2" borderId="0" xfId="0" applyFont="1" applyFill="1" applyAlignment="1">
      <alignment horizontal="center"/>
    </xf>
    <xf numFmtId="0" fontId="0" fillId="2" borderId="0" xfId="0" applyFill="1"/>
    <xf numFmtId="0" fontId="5" fillId="2" borderId="7" xfId="59" applyFont="1" applyFill="1" applyBorder="1" applyAlignment="1">
      <alignment horizontal="center" vertical="center"/>
    </xf>
    <xf numFmtId="0" fontId="53" fillId="2" borderId="0" xfId="2" applyFont="1" applyFill="1" applyAlignment="1">
      <alignment horizontal="left"/>
    </xf>
    <xf numFmtId="0" fontId="65" fillId="2" borderId="0" xfId="2" applyFont="1" applyFill="1" applyAlignment="1">
      <alignment horizontal="left"/>
    </xf>
    <xf numFmtId="0" fontId="65" fillId="2" borderId="0" xfId="0" applyFont="1" applyFill="1" applyAlignment="1">
      <alignment horizontal="center" vertical="center"/>
    </xf>
    <xf numFmtId="0" fontId="4" fillId="2" borderId="0" xfId="29" applyFill="1"/>
    <xf numFmtId="0" fontId="5" fillId="2" borderId="0" xfId="59" applyFont="1" applyFill="1" applyAlignment="1">
      <alignment horizontal="center" vertical="center"/>
    </xf>
    <xf numFmtId="0" fontId="5" fillId="2" borderId="0" xfId="59" applyFont="1" applyFill="1" applyAlignment="1">
      <alignment vertical="center"/>
    </xf>
    <xf numFmtId="3" fontId="0" fillId="2" borderId="0" xfId="0" applyNumberFormat="1" applyFill="1"/>
    <xf numFmtId="0" fontId="59" fillId="0" borderId="70" xfId="59" applyFont="1" applyBorder="1" applyAlignment="1">
      <alignment horizontal="center" vertical="center" wrapText="1"/>
    </xf>
    <xf numFmtId="0" fontId="5" fillId="0" borderId="36" xfId="59" applyFont="1" applyBorder="1" applyAlignment="1">
      <alignment horizontal="center" vertical="center"/>
    </xf>
    <xf numFmtId="0" fontId="5" fillId="0" borderId="36" xfId="59" applyFont="1" applyBorder="1" applyAlignment="1">
      <alignment vertical="center"/>
    </xf>
    <xf numFmtId="0" fontId="62" fillId="2" borderId="0" xfId="0" applyFont="1" applyFill="1"/>
    <xf numFmtId="0" fontId="62" fillId="2" borderId="0" xfId="0" applyFont="1" applyFill="1" applyAlignment="1">
      <alignment horizontal="right"/>
    </xf>
    <xf numFmtId="4" fontId="0" fillId="2" borderId="0" xfId="0" applyNumberFormat="1" applyFill="1"/>
    <xf numFmtId="0" fontId="5" fillId="2" borderId="5" xfId="59" applyFont="1" applyFill="1" applyBorder="1" applyAlignment="1">
      <alignment horizontal="center" vertical="center"/>
    </xf>
    <xf numFmtId="0" fontId="68" fillId="0" borderId="0" xfId="735" applyFont="1" applyAlignment="1">
      <alignment vertical="center"/>
    </xf>
    <xf numFmtId="0" fontId="68" fillId="0" borderId="0" xfId="735" applyFont="1" applyAlignment="1">
      <alignment horizontal="right" vertical="center"/>
    </xf>
    <xf numFmtId="2" fontId="68" fillId="0" borderId="0" xfId="735" applyNumberFormat="1" applyFont="1" applyAlignment="1">
      <alignment vertical="center"/>
    </xf>
    <xf numFmtId="171" fontId="68" fillId="0" borderId="0" xfId="735" applyNumberFormat="1" applyFont="1" applyAlignment="1">
      <alignment vertical="center"/>
    </xf>
    <xf numFmtId="0" fontId="108" fillId="0" borderId="0" xfId="735" applyFont="1" applyAlignment="1">
      <alignment horizontal="center" vertical="center"/>
    </xf>
    <xf numFmtId="0" fontId="68" fillId="0" borderId="0" xfId="735" applyFont="1" applyAlignment="1">
      <alignment horizontal="center" vertical="center"/>
    </xf>
    <xf numFmtId="1" fontId="68" fillId="0" borderId="0" xfId="735" applyNumberFormat="1" applyFont="1" applyAlignment="1">
      <alignment vertical="center"/>
    </xf>
    <xf numFmtId="0" fontId="59" fillId="0" borderId="97" xfId="735" applyFont="1" applyBorder="1" applyAlignment="1">
      <alignment horizontal="center" vertical="center" wrapText="1"/>
    </xf>
    <xf numFmtId="0" fontId="113" fillId="41" borderId="101" xfId="735" applyFont="1" applyFill="1" applyBorder="1" applyAlignment="1">
      <alignment horizontal="center" vertical="center"/>
    </xf>
    <xf numFmtId="0" fontId="113" fillId="41" borderId="102" xfId="735" applyFont="1" applyFill="1" applyBorder="1" applyAlignment="1">
      <alignment horizontal="center" vertical="center"/>
    </xf>
    <xf numFmtId="0" fontId="98" fillId="0" borderId="4" xfId="735" applyFont="1" applyBorder="1" applyAlignment="1">
      <alignment horizontal="center" vertical="center"/>
    </xf>
    <xf numFmtId="0" fontId="98" fillId="0" borderId="0" xfId="735" applyFont="1" applyAlignment="1">
      <alignment vertical="center"/>
    </xf>
    <xf numFmtId="2" fontId="98" fillId="0" borderId="94" xfId="735" applyNumberFormat="1" applyFont="1" applyBorder="1" applyAlignment="1">
      <alignment vertical="center"/>
    </xf>
    <xf numFmtId="0" fontId="98" fillId="0" borderId="93" xfId="735" applyFont="1" applyBorder="1" applyAlignment="1">
      <alignment vertical="center"/>
    </xf>
    <xf numFmtId="0" fontId="98" fillId="0" borderId="104" xfId="735" applyFont="1" applyBorder="1" applyAlignment="1">
      <alignment horizontal="center" vertical="center"/>
    </xf>
    <xf numFmtId="0" fontId="98" fillId="0" borderId="94" xfId="735" applyFont="1" applyBorder="1" applyAlignment="1">
      <alignment horizontal="center" vertical="center"/>
    </xf>
    <xf numFmtId="2" fontId="98" fillId="0" borderId="94" xfId="735" applyNumberFormat="1" applyFont="1" applyBorder="1" applyAlignment="1">
      <alignment horizontal="center" vertical="center"/>
    </xf>
    <xf numFmtId="212" fontId="98" fillId="0" borderId="94" xfId="735" applyNumberFormat="1" applyFont="1" applyBorder="1" applyAlignment="1">
      <alignment horizontal="center" vertical="center"/>
    </xf>
    <xf numFmtId="2" fontId="98" fillId="0" borderId="96" xfId="735" applyNumberFormat="1" applyFont="1" applyBorder="1" applyAlignment="1">
      <alignment horizontal="center" vertical="center"/>
    </xf>
    <xf numFmtId="0" fontId="98" fillId="0" borderId="104" xfId="735" applyFont="1" applyBorder="1" applyAlignment="1">
      <alignment vertical="center"/>
    </xf>
    <xf numFmtId="212" fontId="98" fillId="0" borderId="94" xfId="735" applyNumberFormat="1" applyFont="1" applyBorder="1" applyAlignment="1">
      <alignment vertical="center"/>
    </xf>
    <xf numFmtId="170" fontId="66" fillId="0" borderId="96" xfId="1121" applyFont="1" applyBorder="1" applyAlignment="1">
      <alignment vertical="center"/>
    </xf>
    <xf numFmtId="0" fontId="98" fillId="0" borderId="94" xfId="735" applyFont="1" applyBorder="1" applyAlignment="1">
      <alignment vertical="center"/>
    </xf>
    <xf numFmtId="0" fontId="98" fillId="0" borderId="93" xfId="735" applyFont="1" applyBorder="1" applyAlignment="1">
      <alignment horizontal="left" vertical="center"/>
    </xf>
    <xf numFmtId="0" fontId="98" fillId="0" borderId="104" xfId="735" applyFont="1" applyBorder="1" applyAlignment="1">
      <alignment horizontal="left" vertical="center"/>
    </xf>
    <xf numFmtId="0" fontId="98" fillId="0" borderId="0" xfId="735" applyFont="1" applyAlignment="1">
      <alignment horizontal="center" vertical="center"/>
    </xf>
    <xf numFmtId="0" fontId="98" fillId="0" borderId="5" xfId="735" applyFont="1" applyBorder="1" applyAlignment="1">
      <alignment horizontal="center" vertical="center"/>
    </xf>
    <xf numFmtId="1" fontId="98" fillId="0" borderId="5" xfId="735" applyNumberFormat="1" applyFont="1" applyBorder="1" applyAlignment="1">
      <alignment vertical="center"/>
    </xf>
    <xf numFmtId="0" fontId="98" fillId="0" borderId="4" xfId="735" applyFont="1" applyBorder="1" applyAlignment="1">
      <alignment horizontal="left" vertical="center"/>
    </xf>
    <xf numFmtId="0" fontId="98" fillId="0" borderId="0" xfId="735" applyFont="1" applyAlignment="1">
      <alignment horizontal="left" vertical="center"/>
    </xf>
    <xf numFmtId="0" fontId="98" fillId="0" borderId="4" xfId="735" applyFont="1" applyBorder="1" applyAlignment="1">
      <alignment vertical="center"/>
    </xf>
    <xf numFmtId="0" fontId="98" fillId="0" borderId="98" xfId="735" applyFont="1" applyBorder="1" applyAlignment="1">
      <alignment horizontal="center" vertical="center"/>
    </xf>
    <xf numFmtId="0" fontId="98" fillId="0" borderId="99" xfId="735" applyFont="1" applyBorder="1" applyAlignment="1">
      <alignment horizontal="center" vertical="center"/>
    </xf>
    <xf numFmtId="0" fontId="98" fillId="0" borderId="100" xfId="735" applyFont="1" applyBorder="1" applyAlignment="1">
      <alignment horizontal="center" vertical="center"/>
    </xf>
    <xf numFmtId="0" fontId="98" fillId="0" borderId="98" xfId="735" applyFont="1" applyBorder="1" applyAlignment="1">
      <alignment horizontal="left" vertical="center"/>
    </xf>
    <xf numFmtId="0" fontId="98" fillId="0" borderId="99" xfId="735" applyFont="1" applyBorder="1" applyAlignment="1">
      <alignment horizontal="left" vertical="center"/>
    </xf>
    <xf numFmtId="0" fontId="98" fillId="0" borderId="99" xfId="735" applyFont="1" applyBorder="1" applyAlignment="1">
      <alignment vertical="center"/>
    </xf>
    <xf numFmtId="2" fontId="98" fillId="0" borderId="99" xfId="735" applyNumberFormat="1" applyFont="1" applyBorder="1" applyAlignment="1">
      <alignment vertical="center"/>
    </xf>
    <xf numFmtId="1" fontId="98" fillId="0" borderId="100" xfId="735" applyNumberFormat="1" applyFont="1" applyBorder="1" applyAlignment="1">
      <alignment vertical="center"/>
    </xf>
    <xf numFmtId="0" fontId="66" fillId="0" borderId="0" xfId="735" applyFont="1" applyAlignment="1">
      <alignment horizontal="left" vertical="center"/>
    </xf>
    <xf numFmtId="2" fontId="98" fillId="0" borderId="0" xfId="735" applyNumberFormat="1" applyFont="1" applyAlignment="1">
      <alignment vertical="center"/>
    </xf>
    <xf numFmtId="0" fontId="98" fillId="0" borderId="30" xfId="735" applyFont="1" applyBorder="1" applyAlignment="1">
      <alignment horizontal="center" vertical="center"/>
    </xf>
    <xf numFmtId="0" fontId="98" fillId="0" borderId="30" xfId="735" applyFont="1" applyBorder="1" applyAlignment="1">
      <alignment vertical="center"/>
    </xf>
    <xf numFmtId="2" fontId="98" fillId="0" borderId="30" xfId="735" applyNumberFormat="1" applyFont="1" applyBorder="1" applyAlignment="1">
      <alignment vertical="center"/>
    </xf>
    <xf numFmtId="0" fontId="98" fillId="0" borderId="98" xfId="735" applyFont="1" applyBorder="1" applyAlignment="1">
      <alignment vertical="center"/>
    </xf>
    <xf numFmtId="0" fontId="66" fillId="0" borderId="99" xfId="735" applyFont="1" applyBorder="1" applyAlignment="1">
      <alignment horizontal="left" vertical="center"/>
    </xf>
    <xf numFmtId="0" fontId="59" fillId="0" borderId="104" xfId="735" applyFont="1" applyBorder="1" applyAlignment="1">
      <alignment vertical="center" wrapText="1"/>
    </xf>
    <xf numFmtId="0" fontId="59" fillId="0" borderId="104" xfId="735" applyFont="1" applyBorder="1" applyAlignment="1">
      <alignment vertical="center"/>
    </xf>
    <xf numFmtId="0" fontId="117" fillId="41" borderId="26" xfId="1120" applyFont="1" applyFill="1" applyBorder="1" applyAlignment="1">
      <alignment horizontal="center" vertical="center" wrapText="1"/>
    </xf>
    <xf numFmtId="0" fontId="59" fillId="41" borderId="26" xfId="735" applyFont="1" applyFill="1" applyBorder="1" applyAlignment="1">
      <alignment horizontal="center" vertical="center"/>
    </xf>
    <xf numFmtId="0" fontId="115" fillId="0" borderId="50" xfId="735" applyFont="1" applyBorder="1" applyAlignment="1">
      <alignment horizontal="left" vertical="center"/>
    </xf>
    <xf numFmtId="0" fontId="115" fillId="0" borderId="31" xfId="735" applyFont="1" applyBorder="1" applyAlignment="1">
      <alignment horizontal="left" vertical="center"/>
    </xf>
    <xf numFmtId="16" fontId="115" fillId="0" borderId="31" xfId="735" applyNumberFormat="1" applyFont="1" applyBorder="1" applyAlignment="1">
      <alignment horizontal="left" vertical="center"/>
    </xf>
    <xf numFmtId="0" fontId="98" fillId="0" borderId="27" xfId="735" applyFont="1" applyBorder="1" applyAlignment="1">
      <alignment horizontal="center" vertical="center"/>
    </xf>
    <xf numFmtId="2" fontId="98" fillId="0" borderId="68" xfId="735" applyNumberFormat="1" applyFont="1" applyBorder="1" applyAlignment="1">
      <alignment horizontal="right" vertical="center"/>
    </xf>
    <xf numFmtId="171" fontId="116" fillId="0" borderId="55" xfId="735" applyNumberFormat="1" applyFont="1" applyBorder="1" applyAlignment="1">
      <alignment horizontal="center" vertical="center" wrapText="1"/>
    </xf>
    <xf numFmtId="2" fontId="98" fillId="0" borderId="51" xfId="735" applyNumberFormat="1" applyFont="1" applyBorder="1" applyAlignment="1">
      <alignment vertical="center"/>
    </xf>
    <xf numFmtId="170" fontId="114" fillId="41" borderId="26" xfId="1121" applyFont="1" applyFill="1" applyBorder="1" applyAlignment="1">
      <alignment vertical="center"/>
    </xf>
    <xf numFmtId="170" fontId="66" fillId="0" borderId="109" xfId="1121" applyFont="1" applyBorder="1" applyAlignment="1">
      <alignment vertical="center"/>
    </xf>
    <xf numFmtId="170" fontId="114" fillId="42" borderId="26" xfId="1121" applyFont="1" applyFill="1" applyBorder="1" applyAlignment="1">
      <alignment horizontal="right" vertical="center" wrapText="1"/>
    </xf>
    <xf numFmtId="211" fontId="114" fillId="42" borderId="40" xfId="735" applyNumberFormat="1" applyFont="1" applyFill="1" applyBorder="1" applyAlignment="1">
      <alignment horizontal="center" vertical="center" wrapText="1"/>
    </xf>
    <xf numFmtId="0" fontId="97" fillId="42" borderId="41" xfId="735" applyFont="1" applyFill="1" applyBorder="1" applyAlignment="1">
      <alignment horizontal="center" vertical="center"/>
    </xf>
    <xf numFmtId="211" fontId="114" fillId="42" borderId="49" xfId="735" applyNumberFormat="1" applyFont="1" applyFill="1" applyBorder="1" applyAlignment="1">
      <alignment horizontal="center" vertical="center" wrapText="1"/>
    </xf>
    <xf numFmtId="2" fontId="98" fillId="0" borderId="102" xfId="735" applyNumberFormat="1" applyFont="1" applyBorder="1" applyAlignment="1">
      <alignment vertical="center"/>
    </xf>
    <xf numFmtId="170" fontId="116" fillId="0" borderId="5" xfId="1121" applyFont="1" applyBorder="1" applyAlignment="1">
      <alignment horizontal="center" vertical="center" wrapText="1"/>
    </xf>
    <xf numFmtId="43" fontId="66" fillId="0" borderId="4" xfId="1121" applyNumberFormat="1" applyFont="1" applyBorder="1" applyAlignment="1">
      <alignment horizontal="left" vertical="center"/>
    </xf>
    <xf numFmtId="43" fontId="66" fillId="0" borderId="0" xfId="1121" applyNumberFormat="1" applyFont="1" applyAlignment="1">
      <alignment horizontal="left" vertical="center"/>
    </xf>
    <xf numFmtId="43" fontId="66" fillId="0" borderId="106" xfId="1121" applyNumberFormat="1" applyFont="1" applyBorder="1" applyAlignment="1">
      <alignment vertical="center"/>
    </xf>
    <xf numFmtId="43" fontId="66" fillId="0" borderId="12" xfId="1121" applyNumberFormat="1" applyFont="1" applyBorder="1" applyAlignment="1">
      <alignment vertical="center"/>
    </xf>
    <xf numFmtId="211" fontId="114" fillId="42" borderId="98" xfId="735" applyNumberFormat="1" applyFont="1" applyFill="1" applyBorder="1" applyAlignment="1">
      <alignment horizontal="center" vertical="center" wrapText="1"/>
    </xf>
    <xf numFmtId="211" fontId="114" fillId="42" borderId="26" xfId="735" applyNumberFormat="1" applyFont="1" applyFill="1" applyBorder="1" applyAlignment="1">
      <alignment horizontal="center" vertical="center" wrapText="1"/>
    </xf>
    <xf numFmtId="0" fontId="115" fillId="0" borderId="56" xfId="735" applyFont="1" applyBorder="1" applyAlignment="1">
      <alignment horizontal="left" vertical="center"/>
    </xf>
    <xf numFmtId="0" fontId="98" fillId="0" borderId="116" xfId="735" applyFont="1" applyBorder="1" applyAlignment="1">
      <alignment vertical="center"/>
    </xf>
    <xf numFmtId="0" fontId="98" fillId="0" borderId="116" xfId="735" applyFont="1" applyBorder="1" applyAlignment="1">
      <alignment horizontal="left" vertical="center"/>
    </xf>
    <xf numFmtId="16" fontId="98" fillId="0" borderId="104" xfId="735" applyNumberFormat="1" applyFont="1" applyBorder="1" applyAlignment="1">
      <alignment horizontal="center" vertical="center"/>
    </xf>
    <xf numFmtId="0" fontId="114" fillId="42" borderId="47" xfId="735" applyFont="1" applyFill="1" applyBorder="1" applyAlignment="1">
      <alignment vertical="center"/>
    </xf>
    <xf numFmtId="0" fontId="114" fillId="42" borderId="48" xfId="735" applyFont="1" applyFill="1" applyBorder="1" applyAlignment="1">
      <alignment vertical="center"/>
    </xf>
    <xf numFmtId="0" fontId="114" fillId="42" borderId="49" xfId="735" applyFont="1" applyFill="1" applyBorder="1" applyAlignment="1">
      <alignment vertical="center"/>
    </xf>
    <xf numFmtId="0" fontId="114" fillId="42" borderId="40" xfId="735" applyFont="1" applyFill="1" applyBorder="1" applyAlignment="1">
      <alignment vertical="center"/>
    </xf>
    <xf numFmtId="0" fontId="114" fillId="42" borderId="41" xfId="735" applyFont="1" applyFill="1" applyBorder="1" applyAlignment="1">
      <alignment vertical="center"/>
    </xf>
    <xf numFmtId="0" fontId="114" fillId="42" borderId="83" xfId="735" applyFont="1" applyFill="1" applyBorder="1" applyAlignment="1">
      <alignment vertical="center"/>
    </xf>
    <xf numFmtId="0" fontId="118" fillId="0" borderId="0" xfId="0" applyFont="1" applyAlignment="1">
      <alignment vertical="top"/>
    </xf>
    <xf numFmtId="0" fontId="118" fillId="0" borderId="0" xfId="0" applyFont="1" applyAlignment="1">
      <alignment horizontal="center" vertical="top"/>
    </xf>
    <xf numFmtId="0" fontId="118" fillId="0" borderId="0" xfId="0" applyFont="1" applyAlignment="1">
      <alignment vertical="center"/>
    </xf>
    <xf numFmtId="0" fontId="119" fillId="43" borderId="29" xfId="0" applyFont="1" applyFill="1" applyBorder="1" applyAlignment="1">
      <alignment horizontal="center" vertical="center" wrapText="1"/>
    </xf>
    <xf numFmtId="0" fontId="119" fillId="43" borderId="30" xfId="0" applyFont="1" applyFill="1" applyBorder="1" applyAlignment="1">
      <alignment vertical="center" wrapText="1"/>
    </xf>
    <xf numFmtId="0" fontId="119" fillId="43" borderId="56" xfId="0" applyFont="1" applyFill="1" applyBorder="1" applyAlignment="1">
      <alignment vertical="center" wrapText="1"/>
    </xf>
    <xf numFmtId="0" fontId="118" fillId="43" borderId="40" xfId="0" applyFont="1" applyFill="1" applyBorder="1" applyAlignment="1">
      <alignment vertical="center"/>
    </xf>
    <xf numFmtId="169" fontId="119" fillId="43" borderId="42" xfId="41" applyFont="1" applyFill="1" applyBorder="1" applyAlignment="1">
      <alignment vertical="center"/>
    </xf>
    <xf numFmtId="0" fontId="118" fillId="0" borderId="121" xfId="0" applyFont="1" applyBorder="1" applyAlignment="1">
      <alignment horizontal="center" vertical="center"/>
    </xf>
    <xf numFmtId="0" fontId="118" fillId="0" borderId="121" xfId="0" applyFont="1" applyBorder="1" applyAlignment="1">
      <alignment horizontal="center" vertical="center" wrapText="1"/>
    </xf>
    <xf numFmtId="0" fontId="119" fillId="0" borderId="121" xfId="0" applyFont="1" applyBorder="1" applyAlignment="1">
      <alignment horizontal="center" vertical="center"/>
    </xf>
    <xf numFmtId="0" fontId="119" fillId="0" borderId="122" xfId="0" applyFont="1" applyBorder="1" applyAlignment="1">
      <alignment horizontal="center" vertical="center"/>
    </xf>
    <xf numFmtId="0" fontId="118" fillId="0" borderId="120" xfId="0" applyFont="1" applyBorder="1" applyAlignment="1">
      <alignment horizontal="center" vertical="center" wrapText="1"/>
    </xf>
    <xf numFmtId="0" fontId="118" fillId="0" borderId="121" xfId="0" applyFont="1" applyBorder="1" applyAlignment="1">
      <alignment horizontal="justify" vertical="center" wrapText="1"/>
    </xf>
    <xf numFmtId="2" fontId="118" fillId="0" borderId="121" xfId="0" applyNumberFormat="1" applyFont="1" applyBorder="1" applyAlignment="1">
      <alignment horizontal="center" vertical="center"/>
    </xf>
    <xf numFmtId="2" fontId="118" fillId="0" borderId="121" xfId="428" applyNumberFormat="1" applyFont="1" applyBorder="1" applyAlignment="1">
      <alignment horizontal="center" vertical="center" wrapText="1"/>
    </xf>
    <xf numFmtId="0" fontId="119" fillId="0" borderId="120" xfId="0" applyFont="1" applyBorder="1" applyAlignment="1">
      <alignment horizontal="center" vertical="center" wrapText="1"/>
    </xf>
    <xf numFmtId="0" fontId="119" fillId="0" borderId="123" xfId="0" applyFont="1" applyBorder="1" applyAlignment="1">
      <alignment vertical="center" wrapText="1"/>
    </xf>
    <xf numFmtId="174" fontId="120" fillId="0" borderId="122" xfId="0" applyNumberFormat="1" applyFont="1" applyBorder="1" applyAlignment="1">
      <alignment horizontal="right" vertical="center"/>
    </xf>
    <xf numFmtId="0" fontId="118" fillId="0" borderId="120" xfId="0" applyFont="1" applyBorder="1" applyAlignment="1">
      <alignment horizontal="center" vertical="top"/>
    </xf>
    <xf numFmtId="165" fontId="119" fillId="43" borderId="51" xfId="0" applyNumberFormat="1" applyFont="1" applyFill="1" applyBorder="1" applyAlignment="1">
      <alignment vertical="center" wrapText="1"/>
    </xf>
    <xf numFmtId="169" fontId="118" fillId="0" borderId="122" xfId="41" applyFont="1" applyFill="1" applyBorder="1" applyAlignment="1">
      <alignment horizontal="right" vertical="center" wrapText="1"/>
    </xf>
    <xf numFmtId="0" fontId="65" fillId="40" borderId="0" xfId="0" applyFont="1" applyFill="1" applyAlignment="1">
      <alignment horizontal="center" vertical="center"/>
    </xf>
    <xf numFmtId="0" fontId="64" fillId="2" borderId="0" xfId="0" applyFont="1" applyFill="1" applyAlignment="1">
      <alignment horizontal="center" wrapText="1"/>
    </xf>
    <xf numFmtId="0" fontId="95" fillId="2" borderId="0" xfId="0" applyFont="1" applyFill="1" applyAlignment="1">
      <alignment horizontal="center"/>
    </xf>
    <xf numFmtId="0" fontId="94" fillId="2" borderId="0" xfId="0" applyFont="1" applyFill="1" applyAlignment="1">
      <alignment horizontal="center"/>
    </xf>
    <xf numFmtId="0" fontId="63" fillId="0" borderId="47" xfId="0" applyFont="1" applyBorder="1" applyAlignment="1">
      <alignment horizontal="center" vertical="center"/>
    </xf>
    <xf numFmtId="0" fontId="63" fillId="0" borderId="49" xfId="0" applyFont="1" applyBorder="1" applyAlignment="1">
      <alignment horizontal="center" vertical="center"/>
    </xf>
    <xf numFmtId="3" fontId="107" fillId="0" borderId="26" xfId="0" applyNumberFormat="1" applyFont="1" applyBorder="1" applyAlignment="1">
      <alignment horizontal="right" vertical="center"/>
    </xf>
    <xf numFmtId="3" fontId="66" fillId="0" borderId="14" xfId="59" applyNumberFormat="1" applyFont="1" applyBorder="1" applyAlignment="1">
      <alignment vertical="center"/>
    </xf>
    <xf numFmtId="3" fontId="66" fillId="0" borderId="57" xfId="59" applyNumberFormat="1" applyFont="1" applyBorder="1" applyAlignment="1">
      <alignment vertical="center"/>
    </xf>
    <xf numFmtId="0" fontId="3" fillId="25" borderId="13" xfId="59" applyFont="1" applyFill="1" applyBorder="1" applyAlignment="1">
      <alignment horizontal="center" vertical="center"/>
    </xf>
    <xf numFmtId="0" fontId="3" fillId="25" borderId="14" xfId="59" applyFont="1" applyFill="1" applyBorder="1" applyAlignment="1">
      <alignment horizontal="center" vertical="center"/>
    </xf>
    <xf numFmtId="0" fontId="3" fillId="25" borderId="38" xfId="59" applyFont="1" applyFill="1" applyBorder="1" applyAlignment="1">
      <alignment horizontal="center" vertical="center"/>
    </xf>
    <xf numFmtId="0" fontId="3" fillId="25" borderId="16" xfId="59" applyFont="1" applyFill="1" applyBorder="1" applyAlignment="1">
      <alignment horizontal="center" vertical="center"/>
    </xf>
    <xf numFmtId="0" fontId="3" fillId="25" borderId="34" xfId="59" applyFont="1" applyFill="1" applyBorder="1" applyAlignment="1">
      <alignment horizontal="center" vertical="center"/>
    </xf>
    <xf numFmtId="0" fontId="3" fillId="25" borderId="57" xfId="59" applyFont="1" applyFill="1" applyBorder="1" applyAlignment="1">
      <alignment horizontal="center" vertical="center"/>
    </xf>
    <xf numFmtId="4" fontId="32" fillId="0" borderId="13" xfId="59" applyNumberFormat="1" applyFont="1" applyBorder="1" applyAlignment="1">
      <alignment horizontal="center" vertical="center"/>
    </xf>
    <xf numFmtId="4" fontId="32" fillId="0" borderId="14" xfId="59" applyNumberFormat="1" applyFont="1" applyBorder="1" applyAlignment="1">
      <alignment horizontal="center" vertical="center"/>
    </xf>
    <xf numFmtId="4" fontId="32" fillId="0" borderId="57" xfId="59" applyNumberFormat="1" applyFont="1" applyBorder="1" applyAlignment="1">
      <alignment horizontal="center" vertical="center"/>
    </xf>
    <xf numFmtId="0" fontId="17" fillId="25" borderId="13" xfId="59" applyFont="1" applyFill="1" applyBorder="1" applyAlignment="1">
      <alignment horizontal="center" vertical="center"/>
    </xf>
    <xf numFmtId="0" fontId="17" fillId="25" borderId="14" xfId="59" applyFont="1" applyFill="1" applyBorder="1" applyAlignment="1">
      <alignment horizontal="center" vertical="center"/>
    </xf>
    <xf numFmtId="0" fontId="17" fillId="25" borderId="57" xfId="59" applyFont="1" applyFill="1" applyBorder="1" applyAlignment="1">
      <alignment horizontal="center" vertical="center"/>
    </xf>
    <xf numFmtId="0" fontId="17" fillId="25" borderId="38" xfId="59" applyFont="1" applyFill="1" applyBorder="1" applyAlignment="1">
      <alignment horizontal="center" vertical="center"/>
    </xf>
    <xf numFmtId="0" fontId="17" fillId="25" borderId="16" xfId="59" applyFont="1" applyFill="1" applyBorder="1" applyAlignment="1">
      <alignment horizontal="center" vertical="center"/>
    </xf>
    <xf numFmtId="0" fontId="17" fillId="25" borderId="34" xfId="59" applyFont="1" applyFill="1" applyBorder="1" applyAlignment="1">
      <alignment horizontal="center" vertical="center"/>
    </xf>
    <xf numFmtId="0" fontId="17" fillId="0" borderId="13" xfId="59" applyFont="1" applyBorder="1" applyAlignment="1">
      <alignment horizontal="center" vertical="center"/>
    </xf>
    <xf numFmtId="0" fontId="17" fillId="0" borderId="14" xfId="59" applyFont="1" applyBorder="1" applyAlignment="1">
      <alignment horizontal="center" vertical="center"/>
    </xf>
    <xf numFmtId="0" fontId="17" fillId="0" borderId="57" xfId="59" applyFont="1" applyBorder="1" applyAlignment="1">
      <alignment horizontal="center" vertical="center"/>
    </xf>
    <xf numFmtId="0" fontId="17" fillId="25" borderId="50" xfId="59" applyFont="1" applyFill="1" applyBorder="1" applyAlignment="1">
      <alignment horizontal="center" vertical="center"/>
    </xf>
    <xf numFmtId="0" fontId="17" fillId="25" borderId="31" xfId="59" applyFont="1" applyFill="1" applyBorder="1" applyAlignment="1">
      <alignment horizontal="center" vertical="center"/>
    </xf>
    <xf numFmtId="0" fontId="17" fillId="25" borderId="51" xfId="59" applyFont="1" applyFill="1" applyBorder="1" applyAlignment="1">
      <alignment horizontal="center" vertical="center"/>
    </xf>
    <xf numFmtId="0" fontId="17" fillId="25" borderId="29" xfId="59" applyFont="1" applyFill="1" applyBorder="1" applyAlignment="1">
      <alignment horizontal="center" vertical="center"/>
    </xf>
    <xf numFmtId="0" fontId="17" fillId="25" borderId="30" xfId="59" applyFont="1" applyFill="1" applyBorder="1" applyAlignment="1">
      <alignment horizontal="center" vertical="center"/>
    </xf>
    <xf numFmtId="0" fontId="17" fillId="25" borderId="66" xfId="59" applyFont="1" applyFill="1" applyBorder="1" applyAlignment="1">
      <alignment horizontal="center" vertical="center"/>
    </xf>
    <xf numFmtId="0" fontId="17" fillId="0" borderId="29" xfId="59" applyFont="1" applyBorder="1" applyAlignment="1">
      <alignment horizontal="center" vertical="center"/>
    </xf>
    <xf numFmtId="0" fontId="17" fillId="0" borderId="30" xfId="59" applyFont="1" applyBorder="1" applyAlignment="1">
      <alignment horizontal="center" vertical="center"/>
    </xf>
    <xf numFmtId="0" fontId="17" fillId="0" borderId="66" xfId="59" applyFont="1" applyBorder="1" applyAlignment="1">
      <alignment horizontal="center" vertical="center"/>
    </xf>
    <xf numFmtId="3" fontId="66" fillId="0" borderId="13" xfId="59" applyNumberFormat="1" applyFont="1" applyBorder="1" applyAlignment="1">
      <alignment vertical="center"/>
    </xf>
    <xf numFmtId="3" fontId="66" fillId="0" borderId="38" xfId="59" applyNumberFormat="1" applyFont="1" applyBorder="1" applyAlignment="1">
      <alignment vertical="center"/>
    </xf>
    <xf numFmtId="3" fontId="66" fillId="0" borderId="16" xfId="59" applyNumberFormat="1" applyFont="1" applyBorder="1" applyAlignment="1">
      <alignment vertical="center"/>
    </xf>
    <xf numFmtId="3" fontId="66" fillId="0" borderId="34" xfId="59" applyNumberFormat="1" applyFont="1" applyBorder="1" applyAlignment="1">
      <alignment vertical="center"/>
    </xf>
    <xf numFmtId="0" fontId="3" fillId="25" borderId="15" xfId="59" applyFont="1" applyFill="1" applyBorder="1" applyAlignment="1">
      <alignment horizontal="center" vertical="center"/>
    </xf>
    <xf numFmtId="0" fontId="61" fillId="0" borderId="73" xfId="0" applyFont="1" applyBorder="1" applyAlignment="1">
      <alignment horizontal="center" vertical="center" wrapText="1"/>
    </xf>
    <xf numFmtId="0" fontId="61" fillId="0" borderId="72" xfId="0" applyFont="1" applyBorder="1" applyAlignment="1">
      <alignment horizontal="center" vertical="center" wrapText="1"/>
    </xf>
    <xf numFmtId="0" fontId="61" fillId="0" borderId="73" xfId="0" applyFont="1" applyBorder="1" applyAlignment="1">
      <alignment horizontal="left" vertical="center" wrapText="1"/>
    </xf>
    <xf numFmtId="0" fontId="61" fillId="0" borderId="72" xfId="0" applyFont="1" applyBorder="1" applyAlignment="1">
      <alignment horizontal="left" vertical="center" wrapText="1"/>
    </xf>
    <xf numFmtId="4" fontId="66" fillId="0" borderId="73" xfId="59" applyNumberFormat="1" applyFont="1" applyBorder="1" applyAlignment="1">
      <alignment horizontal="right" vertical="center"/>
    </xf>
    <xf numFmtId="4" fontId="66" fillId="0" borderId="72" xfId="59" applyNumberFormat="1" applyFont="1" applyBorder="1" applyAlignment="1">
      <alignment horizontal="right" vertical="center"/>
    </xf>
    <xf numFmtId="4" fontId="32" fillId="25" borderId="13" xfId="59" applyNumberFormat="1" applyFont="1" applyFill="1" applyBorder="1" applyAlignment="1">
      <alignment horizontal="center" vertical="center"/>
    </xf>
    <xf numFmtId="4" fontId="32" fillId="25" borderId="14" xfId="59" applyNumberFormat="1" applyFont="1" applyFill="1" applyBorder="1" applyAlignment="1">
      <alignment horizontal="center" vertical="center"/>
    </xf>
    <xf numFmtId="4" fontId="32" fillId="25" borderId="57" xfId="59" applyNumberFormat="1" applyFont="1" applyFill="1" applyBorder="1" applyAlignment="1">
      <alignment horizontal="center" vertical="center"/>
    </xf>
    <xf numFmtId="0" fontId="61" fillId="0" borderId="73" xfId="0" applyFont="1" applyBorder="1" applyAlignment="1">
      <alignment vertical="center" wrapText="1"/>
    </xf>
    <xf numFmtId="0" fontId="61" fillId="0" borderId="72" xfId="0" applyFont="1" applyBorder="1" applyAlignment="1">
      <alignment vertical="center" wrapText="1"/>
    </xf>
    <xf numFmtId="4" fontId="66" fillId="0" borderId="36" xfId="59" applyNumberFormat="1" applyFont="1" applyBorder="1" applyAlignment="1">
      <alignment vertical="center"/>
    </xf>
    <xf numFmtId="0" fontId="61" fillId="2" borderId="0" xfId="0" applyFont="1" applyFill="1" applyAlignment="1">
      <alignment horizontal="left" vertical="center" wrapText="1"/>
    </xf>
    <xf numFmtId="0" fontId="61" fillId="0" borderId="18" xfId="0" applyFont="1" applyBorder="1" applyAlignment="1">
      <alignment horizontal="center" vertical="center" wrapText="1"/>
    </xf>
    <xf numFmtId="0" fontId="61" fillId="0" borderId="18" xfId="0" applyFont="1" applyBorder="1" applyAlignment="1">
      <alignment vertical="center" wrapText="1"/>
    </xf>
    <xf numFmtId="4" fontId="66" fillId="0" borderId="72" xfId="59" applyNumberFormat="1" applyFont="1" applyBorder="1" applyAlignment="1">
      <alignment vertical="center"/>
    </xf>
    <xf numFmtId="4" fontId="66" fillId="0" borderId="73" xfId="59" applyNumberFormat="1" applyFont="1" applyBorder="1" applyAlignment="1">
      <alignment vertical="center"/>
    </xf>
    <xf numFmtId="0" fontId="65" fillId="2" borderId="0" xfId="0" applyFont="1" applyFill="1" applyAlignment="1">
      <alignment horizontal="center" vertical="center"/>
    </xf>
    <xf numFmtId="0" fontId="3" fillId="0" borderId="13" xfId="59" applyFont="1" applyBorder="1" applyAlignment="1">
      <alignment horizontal="center" vertical="center"/>
    </xf>
    <xf numFmtId="0" fontId="3" fillId="0" borderId="14" xfId="59" applyFont="1" applyBorder="1" applyAlignment="1">
      <alignment horizontal="center" vertical="center"/>
    </xf>
    <xf numFmtId="0" fontId="3" fillId="0" borderId="57" xfId="59" applyFont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67" xfId="0" applyBorder="1" applyAlignment="1">
      <alignment horizontal="center"/>
    </xf>
    <xf numFmtId="0" fontId="54" fillId="2" borderId="0" xfId="0" applyFont="1" applyFill="1" applyAlignment="1">
      <alignment horizontal="left" vertical="center"/>
    </xf>
    <xf numFmtId="0" fontId="54" fillId="0" borderId="0" xfId="0" applyFont="1" applyAlignment="1">
      <alignment horizontal="center"/>
    </xf>
    <xf numFmtId="0" fontId="28" fillId="0" borderId="35" xfId="0" applyFont="1" applyBorder="1" applyAlignment="1">
      <alignment horizontal="center" wrapText="1"/>
    </xf>
    <xf numFmtId="0" fontId="28" fillId="0" borderId="33" xfId="0" applyFont="1" applyBorder="1" applyAlignment="1">
      <alignment horizontal="center"/>
    </xf>
    <xf numFmtId="0" fontId="28" fillId="0" borderId="37" xfId="0" applyFont="1" applyBorder="1" applyAlignment="1">
      <alignment horizontal="center"/>
    </xf>
    <xf numFmtId="0" fontId="54" fillId="0" borderId="38" xfId="0" applyFont="1" applyBorder="1" applyAlignment="1">
      <alignment horizontal="center"/>
    </xf>
    <xf numFmtId="0" fontId="54" fillId="0" borderId="16" xfId="0" applyFont="1" applyBorder="1" applyAlignment="1">
      <alignment horizontal="center"/>
    </xf>
    <xf numFmtId="0" fontId="54" fillId="0" borderId="34" xfId="0" applyFont="1" applyBorder="1" applyAlignment="1">
      <alignment horizontal="center"/>
    </xf>
    <xf numFmtId="0" fontId="54" fillId="0" borderId="38" xfId="0" applyFont="1" applyBorder="1" applyAlignment="1">
      <alignment horizontal="center" vertical="center" wrapText="1"/>
    </xf>
    <xf numFmtId="0" fontId="54" fillId="0" borderId="16" xfId="0" applyFont="1" applyBorder="1" applyAlignment="1">
      <alignment horizontal="center" vertical="center" wrapText="1"/>
    </xf>
    <xf numFmtId="0" fontId="54" fillId="0" borderId="34" xfId="0" applyFont="1" applyBorder="1" applyAlignment="1">
      <alignment horizontal="center" vertical="center" wrapText="1"/>
    </xf>
    <xf numFmtId="0" fontId="54" fillId="0" borderId="0" xfId="0" applyFont="1" applyAlignment="1">
      <alignment horizontal="left" vertical="center"/>
    </xf>
    <xf numFmtId="0" fontId="53" fillId="0" borderId="0" xfId="0" applyFont="1" applyAlignment="1">
      <alignment horizontal="left" vertical="center"/>
    </xf>
    <xf numFmtId="0" fontId="58" fillId="0" borderId="30" xfId="0" applyFont="1" applyBorder="1" applyAlignment="1">
      <alignment horizontal="right"/>
    </xf>
    <xf numFmtId="0" fontId="54" fillId="0" borderId="0" xfId="0" applyFont="1" applyAlignment="1">
      <alignment horizontal="right"/>
    </xf>
    <xf numFmtId="0" fontId="25" fillId="2" borderId="46" xfId="174" applyFont="1" applyFill="1" applyBorder="1" applyAlignment="1">
      <alignment horizontal="center" vertical="center" wrapText="1"/>
    </xf>
    <xf numFmtId="0" fontId="25" fillId="2" borderId="44" xfId="174" applyFont="1" applyFill="1" applyBorder="1" applyAlignment="1">
      <alignment horizontal="center" vertical="center" wrapText="1"/>
    </xf>
    <xf numFmtId="0" fontId="25" fillId="2" borderId="45" xfId="174" applyFont="1" applyFill="1" applyBorder="1" applyAlignment="1">
      <alignment horizontal="center" vertical="center" wrapText="1"/>
    </xf>
    <xf numFmtId="0" fontId="25" fillId="2" borderId="69" xfId="174" applyFont="1" applyFill="1" applyBorder="1" applyAlignment="1">
      <alignment horizontal="center" vertical="center" wrapText="1"/>
    </xf>
    <xf numFmtId="0" fontId="25" fillId="2" borderId="30" xfId="174" applyFont="1" applyFill="1" applyBorder="1" applyAlignment="1">
      <alignment horizontal="center" vertical="center" wrapText="1"/>
    </xf>
    <xf numFmtId="0" fontId="25" fillId="2" borderId="56" xfId="174" applyFont="1" applyFill="1" applyBorder="1" applyAlignment="1">
      <alignment horizontal="center" vertical="center" wrapText="1"/>
    </xf>
    <xf numFmtId="0" fontId="105" fillId="2" borderId="46" xfId="174" applyFont="1" applyFill="1" applyBorder="1" applyAlignment="1">
      <alignment horizontal="center" vertical="center" wrapText="1"/>
    </xf>
    <xf numFmtId="0" fontId="105" fillId="2" borderId="44" xfId="174" applyFont="1" applyFill="1" applyBorder="1" applyAlignment="1">
      <alignment horizontal="center" vertical="center" wrapText="1"/>
    </xf>
    <xf numFmtId="0" fontId="105" fillId="2" borderId="45" xfId="174" applyFont="1" applyFill="1" applyBorder="1" applyAlignment="1">
      <alignment horizontal="center" vertical="center" wrapText="1"/>
    </xf>
    <xf numFmtId="0" fontId="105" fillId="2" borderId="69" xfId="174" applyFont="1" applyFill="1" applyBorder="1" applyAlignment="1">
      <alignment horizontal="center" vertical="center" wrapText="1"/>
    </xf>
    <xf numFmtId="0" fontId="105" fillId="2" borderId="30" xfId="174" applyFont="1" applyFill="1" applyBorder="1" applyAlignment="1">
      <alignment horizontal="center" vertical="center" wrapText="1"/>
    </xf>
    <xf numFmtId="0" fontId="105" fillId="2" borderId="56" xfId="174" applyFont="1" applyFill="1" applyBorder="1" applyAlignment="1">
      <alignment horizontal="center" vertical="center" wrapText="1"/>
    </xf>
    <xf numFmtId="0" fontId="6" fillId="2" borderId="16" xfId="174" applyFont="1" applyFill="1" applyBorder="1" applyAlignment="1">
      <alignment vertical="center" wrapText="1"/>
    </xf>
    <xf numFmtId="0" fontId="1" fillId="2" borderId="16" xfId="174" applyFill="1" applyBorder="1" applyAlignment="1">
      <alignment vertical="center" wrapText="1"/>
    </xf>
    <xf numFmtId="0" fontId="23" fillId="0" borderId="0" xfId="1119" applyFont="1" applyAlignment="1">
      <alignment horizontal="left" vertical="center" wrapText="1" indent="1"/>
    </xf>
    <xf numFmtId="0" fontId="101" fillId="2" borderId="0" xfId="174" applyFont="1" applyFill="1" applyAlignment="1">
      <alignment horizontal="justify" vertical="center" wrapText="1"/>
    </xf>
    <xf numFmtId="0" fontId="104" fillId="2" borderId="0" xfId="174" applyFont="1" applyFill="1" applyAlignment="1">
      <alignment horizontal="justify" vertical="center" wrapText="1"/>
    </xf>
    <xf numFmtId="210" fontId="6" fillId="2" borderId="84" xfId="175" applyNumberFormat="1" applyFont="1" applyFill="1" applyBorder="1" applyAlignment="1">
      <alignment horizontal="center" vertical="center" wrapText="1"/>
    </xf>
    <xf numFmtId="210" fontId="6" fillId="2" borderId="85" xfId="175" applyNumberFormat="1" applyFont="1" applyFill="1" applyBorder="1" applyAlignment="1">
      <alignment horizontal="center" vertical="center" wrapText="1"/>
    </xf>
    <xf numFmtId="210" fontId="6" fillId="2" borderId="86" xfId="175" applyNumberFormat="1" applyFont="1" applyFill="1" applyBorder="1" applyAlignment="1">
      <alignment horizontal="center" vertical="center" wrapText="1"/>
    </xf>
    <xf numFmtId="0" fontId="1" fillId="2" borderId="87" xfId="174" applyFill="1" applyBorder="1" applyAlignment="1">
      <alignment horizontal="center" vertical="center" wrapText="1"/>
    </xf>
    <xf numFmtId="0" fontId="1" fillId="2" borderId="88" xfId="174" applyFill="1" applyBorder="1" applyAlignment="1">
      <alignment horizontal="center" vertical="center" wrapText="1"/>
    </xf>
    <xf numFmtId="0" fontId="1" fillId="2" borderId="89" xfId="174" applyFill="1" applyBorder="1" applyAlignment="1">
      <alignment horizontal="center" vertical="center" wrapText="1"/>
    </xf>
    <xf numFmtId="0" fontId="106" fillId="0" borderId="35" xfId="29" applyFont="1" applyBorder="1" applyAlignment="1">
      <alignment horizontal="center" wrapText="1"/>
    </xf>
    <xf numFmtId="0" fontId="106" fillId="0" borderId="33" xfId="29" applyFont="1" applyBorder="1" applyAlignment="1">
      <alignment horizontal="center"/>
    </xf>
    <xf numFmtId="0" fontId="106" fillId="0" borderId="37" xfId="29" applyFont="1" applyBorder="1" applyAlignment="1">
      <alignment horizontal="center"/>
    </xf>
    <xf numFmtId="0" fontId="14" fillId="0" borderId="4" xfId="2" applyFont="1" applyBorder="1" applyAlignment="1">
      <alignment horizontal="center"/>
    </xf>
    <xf numFmtId="0" fontId="14" fillId="0" borderId="0" xfId="2" applyFont="1" applyAlignment="1">
      <alignment horizontal="center"/>
    </xf>
    <xf numFmtId="0" fontId="14" fillId="0" borderId="5" xfId="2" applyFont="1" applyBorder="1" applyAlignment="1">
      <alignment horizontal="center"/>
    </xf>
    <xf numFmtId="0" fontId="14" fillId="0" borderId="38" xfId="2" applyFont="1" applyBorder="1" applyAlignment="1">
      <alignment horizontal="center" vertical="center" wrapText="1"/>
    </xf>
    <xf numFmtId="0" fontId="14" fillId="0" borderId="16" xfId="2" applyFont="1" applyBorder="1" applyAlignment="1">
      <alignment horizontal="center" vertical="center" wrapText="1"/>
    </xf>
    <xf numFmtId="0" fontId="14" fillId="0" borderId="34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/>
    </xf>
    <xf numFmtId="0" fontId="6" fillId="0" borderId="0" xfId="2" applyFont="1" applyAlignment="1">
      <alignment horizontal="center"/>
    </xf>
    <xf numFmtId="0" fontId="106" fillId="0" borderId="9" xfId="0" applyFont="1" applyBorder="1" applyAlignment="1">
      <alignment horizontal="center" vertical="center" wrapText="1"/>
    </xf>
    <xf numFmtId="0" fontId="106" fillId="0" borderId="10" xfId="0" applyFont="1" applyBorder="1" applyAlignment="1">
      <alignment horizontal="center" vertical="center"/>
    </xf>
    <xf numFmtId="0" fontId="106" fillId="0" borderId="32" xfId="0" applyFont="1" applyBorder="1" applyAlignment="1">
      <alignment horizontal="center" vertical="center"/>
    </xf>
    <xf numFmtId="0" fontId="28" fillId="0" borderId="14" xfId="29" applyFont="1" applyBorder="1" applyAlignment="1">
      <alignment horizontal="center" vertical="center" wrapText="1"/>
    </xf>
    <xf numFmtId="0" fontId="28" fillId="0" borderId="15" xfId="29" applyFont="1" applyBorder="1" applyAlignment="1">
      <alignment horizontal="center" vertical="center" wrapText="1"/>
    </xf>
    <xf numFmtId="0" fontId="14" fillId="0" borderId="17" xfId="2" applyFont="1" applyBorder="1" applyAlignment="1">
      <alignment horizontal="center" vertical="center" wrapText="1"/>
    </xf>
    <xf numFmtId="0" fontId="14" fillId="0" borderId="14" xfId="2" applyFont="1" applyBorder="1" applyAlignment="1">
      <alignment horizontal="center" vertical="center" wrapText="1"/>
    </xf>
    <xf numFmtId="0" fontId="14" fillId="0" borderId="15" xfId="2" applyFont="1" applyBorder="1" applyAlignment="1">
      <alignment horizontal="center" vertical="center" wrapText="1"/>
    </xf>
    <xf numFmtId="0" fontId="31" fillId="0" borderId="16" xfId="775" applyFont="1" applyBorder="1" applyAlignment="1">
      <alignment horizontal="center" vertical="center" wrapText="1"/>
    </xf>
    <xf numFmtId="0" fontId="28" fillId="0" borderId="16" xfId="775" applyFont="1" applyBorder="1" applyAlignment="1">
      <alignment horizontal="center" vertical="center"/>
    </xf>
    <xf numFmtId="0" fontId="17" fillId="0" borderId="16" xfId="775" applyFont="1" applyBorder="1" applyAlignment="1">
      <alignment horizontal="center" vertical="center" wrapText="1"/>
    </xf>
    <xf numFmtId="0" fontId="31" fillId="0" borderId="47" xfId="775" applyFont="1" applyBorder="1" applyAlignment="1">
      <alignment horizontal="center" vertical="center"/>
    </xf>
    <xf numFmtId="0" fontId="31" fillId="0" borderId="49" xfId="775" applyFont="1" applyBorder="1" applyAlignment="1">
      <alignment horizontal="center" vertical="center"/>
    </xf>
    <xf numFmtId="0" fontId="31" fillId="0" borderId="0" xfId="775" applyFont="1" applyAlignment="1">
      <alignment horizontal="right" vertical="center" wrapText="1"/>
    </xf>
    <xf numFmtId="0" fontId="31" fillId="0" borderId="31" xfId="775" applyFont="1" applyBorder="1" applyAlignment="1">
      <alignment horizontal="center" vertical="center" wrapText="1"/>
    </xf>
    <xf numFmtId="0" fontId="119" fillId="0" borderId="1" xfId="0" applyFont="1" applyBorder="1" applyAlignment="1">
      <alignment horizontal="center" vertical="center" wrapText="1"/>
    </xf>
    <xf numFmtId="0" fontId="119" fillId="0" borderId="2" xfId="0" applyFont="1" applyBorder="1" applyAlignment="1">
      <alignment horizontal="center" vertical="center" wrapText="1"/>
    </xf>
    <xf numFmtId="0" fontId="119" fillId="0" borderId="3" xfId="0" applyFont="1" applyBorder="1" applyAlignment="1">
      <alignment horizontal="center" vertical="center" wrapText="1"/>
    </xf>
    <xf numFmtId="0" fontId="119" fillId="0" borderId="98" xfId="0" applyFont="1" applyBorder="1" applyAlignment="1">
      <alignment horizontal="center" vertical="center" wrapText="1"/>
    </xf>
    <xf numFmtId="0" fontId="119" fillId="0" borderId="99" xfId="0" applyFont="1" applyBorder="1" applyAlignment="1">
      <alignment horizontal="center" vertical="center" wrapText="1"/>
    </xf>
    <xf numFmtId="0" fontId="119" fillId="0" borderId="100" xfId="0" applyFont="1" applyBorder="1" applyAlignment="1">
      <alignment horizontal="center" vertical="center" wrapText="1"/>
    </xf>
    <xf numFmtId="0" fontId="119" fillId="0" borderId="121" xfId="0" applyFont="1" applyBorder="1" applyAlignment="1">
      <alignment horizontal="left" vertical="center"/>
    </xf>
    <xf numFmtId="0" fontId="119" fillId="43" borderId="82" xfId="0" applyFont="1" applyFill="1" applyBorder="1" applyAlignment="1">
      <alignment horizontal="center" vertical="center"/>
    </xf>
    <xf numFmtId="0" fontId="119" fillId="43" borderId="48" xfId="0" applyFont="1" applyFill="1" applyBorder="1" applyAlignment="1">
      <alignment horizontal="center" vertical="center"/>
    </xf>
    <xf numFmtId="0" fontId="119" fillId="43" borderId="83" xfId="0" applyFont="1" applyFill="1" applyBorder="1" applyAlignment="1">
      <alignment horizontal="center" vertical="center"/>
    </xf>
    <xf numFmtId="0" fontId="119" fillId="0" borderId="35" xfId="0" applyFont="1" applyBorder="1" applyAlignment="1">
      <alignment horizontal="center" vertical="center"/>
    </xf>
    <xf numFmtId="0" fontId="119" fillId="0" borderId="120" xfId="0" applyFont="1" applyBorder="1" applyAlignment="1">
      <alignment horizontal="center" vertical="center"/>
    </xf>
    <xf numFmtId="0" fontId="119" fillId="0" borderId="33" xfId="0" applyFont="1" applyBorder="1" applyAlignment="1">
      <alignment horizontal="center" vertical="center"/>
    </xf>
    <xf numFmtId="0" fontId="119" fillId="0" borderId="121" xfId="0" applyFont="1" applyBorder="1" applyAlignment="1">
      <alignment horizontal="center" vertical="center"/>
    </xf>
    <xf numFmtId="0" fontId="119" fillId="0" borderId="37" xfId="0" applyFont="1" applyBorder="1" applyAlignment="1">
      <alignment horizontal="center" vertical="center"/>
    </xf>
    <xf numFmtId="0" fontId="119" fillId="43" borderId="47" xfId="0" applyFont="1" applyFill="1" applyBorder="1" applyAlignment="1">
      <alignment horizontal="center" vertical="center"/>
    </xf>
    <xf numFmtId="0" fontId="119" fillId="43" borderId="49" xfId="0" applyFont="1" applyFill="1" applyBorder="1" applyAlignment="1">
      <alignment horizontal="center" vertical="center"/>
    </xf>
    <xf numFmtId="0" fontId="98" fillId="0" borderId="106" xfId="735" applyFont="1" applyBorder="1" applyAlignment="1">
      <alignment horizontal="center" vertical="center"/>
    </xf>
    <xf numFmtId="0" fontId="98" fillId="0" borderId="112" xfId="735" applyFont="1" applyBorder="1" applyAlignment="1">
      <alignment horizontal="center" vertical="center"/>
    </xf>
    <xf numFmtId="0" fontId="59" fillId="42" borderId="47" xfId="735" applyFont="1" applyFill="1" applyBorder="1" applyAlignment="1">
      <alignment horizontal="center" vertical="center"/>
    </xf>
    <xf numFmtId="0" fontId="59" fillId="42" borderId="48" xfId="735" applyFont="1" applyFill="1" applyBorder="1" applyAlignment="1">
      <alignment horizontal="center" vertical="center"/>
    </xf>
    <xf numFmtId="0" fontId="59" fillId="42" borderId="49" xfId="735" applyFont="1" applyFill="1" applyBorder="1" applyAlignment="1">
      <alignment horizontal="center" vertical="center"/>
    </xf>
    <xf numFmtId="2" fontId="114" fillId="42" borderId="2" xfId="735" applyNumberFormat="1" applyFont="1" applyFill="1" applyBorder="1" applyAlignment="1">
      <alignment horizontal="center" vertical="center" wrapText="1"/>
    </xf>
    <xf numFmtId="2" fontId="114" fillId="42" borderId="99" xfId="735" applyNumberFormat="1" applyFont="1" applyFill="1" applyBorder="1" applyAlignment="1">
      <alignment horizontal="center" vertical="center" wrapText="1"/>
    </xf>
    <xf numFmtId="43" fontId="66" fillId="0" borderId="47" xfId="1121" applyNumberFormat="1" applyFont="1" applyBorder="1" applyAlignment="1">
      <alignment horizontal="right" vertical="center"/>
    </xf>
    <xf numFmtId="43" fontId="66" fillId="0" borderId="48" xfId="1121" applyNumberFormat="1" applyFont="1" applyBorder="1" applyAlignment="1">
      <alignment horizontal="right" vertical="center"/>
    </xf>
    <xf numFmtId="43" fontId="66" fillId="0" borderId="49" xfId="1121" applyNumberFormat="1" applyFont="1" applyBorder="1" applyAlignment="1">
      <alignment horizontal="right" vertical="center"/>
    </xf>
    <xf numFmtId="43" fontId="59" fillId="0" borderId="40" xfId="1121" applyNumberFormat="1" applyFont="1" applyBorder="1" applyAlignment="1">
      <alignment horizontal="right" vertical="center"/>
    </xf>
    <xf numFmtId="43" fontId="59" fillId="0" borderId="83" xfId="1121" applyNumberFormat="1" applyFont="1" applyBorder="1" applyAlignment="1">
      <alignment horizontal="right" vertical="center"/>
    </xf>
    <xf numFmtId="43" fontId="59" fillId="0" borderId="41" xfId="1121" applyNumberFormat="1" applyFont="1" applyBorder="1" applyAlignment="1">
      <alignment horizontal="right" vertical="center"/>
    </xf>
    <xf numFmtId="43" fontId="59" fillId="0" borderId="42" xfId="1121" applyNumberFormat="1" applyFont="1" applyBorder="1" applyAlignment="1">
      <alignment horizontal="right" vertical="center"/>
    </xf>
    <xf numFmtId="0" fontId="97" fillId="42" borderId="47" xfId="735" applyFont="1" applyFill="1" applyBorder="1" applyAlignment="1">
      <alignment horizontal="center" vertical="center"/>
    </xf>
    <xf numFmtId="0" fontId="97" fillId="42" borderId="48" xfId="735" applyFont="1" applyFill="1" applyBorder="1" applyAlignment="1">
      <alignment horizontal="center" vertical="center"/>
    </xf>
    <xf numFmtId="0" fontId="97" fillId="42" borderId="49" xfId="735" applyFont="1" applyFill="1" applyBorder="1" applyAlignment="1">
      <alignment horizontal="center" vertical="center"/>
    </xf>
    <xf numFmtId="0" fontId="97" fillId="0" borderId="1" xfId="735" applyFont="1" applyBorder="1" applyAlignment="1">
      <alignment horizontal="center" vertical="center"/>
    </xf>
    <xf numFmtId="0" fontId="97" fillId="0" borderId="2" xfId="735" applyFont="1" applyBorder="1" applyAlignment="1">
      <alignment horizontal="center" vertical="center"/>
    </xf>
    <xf numFmtId="0" fontId="97" fillId="0" borderId="3" xfId="735" applyFont="1" applyBorder="1" applyAlignment="1">
      <alignment horizontal="center" vertical="center"/>
    </xf>
    <xf numFmtId="0" fontId="97" fillId="0" borderId="4" xfId="735" applyFont="1" applyBorder="1" applyAlignment="1">
      <alignment horizontal="center" vertical="center"/>
    </xf>
    <xf numFmtId="0" fontId="97" fillId="0" borderId="0" xfId="735" applyFont="1" applyAlignment="1">
      <alignment horizontal="center" vertical="center"/>
    </xf>
    <xf numFmtId="0" fontId="97" fillId="0" borderId="5" xfId="735" applyFont="1" applyBorder="1" applyAlignment="1">
      <alignment horizontal="center" vertical="center"/>
    </xf>
    <xf numFmtId="0" fontId="97" fillId="0" borderId="98" xfId="735" applyFont="1" applyBorder="1" applyAlignment="1">
      <alignment horizontal="center" vertical="center"/>
    </xf>
    <xf numFmtId="0" fontId="97" fillId="0" borderId="99" xfId="735" applyFont="1" applyBorder="1" applyAlignment="1">
      <alignment horizontal="center" vertical="center"/>
    </xf>
    <xf numFmtId="0" fontId="97" fillId="0" borderId="100" xfId="735" applyFont="1" applyBorder="1" applyAlignment="1">
      <alignment horizontal="center" vertical="center"/>
    </xf>
    <xf numFmtId="2" fontId="114" fillId="42" borderId="12" xfId="735" applyNumberFormat="1" applyFont="1" applyFill="1" applyBorder="1" applyAlignment="1">
      <alignment horizontal="center" vertical="center" wrapText="1"/>
    </xf>
    <xf numFmtId="2" fontId="114" fillId="42" borderId="108" xfId="735" applyNumberFormat="1" applyFont="1" applyFill="1" applyBorder="1" applyAlignment="1">
      <alignment horizontal="center" vertical="center" wrapText="1"/>
    </xf>
    <xf numFmtId="0" fontId="59" fillId="41" borderId="106" xfId="735" applyFont="1" applyFill="1" applyBorder="1" applyAlignment="1">
      <alignment horizontal="center" vertical="center" wrapText="1"/>
    </xf>
    <xf numFmtId="0" fontId="59" fillId="41" borderId="99" xfId="735" applyFont="1" applyFill="1" applyBorder="1" applyAlignment="1">
      <alignment horizontal="center" vertical="center" wrapText="1"/>
    </xf>
    <xf numFmtId="0" fontId="59" fillId="41" borderId="107" xfId="735" applyFont="1" applyFill="1" applyBorder="1" applyAlignment="1">
      <alignment horizontal="center" vertical="center" wrapText="1"/>
    </xf>
    <xf numFmtId="0" fontId="59" fillId="41" borderId="100" xfId="735" applyFont="1" applyFill="1" applyBorder="1" applyAlignment="1">
      <alignment horizontal="center" vertical="center" wrapText="1"/>
    </xf>
    <xf numFmtId="0" fontId="59" fillId="41" borderId="40" xfId="735" applyFont="1" applyFill="1" applyBorder="1" applyAlignment="1">
      <alignment horizontal="center" vertical="center"/>
    </xf>
    <xf numFmtId="0" fontId="59" fillId="41" borderId="42" xfId="735" applyFont="1" applyFill="1" applyBorder="1" applyAlignment="1">
      <alignment horizontal="center" vertical="center"/>
    </xf>
    <xf numFmtId="0" fontId="59" fillId="41" borderId="114" xfId="735" applyFont="1" applyFill="1" applyBorder="1" applyAlignment="1">
      <alignment horizontal="center" vertical="center" wrapText="1"/>
    </xf>
    <xf numFmtId="0" fontId="98" fillId="0" borderId="98" xfId="735" applyFont="1" applyBorder="1" applyAlignment="1">
      <alignment horizontal="center" vertical="center"/>
    </xf>
    <xf numFmtId="0" fontId="98" fillId="0" borderId="99" xfId="735" applyFont="1" applyBorder="1" applyAlignment="1">
      <alignment horizontal="center" vertical="center"/>
    </xf>
    <xf numFmtId="0" fontId="98" fillId="0" borderId="100" xfId="735" applyFont="1" applyBorder="1" applyAlignment="1">
      <alignment horizontal="center" vertical="center"/>
    </xf>
    <xf numFmtId="0" fontId="59" fillId="0" borderId="35" xfId="735" applyFont="1" applyBorder="1" applyAlignment="1">
      <alignment horizontal="center" vertical="center"/>
    </xf>
    <xf numFmtId="0" fontId="59" fillId="0" borderId="33" xfId="735" applyFont="1" applyBorder="1" applyAlignment="1">
      <alignment horizontal="center" vertical="center"/>
    </xf>
    <xf numFmtId="0" fontId="59" fillId="0" borderId="33" xfId="735" applyFont="1" applyBorder="1" applyAlignment="1">
      <alignment horizontal="center" vertical="center" wrapText="1"/>
    </xf>
    <xf numFmtId="0" fontId="59" fillId="0" borderId="37" xfId="735" applyFont="1" applyBorder="1" applyAlignment="1">
      <alignment horizontal="center" vertical="center" wrapText="1"/>
    </xf>
    <xf numFmtId="0" fontId="113" fillId="41" borderId="102" xfId="735" applyFont="1" applyFill="1" applyBorder="1" applyAlignment="1">
      <alignment horizontal="center" vertical="center"/>
    </xf>
    <xf numFmtId="0" fontId="98" fillId="0" borderId="1" xfId="735" applyFont="1" applyBorder="1" applyAlignment="1">
      <alignment horizontal="center" vertical="center"/>
    </xf>
    <xf numFmtId="0" fontId="98" fillId="0" borderId="2" xfId="735" applyFont="1" applyBorder="1" applyAlignment="1">
      <alignment horizontal="center" vertical="center"/>
    </xf>
    <xf numFmtId="0" fontId="98" fillId="0" borderId="3" xfId="735" applyFont="1" applyBorder="1" applyAlignment="1">
      <alignment horizontal="center" vertical="center"/>
    </xf>
    <xf numFmtId="0" fontId="98" fillId="0" borderId="4" xfId="735" applyFont="1" applyBorder="1" applyAlignment="1">
      <alignment horizontal="center" vertical="center"/>
    </xf>
    <xf numFmtId="0" fontId="98" fillId="0" borderId="0" xfId="735" applyFont="1" applyAlignment="1">
      <alignment horizontal="center" vertical="center"/>
    </xf>
    <xf numFmtId="0" fontId="98" fillId="0" borderId="5" xfId="735" applyFont="1" applyBorder="1" applyAlignment="1">
      <alignment horizontal="center" vertical="center"/>
    </xf>
    <xf numFmtId="0" fontId="110" fillId="0" borderId="2" xfId="735" applyFont="1" applyBorder="1" applyAlignment="1">
      <alignment horizontal="center" vertical="center"/>
    </xf>
    <xf numFmtId="0" fontId="110" fillId="0" borderId="3" xfId="735" applyFont="1" applyBorder="1" applyAlignment="1">
      <alignment horizontal="center" vertical="center"/>
    </xf>
    <xf numFmtId="0" fontId="110" fillId="0" borderId="99" xfId="735" applyFont="1" applyBorder="1" applyAlignment="1">
      <alignment horizontal="center" vertical="center"/>
    </xf>
    <xf numFmtId="0" fontId="110" fillId="0" borderId="100" xfId="735" applyFont="1" applyBorder="1" applyAlignment="1">
      <alignment horizontal="center" vertical="center"/>
    </xf>
    <xf numFmtId="0" fontId="61" fillId="0" borderId="11" xfId="735" applyFont="1" applyBorder="1" applyAlignment="1">
      <alignment horizontal="center" vertical="center" wrapText="1"/>
    </xf>
    <xf numFmtId="0" fontId="61" fillId="0" borderId="37" xfId="735" applyFont="1" applyBorder="1" applyAlignment="1">
      <alignment horizontal="center" vertical="center" wrapText="1"/>
    </xf>
    <xf numFmtId="0" fontId="61" fillId="0" borderId="103" xfId="735" applyFont="1" applyBorder="1" applyAlignment="1">
      <alignment horizontal="left" vertical="center" wrapText="1"/>
    </xf>
    <xf numFmtId="0" fontId="61" fillId="0" borderId="92" xfId="735" applyFont="1" applyBorder="1" applyAlignment="1">
      <alignment horizontal="left" vertical="center"/>
    </xf>
    <xf numFmtId="0" fontId="59" fillId="0" borderId="94" xfId="735" applyFont="1" applyBorder="1" applyAlignment="1">
      <alignment horizontal="center" vertical="center" wrapText="1"/>
    </xf>
    <xf numFmtId="0" fontId="59" fillId="0" borderId="113" xfId="735" applyFont="1" applyBorder="1" applyAlignment="1">
      <alignment horizontal="center" vertical="center" wrapText="1"/>
    </xf>
    <xf numFmtId="0" fontId="59" fillId="0" borderId="95" xfId="735" applyFont="1" applyBorder="1" applyAlignment="1">
      <alignment horizontal="left" vertical="center" wrapText="1"/>
    </xf>
    <xf numFmtId="0" fontId="59" fillId="0" borderId="2" xfId="735" applyFont="1" applyBorder="1" applyAlignment="1">
      <alignment horizontal="left" vertical="center" wrapText="1"/>
    </xf>
    <xf numFmtId="0" fontId="59" fillId="0" borderId="3" xfId="735" applyFont="1" applyBorder="1" applyAlignment="1">
      <alignment horizontal="left" vertical="center" wrapText="1"/>
    </xf>
    <xf numFmtId="0" fontId="59" fillId="0" borderId="55" xfId="735" applyFont="1" applyBorder="1" applyAlignment="1">
      <alignment horizontal="left" vertical="center" wrapText="1"/>
    </xf>
    <xf numFmtId="0" fontId="59" fillId="0" borderId="0" xfId="735" applyFont="1" applyAlignment="1">
      <alignment horizontal="left" vertical="center" wrapText="1"/>
    </xf>
    <xf numFmtId="0" fontId="59" fillId="0" borderId="5" xfId="735" applyFont="1" applyBorder="1" applyAlignment="1">
      <alignment horizontal="left" vertical="center" wrapText="1"/>
    </xf>
    <xf numFmtId="0" fontId="59" fillId="0" borderId="69" xfId="735" applyFont="1" applyBorder="1" applyAlignment="1">
      <alignment horizontal="left" vertical="center" wrapText="1"/>
    </xf>
    <xf numFmtId="0" fontId="59" fillId="0" borderId="30" xfId="735" applyFont="1" applyBorder="1" applyAlignment="1">
      <alignment horizontal="left" vertical="center" wrapText="1"/>
    </xf>
    <xf numFmtId="0" fontId="59" fillId="0" borderId="66" xfId="735" applyFont="1" applyBorder="1" applyAlignment="1">
      <alignment horizontal="left" vertical="center" wrapText="1"/>
    </xf>
    <xf numFmtId="0" fontId="59" fillId="0" borderId="94" xfId="735" applyFont="1" applyBorder="1" applyAlignment="1">
      <alignment horizontal="center" vertical="center"/>
    </xf>
    <xf numFmtId="0" fontId="59" fillId="0" borderId="113" xfId="735" applyFont="1" applyBorder="1" applyAlignment="1">
      <alignment horizontal="center" vertical="center"/>
    </xf>
    <xf numFmtId="0" fontId="97" fillId="0" borderId="50" xfId="735" applyFont="1" applyBorder="1" applyAlignment="1">
      <alignment horizontal="center" vertical="center" wrapText="1"/>
    </xf>
    <xf numFmtId="0" fontId="97" fillId="0" borderId="31" xfId="735" applyFont="1" applyBorder="1" applyAlignment="1">
      <alignment horizontal="center" vertical="center" wrapText="1"/>
    </xf>
    <xf numFmtId="0" fontId="97" fillId="0" borderId="94" xfId="735" applyFont="1" applyBorder="1" applyAlignment="1">
      <alignment horizontal="center" vertical="center" wrapText="1"/>
    </xf>
    <xf numFmtId="0" fontId="97" fillId="0" borderId="113" xfId="735" applyFont="1" applyBorder="1" applyAlignment="1">
      <alignment horizontal="center" vertical="center" wrapText="1"/>
    </xf>
    <xf numFmtId="0" fontId="110" fillId="0" borderId="1" xfId="735" applyFont="1" applyBorder="1" applyAlignment="1">
      <alignment horizontal="center" vertical="center"/>
    </xf>
    <xf numFmtId="0" fontId="110" fillId="0" borderId="98" xfId="735" applyFont="1" applyBorder="1" applyAlignment="1">
      <alignment horizontal="center" vertical="center"/>
    </xf>
    <xf numFmtId="0" fontId="59" fillId="0" borderId="93" xfId="735" applyFont="1" applyBorder="1" applyAlignment="1">
      <alignment horizontal="center" vertical="center" wrapText="1"/>
    </xf>
    <xf numFmtId="0" fontId="59" fillId="0" borderId="90" xfId="735" applyFont="1" applyBorder="1" applyAlignment="1">
      <alignment horizontal="center" vertical="center" wrapText="1"/>
    </xf>
    <xf numFmtId="0" fontId="59" fillId="0" borderId="91" xfId="735" applyFont="1" applyBorder="1" applyAlignment="1">
      <alignment horizontal="center" vertical="center" wrapText="1"/>
    </xf>
    <xf numFmtId="0" fontId="59" fillId="0" borderId="105" xfId="735" applyFont="1" applyBorder="1" applyAlignment="1">
      <alignment horizontal="center" vertical="center" wrapText="1"/>
    </xf>
    <xf numFmtId="0" fontId="59" fillId="0" borderId="118" xfId="735" applyFont="1" applyBorder="1" applyAlignment="1">
      <alignment horizontal="center" vertical="center" wrapText="1"/>
    </xf>
    <xf numFmtId="0" fontId="59" fillId="0" borderId="110" xfId="735" applyFont="1" applyBorder="1" applyAlignment="1">
      <alignment horizontal="center" vertical="center" wrapText="1"/>
    </xf>
    <xf numFmtId="0" fontId="59" fillId="0" borderId="96" xfId="735" applyFont="1" applyBorder="1" applyAlignment="1">
      <alignment horizontal="center" vertical="center" wrapText="1"/>
    </xf>
    <xf numFmtId="0" fontId="59" fillId="0" borderId="111" xfId="735" applyFont="1" applyBorder="1" applyAlignment="1">
      <alignment horizontal="center" vertical="center" wrapText="1"/>
    </xf>
    <xf numFmtId="0" fontId="116" fillId="0" borderId="119" xfId="735" applyFont="1" applyBorder="1" applyAlignment="1">
      <alignment horizontal="center" vertical="center"/>
    </xf>
    <xf numFmtId="0" fontId="116" fillId="0" borderId="115" xfId="735" applyFont="1" applyBorder="1" applyAlignment="1">
      <alignment horizontal="center" vertical="center"/>
    </xf>
    <xf numFmtId="0" fontId="116" fillId="0" borderId="117" xfId="735" applyFont="1" applyBorder="1" applyAlignment="1">
      <alignment horizontal="center" vertical="center"/>
    </xf>
    <xf numFmtId="0" fontId="18" fillId="0" borderId="1" xfId="2" applyFont="1" applyBorder="1" applyAlignment="1">
      <alignment horizontal="center" vertical="center"/>
    </xf>
    <xf numFmtId="0" fontId="18" fillId="0" borderId="2" xfId="2" applyFont="1" applyBorder="1" applyAlignment="1">
      <alignment horizontal="center" vertical="center"/>
    </xf>
    <xf numFmtId="0" fontId="18" fillId="0" borderId="3" xfId="2" applyFont="1" applyBorder="1" applyAlignment="1">
      <alignment horizontal="center" vertical="center"/>
    </xf>
    <xf numFmtId="0" fontId="18" fillId="0" borderId="6" xfId="2" applyFont="1" applyBorder="1" applyAlignment="1">
      <alignment horizontal="center" vertical="center"/>
    </xf>
    <xf numFmtId="0" fontId="18" fillId="0" borderId="7" xfId="2" applyFont="1" applyBorder="1" applyAlignment="1">
      <alignment horizontal="center" vertical="center"/>
    </xf>
    <xf numFmtId="0" fontId="18" fillId="0" borderId="8" xfId="2" applyFont="1" applyBorder="1" applyAlignment="1">
      <alignment horizontal="center" vertical="center"/>
    </xf>
    <xf numFmtId="0" fontId="17" fillId="0" borderId="9" xfId="2" applyFont="1" applyBorder="1" applyAlignment="1">
      <alignment horizontal="center" vertical="center"/>
    </xf>
    <xf numFmtId="0" fontId="17" fillId="0" borderId="10" xfId="2" applyFont="1" applyBorder="1" applyAlignment="1">
      <alignment horizontal="center" vertical="center"/>
    </xf>
    <xf numFmtId="0" fontId="17" fillId="0" borderId="11" xfId="2" applyFont="1" applyBorder="1" applyAlignment="1">
      <alignment horizontal="center" vertical="center"/>
    </xf>
    <xf numFmtId="0" fontId="17" fillId="0" borderId="13" xfId="2" applyFont="1" applyBorder="1" applyAlignment="1">
      <alignment horizontal="left" vertical="center"/>
    </xf>
    <xf numFmtId="0" fontId="17" fillId="0" borderId="14" xfId="2" applyFont="1" applyBorder="1" applyAlignment="1">
      <alignment horizontal="left" vertical="center"/>
    </xf>
    <xf numFmtId="0" fontId="17" fillId="0" borderId="15" xfId="2" applyFont="1" applyBorder="1" applyAlignment="1">
      <alignment horizontal="left" vertical="center"/>
    </xf>
    <xf numFmtId="0" fontId="17" fillId="0" borderId="20" xfId="2" applyFont="1" applyBorder="1" applyAlignment="1">
      <alignment horizontal="left" vertical="center"/>
    </xf>
    <xf numFmtId="0" fontId="17" fillId="0" borderId="21" xfId="2" applyFont="1" applyBorder="1" applyAlignment="1">
      <alignment horizontal="left" vertical="center"/>
    </xf>
    <xf numFmtId="0" fontId="17" fillId="0" borderId="22" xfId="2" applyFont="1" applyBorder="1" applyAlignment="1">
      <alignment horizontal="left" vertical="center"/>
    </xf>
    <xf numFmtId="0" fontId="18" fillId="0" borderId="0" xfId="2" applyFont="1" applyAlignment="1">
      <alignment horizontal="left" vertical="center" wrapText="1"/>
    </xf>
    <xf numFmtId="0" fontId="18" fillId="0" borderId="47" xfId="2" applyFont="1" applyBorder="1" applyAlignment="1">
      <alignment horizontal="center" vertical="center" wrapText="1"/>
    </xf>
    <xf numFmtId="0" fontId="18" fillId="0" borderId="48" xfId="2" applyFont="1" applyBorder="1" applyAlignment="1">
      <alignment horizontal="center" vertical="center" wrapText="1"/>
    </xf>
    <xf numFmtId="0" fontId="18" fillId="0" borderId="49" xfId="2" applyFont="1" applyBorder="1" applyAlignment="1">
      <alignment horizontal="center" vertical="center" wrapText="1"/>
    </xf>
    <xf numFmtId="0" fontId="18" fillId="0" borderId="0" xfId="2" quotePrefix="1" applyFont="1" applyAlignment="1">
      <alignment vertical="center"/>
    </xf>
    <xf numFmtId="0" fontId="18" fillId="0" borderId="0" xfId="2" quotePrefix="1" applyFont="1" applyAlignment="1">
      <alignment horizontal="left" vertical="center"/>
    </xf>
    <xf numFmtId="0" fontId="5" fillId="0" borderId="9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3" xfId="2" applyFont="1" applyBorder="1" applyAlignment="1">
      <alignment horizontal="left" vertical="center"/>
    </xf>
    <xf numFmtId="0" fontId="5" fillId="0" borderId="14" xfId="2" applyFont="1" applyBorder="1" applyAlignment="1">
      <alignment horizontal="left" vertical="center"/>
    </xf>
    <xf numFmtId="0" fontId="5" fillId="0" borderId="15" xfId="2" applyFont="1" applyBorder="1" applyAlignment="1">
      <alignment horizontal="left" vertical="center"/>
    </xf>
    <xf numFmtId="0" fontId="5" fillId="0" borderId="20" xfId="2" applyFont="1" applyBorder="1" applyAlignment="1">
      <alignment horizontal="left" vertical="center"/>
    </xf>
    <xf numFmtId="0" fontId="5" fillId="0" borderId="21" xfId="2" applyFont="1" applyBorder="1" applyAlignment="1">
      <alignment horizontal="left" vertical="center"/>
    </xf>
    <xf numFmtId="0" fontId="5" fillId="0" borderId="22" xfId="2" applyFont="1" applyBorder="1" applyAlignment="1">
      <alignment horizontal="left" vertical="center"/>
    </xf>
    <xf numFmtId="0" fontId="5" fillId="0" borderId="43" xfId="2" applyFont="1" applyBorder="1" applyAlignment="1">
      <alignment horizontal="left" vertical="center" wrapText="1"/>
    </xf>
    <xf numFmtId="0" fontId="5" fillId="0" borderId="45" xfId="2" applyFont="1" applyBorder="1" applyAlignment="1">
      <alignment horizontal="left" vertical="center" wrapText="1"/>
    </xf>
    <xf numFmtId="0" fontId="5" fillId="0" borderId="29" xfId="2" applyFont="1" applyBorder="1" applyAlignment="1">
      <alignment horizontal="left" vertical="center" wrapText="1"/>
    </xf>
    <xf numFmtId="0" fontId="5" fillId="0" borderId="56" xfId="2" applyFont="1" applyBorder="1" applyAlignment="1">
      <alignment horizontal="left" vertical="center" wrapText="1"/>
    </xf>
    <xf numFmtId="0" fontId="18" fillId="0" borderId="0" xfId="2" applyFont="1" applyAlignment="1">
      <alignment horizontal="center" vertical="center"/>
    </xf>
    <xf numFmtId="0" fontId="17" fillId="0" borderId="13" xfId="0" applyFont="1" applyBorder="1" applyAlignment="1">
      <alignment horizontal="left" vertical="center" wrapText="1"/>
    </xf>
    <xf numFmtId="0" fontId="17" fillId="0" borderId="14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2" fillId="0" borderId="17" xfId="115" applyBorder="1" applyAlignment="1">
      <alignment vertical="center"/>
    </xf>
    <xf numFmtId="0" fontId="2" fillId="0" borderId="14" xfId="115" applyBorder="1" applyAlignment="1">
      <alignment vertical="center"/>
    </xf>
    <xf numFmtId="0" fontId="2" fillId="0" borderId="15" xfId="115" applyBorder="1" applyAlignment="1">
      <alignment vertical="center"/>
    </xf>
    <xf numFmtId="0" fontId="17" fillId="0" borderId="17" xfId="115" applyFont="1" applyBorder="1" applyAlignment="1">
      <alignment vertical="center"/>
    </xf>
    <xf numFmtId="0" fontId="17" fillId="0" borderId="14" xfId="115" applyFont="1" applyBorder="1" applyAlignment="1">
      <alignment vertical="center"/>
    </xf>
    <xf numFmtId="0" fontId="17" fillId="0" borderId="15" xfId="115" applyFont="1" applyBorder="1" applyAlignment="1">
      <alignment vertical="center"/>
    </xf>
    <xf numFmtId="0" fontId="5" fillId="0" borderId="13" xfId="0" applyFont="1" applyBorder="1" applyAlignment="1">
      <alignment horizontal="justify" vertical="center" wrapText="1"/>
    </xf>
    <xf numFmtId="0" fontId="5" fillId="0" borderId="14" xfId="0" applyFont="1" applyBorder="1" applyAlignment="1">
      <alignment horizontal="justify" vertical="center" wrapText="1"/>
    </xf>
    <xf numFmtId="0" fontId="5" fillId="0" borderId="15" xfId="0" applyFont="1" applyBorder="1" applyAlignment="1">
      <alignment horizontal="justify" vertical="center" wrapText="1"/>
    </xf>
    <xf numFmtId="0" fontId="5" fillId="0" borderId="17" xfId="2" applyFont="1" applyBorder="1" applyAlignment="1">
      <alignment horizontal="center" vertical="center"/>
    </xf>
    <xf numFmtId="0" fontId="5" fillId="0" borderId="15" xfId="2" applyFont="1" applyBorder="1" applyAlignment="1">
      <alignment horizontal="center" vertical="center"/>
    </xf>
    <xf numFmtId="0" fontId="28" fillId="0" borderId="6" xfId="2" applyFont="1" applyBorder="1" applyAlignment="1">
      <alignment horizontal="center" vertical="center" wrapText="1"/>
    </xf>
    <xf numFmtId="0" fontId="28" fillId="0" borderId="7" xfId="2" applyFont="1" applyBorder="1" applyAlignment="1">
      <alignment horizontal="center" vertical="center" wrapText="1"/>
    </xf>
    <xf numFmtId="0" fontId="28" fillId="0" borderId="8" xfId="2" applyFont="1" applyBorder="1" applyAlignment="1">
      <alignment horizontal="center" vertical="center" wrapText="1"/>
    </xf>
    <xf numFmtId="0" fontId="18" fillId="0" borderId="0" xfId="2" applyFont="1" applyAlignment="1">
      <alignment horizontal="justify" vertical="center" wrapText="1"/>
    </xf>
    <xf numFmtId="0" fontId="17" fillId="0" borderId="17" xfId="0" applyFont="1" applyBorder="1" applyAlignment="1">
      <alignment horizontal="left" vertical="top" wrapText="1"/>
    </xf>
    <xf numFmtId="0" fontId="17" fillId="0" borderId="14" xfId="0" applyFont="1" applyBorder="1" applyAlignment="1">
      <alignment horizontal="left" vertical="top" wrapText="1"/>
    </xf>
    <xf numFmtId="0" fontId="17" fillId="0" borderId="15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justify"/>
    </xf>
    <xf numFmtId="0" fontId="13" fillId="0" borderId="0" xfId="0" applyFont="1" applyAlignment="1">
      <alignment horizontal="center"/>
    </xf>
    <xf numFmtId="170" fontId="24" fillId="0" borderId="16" xfId="0" applyNumberFormat="1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170" fontId="0" fillId="0" borderId="16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84" fontId="0" fillId="0" borderId="16" xfId="1" applyNumberFormat="1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31" fillId="0" borderId="16" xfId="0" applyFont="1" applyBorder="1" applyAlignment="1">
      <alignment horizontal="center" vertical="center"/>
    </xf>
    <xf numFmtId="169" fontId="31" fillId="0" borderId="16" xfId="41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7" fillId="0" borderId="0" xfId="3" applyAlignment="1" applyProtection="1"/>
    <xf numFmtId="9" fontId="5" fillId="0" borderId="125" xfId="127" applyFont="1" applyBorder="1" applyAlignment="1">
      <alignment horizontal="center" vertical="center" wrapText="1"/>
    </xf>
    <xf numFmtId="9" fontId="5" fillId="0" borderId="125" xfId="127" applyFont="1" applyBorder="1" applyAlignment="1">
      <alignment horizontal="center" vertical="center"/>
    </xf>
    <xf numFmtId="215" fontId="5" fillId="0" borderId="0" xfId="1126" applyFont="1"/>
    <xf numFmtId="170" fontId="5" fillId="0" borderId="0" xfId="439" applyFont="1"/>
    <xf numFmtId="0" fontId="114" fillId="0" borderId="1" xfId="843" applyFont="1" applyBorder="1" applyAlignment="1">
      <alignment horizontal="center" vertical="center" wrapText="1"/>
    </xf>
    <xf numFmtId="0" fontId="114" fillId="0" borderId="2" xfId="843" applyFont="1" applyBorder="1" applyAlignment="1">
      <alignment horizontal="center" vertical="center" wrapText="1"/>
    </xf>
    <xf numFmtId="0" fontId="114" fillId="0" borderId="3" xfId="843" applyFont="1" applyBorder="1" applyAlignment="1">
      <alignment horizontal="center" vertical="center" wrapText="1"/>
    </xf>
    <xf numFmtId="0" fontId="29" fillId="0" borderId="0" xfId="843" applyFont="1" applyAlignment="1">
      <alignment horizontal="center" vertical="center" wrapText="1"/>
    </xf>
    <xf numFmtId="0" fontId="29" fillId="0" borderId="0" xfId="843" applyFont="1" applyAlignment="1">
      <alignment vertical="center" wrapText="1"/>
    </xf>
    <xf numFmtId="0" fontId="114" fillId="0" borderId="4" xfId="843" applyFont="1" applyBorder="1" applyAlignment="1">
      <alignment horizontal="center" vertical="center" wrapText="1"/>
    </xf>
    <xf numFmtId="0" fontId="114" fillId="0" borderId="0" xfId="843" applyFont="1" applyAlignment="1">
      <alignment horizontal="center" vertical="center" wrapText="1"/>
    </xf>
    <xf numFmtId="0" fontId="114" fillId="0" borderId="5" xfId="843" applyFont="1" applyBorder="1" applyAlignment="1">
      <alignment horizontal="center" vertical="center" wrapText="1"/>
    </xf>
    <xf numFmtId="0" fontId="124" fillId="0" borderId="4" xfId="843" applyFont="1" applyBorder="1" applyAlignment="1">
      <alignment horizontal="center" vertical="center" wrapText="1"/>
    </xf>
    <xf numFmtId="0" fontId="124" fillId="0" borderId="0" xfId="843" applyFont="1" applyAlignment="1">
      <alignment horizontal="center" vertical="center" wrapText="1"/>
    </xf>
    <xf numFmtId="0" fontId="124" fillId="0" borderId="5" xfId="843" applyFont="1" applyBorder="1" applyAlignment="1">
      <alignment horizontal="center" vertical="center" wrapText="1"/>
    </xf>
    <xf numFmtId="0" fontId="125" fillId="0" borderId="0" xfId="843" applyFont="1" applyAlignment="1">
      <alignment horizontal="center" vertical="center" wrapText="1"/>
    </xf>
    <xf numFmtId="0" fontId="125" fillId="0" borderId="0" xfId="843" applyFont="1" applyAlignment="1">
      <alignment vertical="center" wrapText="1"/>
    </xf>
    <xf numFmtId="0" fontId="124" fillId="0" borderId="29" xfId="843" applyFont="1" applyBorder="1" applyAlignment="1">
      <alignment horizontal="center" vertical="center" wrapText="1"/>
    </xf>
    <xf numFmtId="0" fontId="124" fillId="0" borderId="30" xfId="843" applyFont="1" applyBorder="1" applyAlignment="1">
      <alignment horizontal="center" vertical="center" wrapText="1"/>
    </xf>
    <xf numFmtId="0" fontId="124" fillId="0" borderId="66" xfId="843" applyFont="1" applyBorder="1" applyAlignment="1">
      <alignment horizontal="center" vertical="center" wrapText="1"/>
    </xf>
    <xf numFmtId="0" fontId="126" fillId="44" borderId="50" xfId="843" applyFont="1" applyFill="1" applyBorder="1" applyAlignment="1">
      <alignment horizontal="center" vertical="center" wrapText="1"/>
    </xf>
    <xf numFmtId="0" fontId="126" fillId="44" borderId="31" xfId="843" applyFont="1" applyFill="1" applyBorder="1" applyAlignment="1">
      <alignment horizontal="center" vertical="center" wrapText="1"/>
    </xf>
    <xf numFmtId="0" fontId="126" fillId="44" borderId="51" xfId="843" applyFont="1" applyFill="1" applyBorder="1" applyAlignment="1">
      <alignment horizontal="center" vertical="center" wrapText="1"/>
    </xf>
    <xf numFmtId="0" fontId="127" fillId="0" borderId="0" xfId="843" applyFont="1" applyAlignment="1">
      <alignment horizontal="center" vertical="center" wrapText="1"/>
    </xf>
    <xf numFmtId="0" fontId="127" fillId="0" borderId="0" xfId="843" applyFont="1" applyAlignment="1">
      <alignment vertical="center" wrapText="1"/>
    </xf>
    <xf numFmtId="0" fontId="128" fillId="45" borderId="124" xfId="843" applyFont="1" applyFill="1" applyBorder="1" applyAlignment="1">
      <alignment horizontal="center" vertical="center" wrapText="1"/>
    </xf>
    <xf numFmtId="0" fontId="128" fillId="45" borderId="125" xfId="843" applyFont="1" applyFill="1" applyBorder="1" applyAlignment="1">
      <alignment horizontal="center" vertical="center" wrapText="1"/>
    </xf>
    <xf numFmtId="0" fontId="128" fillId="45" borderId="126" xfId="843" applyFont="1" applyFill="1" applyBorder="1" applyAlignment="1">
      <alignment horizontal="center" vertical="center" wrapText="1"/>
    </xf>
    <xf numFmtId="0" fontId="126" fillId="27" borderId="124" xfId="843" applyFont="1" applyFill="1" applyBorder="1" applyAlignment="1">
      <alignment horizontal="center" vertical="center" wrapText="1"/>
    </xf>
    <xf numFmtId="0" fontId="126" fillId="27" borderId="125" xfId="843" applyFont="1" applyFill="1" applyBorder="1" applyAlignment="1">
      <alignment horizontal="left" vertical="center" wrapText="1"/>
    </xf>
    <xf numFmtId="4" fontId="126" fillId="27" borderId="126" xfId="843" applyNumberFormat="1" applyFont="1" applyFill="1" applyBorder="1" applyAlignment="1">
      <alignment horizontal="center" vertical="center" wrapText="1"/>
    </xf>
    <xf numFmtId="0" fontId="127" fillId="2" borderId="125" xfId="843" applyFont="1" applyFill="1" applyBorder="1" applyAlignment="1">
      <alignment horizontal="justify" vertical="center" wrapText="1"/>
    </xf>
    <xf numFmtId="2" fontId="127" fillId="2" borderId="125" xfId="843" applyNumberFormat="1" applyFont="1" applyFill="1" applyBorder="1" applyAlignment="1">
      <alignment horizontal="center" vertical="center" wrapText="1"/>
    </xf>
    <xf numFmtId="0" fontId="127" fillId="2" borderId="125" xfId="843" applyFont="1" applyFill="1" applyBorder="1" applyAlignment="1">
      <alignment horizontal="center" vertical="center" wrapText="1"/>
    </xf>
    <xf numFmtId="4" fontId="127" fillId="0" borderId="125" xfId="843" applyNumberFormat="1" applyFont="1" applyBorder="1" applyAlignment="1">
      <alignment horizontal="center" vertical="center" wrapText="1"/>
    </xf>
    <xf numFmtId="0" fontId="127" fillId="0" borderId="126" xfId="843" applyFont="1" applyBorder="1" applyAlignment="1">
      <alignment horizontal="center" vertical="center" wrapText="1"/>
    </xf>
    <xf numFmtId="172" fontId="126" fillId="27" borderId="124" xfId="843" applyNumberFormat="1" applyFont="1" applyFill="1" applyBorder="1" applyAlignment="1">
      <alignment horizontal="center" vertical="center" wrapText="1"/>
    </xf>
    <xf numFmtId="3" fontId="126" fillId="27" borderId="129" xfId="843" applyNumberFormat="1" applyFont="1" applyFill="1" applyBorder="1" applyAlignment="1">
      <alignment vertical="center" wrapText="1"/>
    </xf>
    <xf numFmtId="0" fontId="126" fillId="27" borderId="132" xfId="843" applyFont="1" applyFill="1" applyBorder="1" applyAlignment="1">
      <alignment vertical="center" wrapText="1"/>
    </xf>
    <xf numFmtId="0" fontId="126" fillId="27" borderId="133" xfId="843" applyFont="1" applyFill="1" applyBorder="1" applyAlignment="1">
      <alignment vertical="center" wrapText="1"/>
    </xf>
    <xf numFmtId="0" fontId="127" fillId="0" borderId="124" xfId="843" applyFont="1" applyBorder="1" applyAlignment="1">
      <alignment horizontal="center" vertical="center" wrapText="1"/>
    </xf>
    <xf numFmtId="0" fontId="127" fillId="2" borderId="125" xfId="1125" applyFont="1" applyFill="1" applyBorder="1" applyAlignment="1">
      <alignment horizontal="justify" vertical="center" wrapText="1"/>
    </xf>
    <xf numFmtId="0" fontId="127" fillId="0" borderId="125" xfId="843" applyFont="1" applyBorder="1" applyAlignment="1">
      <alignment horizontal="center" vertical="center" wrapText="1"/>
    </xf>
    <xf numFmtId="2" fontId="127" fillId="0" borderId="125" xfId="843" applyNumberFormat="1" applyFont="1" applyBorder="1" applyAlignment="1">
      <alignment horizontal="center" vertical="center" wrapText="1"/>
    </xf>
    <xf numFmtId="4" fontId="129" fillId="0" borderId="125" xfId="843" applyNumberFormat="1" applyFont="1" applyBorder="1" applyAlignment="1">
      <alignment horizontal="center" vertical="center" wrapText="1"/>
    </xf>
    <xf numFmtId="0" fontId="29" fillId="0" borderId="4" xfId="843" applyFont="1" applyBorder="1" applyAlignment="1">
      <alignment vertical="center" wrapText="1"/>
    </xf>
    <xf numFmtId="0" fontId="29" fillId="0" borderId="5" xfId="843" applyFont="1" applyBorder="1" applyAlignment="1">
      <alignment horizontal="center" vertical="center" wrapText="1"/>
    </xf>
    <xf numFmtId="0" fontId="29" fillId="0" borderId="0" xfId="1125" applyFont="1" applyAlignment="1">
      <alignment horizontal="center" vertical="center" wrapText="1"/>
    </xf>
    <xf numFmtId="2" fontId="29" fillId="0" borderId="0" xfId="1125" applyNumberFormat="1" applyFont="1" applyAlignment="1">
      <alignment horizontal="center" vertical="center" wrapText="1"/>
    </xf>
    <xf numFmtId="0" fontId="114" fillId="0" borderId="0" xfId="843" applyFont="1" applyBorder="1" applyAlignment="1">
      <alignment horizontal="center" vertical="center" wrapText="1"/>
    </xf>
    <xf numFmtId="0" fontId="126" fillId="2" borderId="134" xfId="843" applyFont="1" applyFill="1" applyBorder="1" applyAlignment="1">
      <alignment horizontal="center" vertical="center" wrapText="1"/>
    </xf>
    <xf numFmtId="0" fontId="127" fillId="0" borderId="135" xfId="843" applyFont="1" applyBorder="1" applyAlignment="1">
      <alignment horizontal="center" vertical="center" wrapText="1"/>
    </xf>
    <xf numFmtId="0" fontId="126" fillId="27" borderId="129" xfId="843" applyFont="1" applyFill="1" applyBorder="1" applyAlignment="1">
      <alignment horizontal="left" vertical="center" wrapText="1"/>
    </xf>
    <xf numFmtId="0" fontId="126" fillId="27" borderId="132" xfId="843" applyFont="1" applyFill="1" applyBorder="1" applyAlignment="1">
      <alignment horizontal="left" vertical="center" wrapText="1"/>
    </xf>
    <xf numFmtId="0" fontId="126" fillId="27" borderId="133" xfId="843" applyFont="1" applyFill="1" applyBorder="1" applyAlignment="1">
      <alignment horizontal="left" vertical="center" wrapText="1"/>
    </xf>
    <xf numFmtId="0" fontId="29" fillId="0" borderId="0" xfId="843" applyFont="1" applyBorder="1" applyAlignment="1">
      <alignment horizontal="center" vertical="center" wrapText="1"/>
    </xf>
    <xf numFmtId="0" fontId="118" fillId="0" borderId="136" xfId="0" applyFont="1" applyBorder="1" applyAlignment="1">
      <alignment horizontal="center" vertical="top"/>
    </xf>
    <xf numFmtId="0" fontId="119" fillId="0" borderId="55" xfId="0" applyFont="1" applyBorder="1" applyAlignment="1">
      <alignment horizontal="left" vertical="center"/>
    </xf>
    <xf numFmtId="0" fontId="119" fillId="0" borderId="0" xfId="0" applyFont="1" applyBorder="1" applyAlignment="1">
      <alignment horizontal="left" vertical="center"/>
    </xf>
    <xf numFmtId="0" fontId="119" fillId="0" borderId="68" xfId="0" applyFont="1" applyBorder="1" applyAlignment="1">
      <alignment horizontal="left" vertical="center"/>
    </xf>
    <xf numFmtId="213" fontId="118" fillId="0" borderId="122" xfId="43" applyNumberFormat="1" applyFont="1" applyBorder="1" applyAlignment="1">
      <alignment horizontal="right" vertical="center"/>
    </xf>
    <xf numFmtId="213" fontId="118" fillId="0" borderId="137" xfId="43" applyNumberFormat="1" applyFont="1" applyBorder="1" applyAlignment="1">
      <alignment horizontal="right" vertical="center"/>
    </xf>
    <xf numFmtId="4" fontId="119" fillId="0" borderId="138" xfId="0" applyNumberFormat="1" applyFont="1" applyBorder="1" applyAlignment="1">
      <alignment horizontal="center" vertical="center" wrapText="1"/>
    </xf>
    <xf numFmtId="4" fontId="119" fillId="0" borderId="139" xfId="0" applyNumberFormat="1" applyFont="1" applyBorder="1" applyAlignment="1">
      <alignment horizontal="center" vertical="center" wrapText="1"/>
    </xf>
    <xf numFmtId="4" fontId="119" fillId="0" borderId="140" xfId="0" applyNumberFormat="1" applyFont="1" applyBorder="1" applyAlignment="1">
      <alignment horizontal="center" vertical="center" wrapText="1"/>
    </xf>
    <xf numFmtId="174" fontId="118" fillId="0" borderId="121" xfId="0" applyNumberFormat="1" applyFont="1" applyBorder="1" applyAlignment="1">
      <alignment horizontal="right" vertical="center"/>
    </xf>
    <xf numFmtId="174" fontId="118" fillId="0" borderId="121" xfId="41" applyNumberFormat="1" applyFont="1" applyBorder="1" applyAlignment="1">
      <alignment horizontal="right" vertical="center" wrapText="1"/>
    </xf>
    <xf numFmtId="174" fontId="118" fillId="0" borderId="121" xfId="0" applyNumberFormat="1" applyFont="1" applyBorder="1" applyAlignment="1">
      <alignment horizontal="right" vertical="center" wrapText="1"/>
    </xf>
    <xf numFmtId="44" fontId="118" fillId="0" borderId="0" xfId="0" applyNumberFormat="1" applyFont="1" applyAlignment="1">
      <alignment vertical="top"/>
    </xf>
    <xf numFmtId="221" fontId="118" fillId="0" borderId="0" xfId="0" applyNumberFormat="1" applyFont="1" applyAlignment="1">
      <alignment vertical="top"/>
    </xf>
    <xf numFmtId="169" fontId="118" fillId="0" borderId="0" xfId="41" applyFont="1" applyAlignment="1">
      <alignment vertical="top"/>
    </xf>
    <xf numFmtId="174" fontId="118" fillId="0" borderId="0" xfId="0" applyNumberFormat="1" applyFont="1" applyAlignment="1">
      <alignment vertical="top"/>
    </xf>
    <xf numFmtId="0" fontId="2" fillId="0" borderId="99" xfId="1127" applyBorder="1" applyAlignment="1">
      <alignment horizontal="center" wrapText="1"/>
    </xf>
    <xf numFmtId="0" fontId="2" fillId="0" borderId="0" xfId="1127"/>
    <xf numFmtId="0" fontId="28" fillId="0" borderId="1" xfId="1127" applyFont="1" applyBorder="1" applyAlignment="1">
      <alignment horizontal="center" vertical="center" wrapText="1"/>
    </xf>
    <xf numFmtId="0" fontId="28" fillId="0" borderId="3" xfId="1127" applyFont="1" applyBorder="1" applyAlignment="1">
      <alignment horizontal="center" vertical="center" wrapText="1"/>
    </xf>
    <xf numFmtId="0" fontId="6" fillId="0" borderId="1" xfId="1127" applyFont="1" applyBorder="1" applyAlignment="1">
      <alignment horizontal="center" vertical="center" wrapText="1"/>
    </xf>
    <xf numFmtId="0" fontId="6" fillId="0" borderId="2" xfId="1127" applyFont="1" applyBorder="1" applyAlignment="1">
      <alignment horizontal="center" vertical="center" wrapText="1"/>
    </xf>
    <xf numFmtId="0" fontId="6" fillId="0" borderId="3" xfId="1127" applyFont="1" applyBorder="1" applyAlignment="1">
      <alignment horizontal="center" vertical="center" wrapText="1"/>
    </xf>
    <xf numFmtId="0" fontId="6" fillId="0" borderId="98" xfId="1127" applyFont="1" applyBorder="1" applyAlignment="1">
      <alignment horizontal="center" vertical="center" wrapText="1"/>
    </xf>
    <xf numFmtId="0" fontId="6" fillId="0" borderId="100" xfId="1127" applyFont="1" applyBorder="1" applyAlignment="1">
      <alignment horizontal="center" vertical="center" wrapText="1"/>
    </xf>
    <xf numFmtId="0" fontId="6" fillId="0" borderId="99" xfId="1127" applyFont="1" applyBorder="1" applyAlignment="1">
      <alignment horizontal="center" vertical="center" wrapText="1"/>
    </xf>
    <xf numFmtId="0" fontId="5" fillId="0" borderId="0" xfId="1127" applyFont="1"/>
    <xf numFmtId="0" fontId="5" fillId="0" borderId="4" xfId="1127" applyFont="1" applyBorder="1" applyAlignment="1">
      <alignment vertical="center" wrapText="1"/>
    </xf>
    <xf numFmtId="0" fontId="5" fillId="0" borderId="0" xfId="1127" applyFont="1" applyAlignment="1">
      <alignment vertical="center" wrapText="1"/>
    </xf>
    <xf numFmtId="0" fontId="5" fillId="0" borderId="5" xfId="1127" applyFont="1" applyBorder="1" applyAlignment="1">
      <alignment vertical="center" wrapText="1"/>
    </xf>
    <xf numFmtId="0" fontId="3" fillId="0" borderId="124" xfId="1127" applyFont="1" applyBorder="1" applyAlignment="1">
      <alignment horizontal="center" vertical="center" wrapText="1"/>
    </xf>
    <xf numFmtId="0" fontId="3" fillId="0" borderId="125" xfId="1127" applyFont="1" applyBorder="1" applyAlignment="1">
      <alignment horizontal="center" vertical="center" wrapText="1"/>
    </xf>
    <xf numFmtId="0" fontId="5" fillId="0" borderId="125" xfId="1127" applyFont="1" applyBorder="1" applyAlignment="1">
      <alignment horizontal="left" vertical="center" wrapText="1"/>
    </xf>
    <xf numFmtId="0" fontId="5" fillId="0" borderId="126" xfId="1127" applyFont="1" applyBorder="1" applyAlignment="1">
      <alignment horizontal="left" vertical="center" wrapText="1"/>
    </xf>
    <xf numFmtId="0" fontId="3" fillId="0" borderId="4" xfId="1127" applyFont="1" applyBorder="1" applyAlignment="1">
      <alignment horizontal="justify" vertical="center" wrapText="1"/>
    </xf>
    <xf numFmtId="0" fontId="3" fillId="0" borderId="0" xfId="1127" applyFont="1" applyAlignment="1">
      <alignment horizontal="justify" vertical="center" wrapText="1"/>
    </xf>
    <xf numFmtId="0" fontId="3" fillId="0" borderId="5" xfId="1127" applyFont="1" applyBorder="1" applyAlignment="1">
      <alignment horizontal="justify" vertical="center" wrapText="1"/>
    </xf>
    <xf numFmtId="0" fontId="5" fillId="0" borderId="4" xfId="1127" applyFont="1" applyBorder="1"/>
    <xf numFmtId="0" fontId="2" fillId="0" borderId="0" xfId="1127" applyAlignment="1">
      <alignment vertical="center" wrapText="1"/>
    </xf>
    <xf numFmtId="0" fontId="3" fillId="0" borderId="0" xfId="1127" applyFont="1" applyAlignment="1">
      <alignment vertical="center" wrapText="1"/>
    </xf>
    <xf numFmtId="0" fontId="6" fillId="0" borderId="0" xfId="1127" applyFont="1" applyAlignment="1">
      <alignment vertical="center" wrapText="1"/>
    </xf>
    <xf numFmtId="0" fontId="3" fillId="0" borderId="5" xfId="1127" applyFont="1" applyBorder="1" applyAlignment="1">
      <alignment vertical="center" wrapText="1"/>
    </xf>
    <xf numFmtId="0" fontId="3" fillId="0" borderId="4" xfId="1127" applyFont="1" applyBorder="1" applyAlignment="1">
      <alignment vertical="center" wrapText="1"/>
    </xf>
    <xf numFmtId="0" fontId="3" fillId="0" borderId="0" xfId="1127" applyFont="1" applyAlignment="1">
      <alignment horizontal="left" vertical="center" wrapText="1"/>
    </xf>
    <xf numFmtId="0" fontId="3" fillId="0" borderId="5" xfId="1127" applyFont="1" applyBorder="1" applyAlignment="1">
      <alignment horizontal="left" vertical="center" wrapText="1"/>
    </xf>
    <xf numFmtId="0" fontId="6" fillId="0" borderId="4" xfId="1127" applyFont="1" applyBorder="1" applyAlignment="1">
      <alignment vertical="center" wrapText="1"/>
    </xf>
    <xf numFmtId="0" fontId="5" fillId="0" borderId="124" xfId="1127" applyFont="1" applyBorder="1" applyAlignment="1">
      <alignment horizontal="centerContinuous" vertical="center" wrapText="1"/>
    </xf>
    <xf numFmtId="0" fontId="5" fillId="0" borderId="125" xfId="1127" applyFont="1" applyBorder="1" applyAlignment="1">
      <alignment horizontal="centerContinuous" vertical="center" wrapText="1"/>
    </xf>
    <xf numFmtId="0" fontId="5" fillId="0" borderId="125" xfId="1127" applyFont="1" applyBorder="1" applyAlignment="1">
      <alignment horizontal="center" vertical="center" wrapText="1"/>
    </xf>
    <xf numFmtId="0" fontId="5" fillId="0" borderId="126" xfId="1127" applyFont="1" applyBorder="1" applyAlignment="1">
      <alignment horizontal="center" vertical="center" wrapText="1"/>
    </xf>
    <xf numFmtId="0" fontId="5" fillId="0" borderId="124" xfId="1127" applyFont="1" applyBorder="1" applyAlignment="1">
      <alignment horizontal="justify" vertical="center" wrapText="1"/>
    </xf>
    <xf numFmtId="0" fontId="5" fillId="0" borderId="125" xfId="1127" applyFont="1" applyBorder="1" applyAlignment="1">
      <alignment horizontal="justify" vertical="center" wrapText="1"/>
    </xf>
    <xf numFmtId="0" fontId="5" fillId="0" borderId="125" xfId="1127" applyFont="1" applyBorder="1" applyAlignment="1">
      <alignment vertical="center" wrapText="1"/>
    </xf>
    <xf numFmtId="174" fontId="5" fillId="0" borderId="125" xfId="1127" applyNumberFormat="1" applyFont="1" applyBorder="1" applyAlignment="1">
      <alignment vertical="center" wrapText="1"/>
    </xf>
    <xf numFmtId="2" fontId="5" fillId="0" borderId="125" xfId="1127" applyNumberFormat="1" applyFont="1" applyBorder="1" applyAlignment="1">
      <alignment horizontal="center" vertical="center" wrapText="1"/>
    </xf>
    <xf numFmtId="174" fontId="5" fillId="0" borderId="126" xfId="1127" applyNumberFormat="1" applyFont="1" applyBorder="1" applyAlignment="1">
      <alignment horizontal="center" vertical="center" wrapText="1"/>
    </xf>
    <xf numFmtId="0" fontId="5" fillId="0" borderId="124" xfId="1127" applyFont="1" applyBorder="1" applyAlignment="1">
      <alignment horizontal="left" vertical="center" wrapText="1"/>
    </xf>
    <xf numFmtId="0" fontId="5" fillId="0" borderId="31" xfId="1127" applyFont="1" applyBorder="1" applyAlignment="1">
      <alignment horizontal="center" vertical="center" wrapText="1"/>
    </xf>
    <xf numFmtId="0" fontId="5" fillId="0" borderId="69" xfId="1127" applyFont="1" applyBorder="1" applyAlignment="1">
      <alignment horizontal="center" vertical="center" wrapText="1"/>
    </xf>
    <xf numFmtId="174" fontId="5" fillId="0" borderId="108" xfId="1127" applyNumberFormat="1" applyFont="1" applyBorder="1" applyAlignment="1">
      <alignment vertical="center" wrapText="1"/>
    </xf>
    <xf numFmtId="0" fontId="5" fillId="0" borderId="9" xfId="1127" applyFont="1" applyBorder="1" applyAlignment="1">
      <alignment horizontal="center" vertical="center" wrapText="1"/>
    </xf>
    <xf numFmtId="0" fontId="5" fillId="0" borderId="11" xfId="1127" applyFont="1" applyBorder="1" applyAlignment="1">
      <alignment horizontal="center" vertical="center" wrapText="1"/>
    </xf>
    <xf numFmtId="0" fontId="5" fillId="0" borderId="127" xfId="1127" applyFont="1" applyBorder="1" applyAlignment="1">
      <alignment horizontal="center" vertical="center" wrapText="1"/>
    </xf>
    <xf numFmtId="0" fontId="5" fillId="0" borderId="3" xfId="1127" applyFont="1" applyBorder="1" applyAlignment="1">
      <alignment horizontal="center" vertical="center" wrapText="1"/>
    </xf>
    <xf numFmtId="174" fontId="5" fillId="0" borderId="126" xfId="1127" applyNumberFormat="1" applyFont="1" applyBorder="1" applyAlignment="1">
      <alignment vertical="center" wrapText="1"/>
    </xf>
    <xf numFmtId="0" fontId="3" fillId="0" borderId="0" xfId="1127" applyFont="1"/>
    <xf numFmtId="174" fontId="5" fillId="0" borderId="128" xfId="1127" applyNumberFormat="1" applyFont="1" applyBorder="1" applyAlignment="1">
      <alignment vertical="center" wrapText="1"/>
    </xf>
    <xf numFmtId="0" fontId="5" fillId="0" borderId="125" xfId="1127" applyFont="1" applyBorder="1" applyAlignment="1">
      <alignment horizontal="center" vertical="center" wrapText="1"/>
    </xf>
    <xf numFmtId="0" fontId="5" fillId="0" borderId="129" xfId="1127" applyFont="1" applyBorder="1" applyAlignment="1">
      <alignment horizontal="center" vertical="center" wrapText="1"/>
    </xf>
    <xf numFmtId="174" fontId="5" fillId="0" borderId="26" xfId="1127" applyNumberFormat="1" applyFont="1" applyBorder="1" applyAlignment="1">
      <alignment vertical="center" wrapText="1"/>
    </xf>
    <xf numFmtId="0" fontId="5" fillId="0" borderId="130" xfId="1127" applyFont="1" applyBorder="1" applyAlignment="1">
      <alignment horizontal="center" vertical="center" wrapText="1"/>
    </xf>
    <xf numFmtId="0" fontId="5" fillId="0" borderId="127" xfId="1127" applyFont="1" applyBorder="1" applyAlignment="1">
      <alignment horizontal="centerContinuous" vertical="center" wrapText="1"/>
    </xf>
    <xf numFmtId="0" fontId="10" fillId="2" borderId="124" xfId="1127" applyFont="1" applyFill="1" applyBorder="1" applyAlignment="1">
      <alignment horizontal="justify" vertical="center" wrapText="1"/>
    </xf>
    <xf numFmtId="174" fontId="5" fillId="2" borderId="125" xfId="1127" applyNumberFormat="1" applyFont="1" applyFill="1" applyBorder="1" applyAlignment="1">
      <alignment vertical="center" wrapText="1"/>
    </xf>
    <xf numFmtId="0" fontId="5" fillId="0" borderId="11" xfId="1127" applyFont="1" applyBorder="1" applyAlignment="1">
      <alignment horizontal="center" vertical="center" wrapText="1"/>
    </xf>
    <xf numFmtId="0" fontId="5" fillId="0" borderId="127" xfId="1127" quotePrefix="1" applyFont="1" applyBorder="1" applyAlignment="1">
      <alignment horizontal="center" vertical="center" wrapText="1"/>
    </xf>
    <xf numFmtId="0" fontId="5" fillId="0" borderId="124" xfId="1127" applyFont="1" applyBorder="1" applyAlignment="1">
      <alignment horizontal="justify" vertical="center" wrapText="1"/>
    </xf>
    <xf numFmtId="186" fontId="5" fillId="0" borderId="125" xfId="1127" applyNumberFormat="1" applyFont="1" applyBorder="1" applyAlignment="1">
      <alignment vertical="center" wrapText="1"/>
    </xf>
    <xf numFmtId="194" fontId="5" fillId="0" borderId="128" xfId="1127" applyNumberFormat="1" applyFont="1" applyBorder="1" applyAlignment="1">
      <alignment vertical="center" wrapText="1"/>
    </xf>
    <xf numFmtId="194" fontId="5" fillId="0" borderId="26" xfId="1127" applyNumberFormat="1" applyFont="1" applyBorder="1" applyAlignment="1">
      <alignment vertical="center" wrapText="1"/>
    </xf>
    <xf numFmtId="0" fontId="5" fillId="0" borderId="5" xfId="1127" applyFont="1" applyBorder="1" applyAlignment="1">
      <alignment horizontal="center" vertical="center" wrapText="1"/>
    </xf>
    <xf numFmtId="0" fontId="3" fillId="0" borderId="0" xfId="1127" applyFont="1" applyAlignment="1">
      <alignment horizontal="center" vertical="center" wrapText="1"/>
    </xf>
    <xf numFmtId="194" fontId="5" fillId="0" borderId="0" xfId="1127" applyNumberFormat="1" applyFont="1"/>
    <xf numFmtId="0" fontId="5" fillId="0" borderId="35" xfId="1127" applyFont="1" applyBorder="1" applyAlignment="1">
      <alignment horizontal="centerContinuous" vertical="center" wrapText="1"/>
    </xf>
    <xf numFmtId="0" fontId="5" fillId="0" borderId="2" xfId="1127" applyFont="1" applyBorder="1" applyAlignment="1">
      <alignment horizontal="centerContinuous" vertical="center" wrapText="1"/>
    </xf>
    <xf numFmtId="0" fontId="3" fillId="0" borderId="131" xfId="1127" applyFont="1" applyBorder="1" applyAlignment="1">
      <alignment horizontal="center" vertical="center" wrapText="1"/>
    </xf>
    <xf numFmtId="0" fontId="3" fillId="0" borderId="132" xfId="1127" applyFont="1" applyBorder="1" applyAlignment="1">
      <alignment horizontal="center" vertical="center" wrapText="1"/>
    </xf>
    <xf numFmtId="0" fontId="3" fillId="0" borderId="133" xfId="1127" applyFont="1" applyBorder="1" applyAlignment="1">
      <alignment horizontal="center" vertical="center" wrapText="1"/>
    </xf>
    <xf numFmtId="0" fontId="2" fillId="0" borderId="4" xfId="1127" applyBorder="1" applyAlignment="1">
      <alignment vertical="center" wrapText="1"/>
    </xf>
    <xf numFmtId="0" fontId="3" fillId="0" borderId="0" xfId="1127" applyFont="1" applyAlignment="1">
      <alignment horizontal="centerContinuous" vertical="center" wrapText="1"/>
    </xf>
    <xf numFmtId="0" fontId="5" fillId="0" borderId="0" xfId="1127" applyFont="1" applyAlignment="1">
      <alignment horizontal="centerContinuous" vertical="center" wrapText="1"/>
    </xf>
    <xf numFmtId="0" fontId="5" fillId="0" borderId="5" xfId="1127" applyFont="1" applyBorder="1" applyAlignment="1">
      <alignment horizontal="centerContinuous" vertical="center" wrapText="1"/>
    </xf>
    <xf numFmtId="0" fontId="5" fillId="0" borderId="1" xfId="1127" applyFont="1" applyBorder="1" applyAlignment="1">
      <alignment horizontal="justify" vertical="center" wrapText="1"/>
    </xf>
    <xf numFmtId="0" fontId="5" fillId="0" borderId="2" xfId="1127" applyFont="1" applyBorder="1" applyAlignment="1">
      <alignment horizontal="justify" vertical="center" wrapText="1"/>
    </xf>
    <xf numFmtId="0" fontId="5" fillId="0" borderId="3" xfId="1127" applyFont="1" applyBorder="1" applyAlignment="1">
      <alignment horizontal="justify" vertical="center" wrapText="1"/>
    </xf>
    <xf numFmtId="0" fontId="5" fillId="0" borderId="4" xfId="1127" applyFont="1" applyBorder="1" applyAlignment="1">
      <alignment horizontal="justify" vertical="center" wrapText="1"/>
    </xf>
    <xf numFmtId="0" fontId="5" fillId="0" borderId="0" xfId="1127" applyFont="1" applyAlignment="1">
      <alignment horizontal="justify" vertical="center" wrapText="1"/>
    </xf>
    <xf numFmtId="0" fontId="5" fillId="0" borderId="5" xfId="1127" applyFont="1" applyBorder="1" applyAlignment="1">
      <alignment horizontal="justify" vertical="center" wrapText="1"/>
    </xf>
    <xf numFmtId="0" fontId="3" fillId="0" borderId="4" xfId="1127" applyFont="1" applyBorder="1" applyAlignment="1">
      <alignment horizontal="center" vertical="center" wrapText="1"/>
    </xf>
    <xf numFmtId="0" fontId="3" fillId="0" borderId="5" xfId="1127" applyFont="1" applyBorder="1" applyAlignment="1">
      <alignment horizontal="center" vertical="center" wrapText="1"/>
    </xf>
    <xf numFmtId="0" fontId="3" fillId="0" borderId="4" xfId="1127" applyFont="1" applyBorder="1" applyAlignment="1">
      <alignment horizontal="center" vertical="top" wrapText="1"/>
    </xf>
    <xf numFmtId="0" fontId="3" fillId="0" borderId="0" xfId="1127" applyFont="1" applyAlignment="1">
      <alignment horizontal="center" vertical="top" wrapText="1"/>
    </xf>
    <xf numFmtId="0" fontId="3" fillId="0" borderId="5" xfId="1127" applyFont="1" applyBorder="1" applyAlignment="1">
      <alignment horizontal="center" vertical="top" wrapText="1"/>
    </xf>
    <xf numFmtId="0" fontId="3" fillId="0" borderId="98" xfId="1127" applyFont="1" applyBorder="1" applyAlignment="1">
      <alignment horizontal="center" vertical="top" wrapText="1"/>
    </xf>
    <xf numFmtId="0" fontId="3" fillId="0" borderId="99" xfId="1127" applyFont="1" applyBorder="1" applyAlignment="1">
      <alignment horizontal="center" vertical="top" wrapText="1"/>
    </xf>
    <xf numFmtId="0" fontId="3" fillId="0" borderId="100" xfId="1127" applyFont="1" applyBorder="1" applyAlignment="1">
      <alignment horizontal="center" vertical="top" wrapText="1"/>
    </xf>
    <xf numFmtId="0" fontId="2" fillId="0" borderId="47" xfId="1127" applyBorder="1" applyAlignment="1">
      <alignment horizontal="center" vertical="center" wrapText="1"/>
    </xf>
    <xf numFmtId="0" fontId="2" fillId="0" borderId="48" xfId="1127" applyBorder="1" applyAlignment="1">
      <alignment horizontal="center" vertical="center" wrapText="1"/>
    </xf>
    <xf numFmtId="0" fontId="2" fillId="0" borderId="49" xfId="1127" applyBorder="1" applyAlignment="1">
      <alignment horizontal="center" vertical="center" wrapText="1"/>
    </xf>
    <xf numFmtId="0" fontId="3" fillId="0" borderId="125" xfId="1127" applyFont="1" applyBorder="1" applyAlignment="1">
      <alignment horizontal="left" vertical="center" wrapText="1"/>
    </xf>
    <xf numFmtId="0" fontId="3" fillId="0" borderId="126" xfId="1127" applyFont="1" applyBorder="1" applyAlignment="1">
      <alignment horizontal="left" vertical="center" wrapText="1"/>
    </xf>
    <xf numFmtId="0" fontId="5" fillId="0" borderId="131" xfId="1127" applyFont="1" applyBorder="1" applyAlignment="1">
      <alignment horizontal="justify" vertical="center" wrapText="1"/>
    </xf>
    <xf numFmtId="0" fontId="5" fillId="0" borderId="133" xfId="1127" applyFont="1" applyBorder="1" applyAlignment="1">
      <alignment horizontal="justify" vertical="center" wrapText="1"/>
    </xf>
    <xf numFmtId="0" fontId="5" fillId="0" borderId="131" xfId="1127" applyFont="1" applyBorder="1" applyAlignment="1">
      <alignment horizontal="left" vertical="center" wrapText="1"/>
    </xf>
    <xf numFmtId="0" fontId="5" fillId="0" borderId="133" xfId="1127" applyFont="1" applyBorder="1" applyAlignment="1">
      <alignment horizontal="left" vertical="center" wrapText="1"/>
    </xf>
    <xf numFmtId="186" fontId="5" fillId="0" borderId="125" xfId="1127" applyNumberFormat="1" applyFont="1" applyBorder="1" applyAlignment="1">
      <alignment horizontal="center" vertical="center" wrapText="1"/>
    </xf>
    <xf numFmtId="194" fontId="5" fillId="0" borderId="128" xfId="1127" applyNumberFormat="1" applyFont="1" applyBorder="1" applyAlignment="1">
      <alignment horizontal="right" vertical="center" wrapText="1"/>
    </xf>
    <xf numFmtId="0" fontId="3" fillId="0" borderId="4" xfId="1127" applyFont="1" applyBorder="1" applyAlignment="1">
      <alignment horizontal="left" vertical="center" wrapText="1"/>
    </xf>
    <xf numFmtId="0" fontId="6" fillId="0" borderId="4" xfId="1127" applyFont="1" applyBorder="1"/>
    <xf numFmtId="0" fontId="5" fillId="0" borderId="5" xfId="1127" applyFont="1" applyBorder="1"/>
    <xf numFmtId="0" fontId="3" fillId="0" borderId="4" xfId="1127" applyFont="1" applyBorder="1"/>
    <xf numFmtId="0" fontId="2" fillId="0" borderId="47" xfId="1127" applyBorder="1" applyAlignment="1">
      <alignment horizontal="center" wrapText="1"/>
    </xf>
    <xf numFmtId="0" fontId="2" fillId="0" borderId="48" xfId="1127" applyBorder="1" applyAlignment="1">
      <alignment horizontal="center" wrapText="1"/>
    </xf>
    <xf numFmtId="0" fontId="2" fillId="0" borderId="49" xfId="1127" applyBorder="1" applyAlignment="1">
      <alignment horizontal="center" wrapText="1"/>
    </xf>
    <xf numFmtId="0" fontId="28" fillId="0" borderId="1" xfId="1127" applyFont="1" applyBorder="1" applyAlignment="1">
      <alignment horizontal="center" vertical="center"/>
    </xf>
    <xf numFmtId="0" fontId="28" fillId="0" borderId="3" xfId="1127" applyFont="1" applyBorder="1" applyAlignment="1">
      <alignment horizontal="center" vertical="center"/>
    </xf>
    <xf numFmtId="0" fontId="6" fillId="0" borderId="1" xfId="1127" applyFont="1" applyBorder="1" applyAlignment="1">
      <alignment horizontal="center" vertical="center"/>
    </xf>
    <xf numFmtId="0" fontId="6" fillId="0" borderId="2" xfId="1127" applyFont="1" applyBorder="1" applyAlignment="1">
      <alignment horizontal="center" vertical="center"/>
    </xf>
    <xf numFmtId="0" fontId="6" fillId="0" borderId="3" xfId="1127" applyFont="1" applyBorder="1" applyAlignment="1">
      <alignment horizontal="center" vertical="center"/>
    </xf>
    <xf numFmtId="0" fontId="6" fillId="0" borderId="0" xfId="1127" applyFont="1" applyAlignment="1">
      <alignment horizontal="center" vertical="center"/>
    </xf>
    <xf numFmtId="0" fontId="6" fillId="0" borderId="98" xfId="1127" applyFont="1" applyBorder="1" applyAlignment="1">
      <alignment horizontal="center" vertical="center"/>
    </xf>
    <xf numFmtId="0" fontId="6" fillId="0" borderId="100" xfId="1127" applyFont="1" applyBorder="1" applyAlignment="1">
      <alignment horizontal="center" vertical="center"/>
    </xf>
    <xf numFmtId="0" fontId="6" fillId="0" borderId="99" xfId="1127" applyFont="1" applyBorder="1" applyAlignment="1">
      <alignment horizontal="center" vertical="center"/>
    </xf>
    <xf numFmtId="0" fontId="3" fillId="0" borderId="4" xfId="1127" applyFont="1" applyBorder="1" applyAlignment="1">
      <alignment horizontal="justify" vertical="top" wrapText="1"/>
    </xf>
    <xf numFmtId="0" fontId="3" fillId="0" borderId="0" xfId="1127" applyFont="1" applyAlignment="1">
      <alignment horizontal="justify" vertical="top" wrapText="1"/>
    </xf>
    <xf numFmtId="0" fontId="3" fillId="0" borderId="5" xfId="1127" applyFont="1" applyBorder="1" applyAlignment="1">
      <alignment horizontal="justify" vertical="top" wrapText="1"/>
    </xf>
    <xf numFmtId="0" fontId="3" fillId="0" borderId="0" xfId="1127" applyFont="1" applyAlignment="1">
      <alignment vertical="justify" wrapText="1"/>
    </xf>
    <xf numFmtId="0" fontId="3" fillId="0" borderId="5" xfId="1127" applyFont="1" applyBorder="1" applyAlignment="1">
      <alignment vertical="justify" wrapText="1"/>
    </xf>
    <xf numFmtId="0" fontId="3" fillId="0" borderId="0" xfId="1127" applyFont="1" applyAlignment="1">
      <alignment horizontal="left"/>
    </xf>
    <xf numFmtId="0" fontId="3" fillId="0" borderId="5" xfId="1127" applyFont="1" applyBorder="1" applyAlignment="1">
      <alignment horizontal="left"/>
    </xf>
    <xf numFmtId="0" fontId="123" fillId="0" borderId="0" xfId="1127" applyFont="1" applyAlignment="1">
      <alignment horizontal="left"/>
    </xf>
    <xf numFmtId="0" fontId="5" fillId="0" borderId="124" xfId="1127" applyFont="1" applyBorder="1" applyAlignment="1">
      <alignment horizontal="centerContinuous" vertical="center"/>
    </xf>
    <xf numFmtId="0" fontId="5" fillId="0" borderId="125" xfId="1127" applyFont="1" applyBorder="1" applyAlignment="1">
      <alignment horizontal="centerContinuous" vertical="center"/>
    </xf>
    <xf numFmtId="0" fontId="5" fillId="0" borderId="125" xfId="1127" applyFont="1" applyBorder="1" applyAlignment="1">
      <alignment horizontal="center" vertical="center"/>
    </xf>
    <xf numFmtId="0" fontId="5" fillId="0" borderId="126" xfId="1127" applyFont="1" applyBorder="1" applyAlignment="1">
      <alignment horizontal="center" vertical="center"/>
    </xf>
    <xf numFmtId="0" fontId="5" fillId="0" borderId="125" xfId="1127" applyFont="1" applyBorder="1" applyAlignment="1">
      <alignment vertical="center"/>
    </xf>
    <xf numFmtId="174" fontId="5" fillId="0" borderId="125" xfId="1127" applyNumberFormat="1" applyFont="1" applyBorder="1" applyAlignment="1">
      <alignment vertical="center"/>
    </xf>
    <xf numFmtId="2" fontId="5" fillId="0" borderId="125" xfId="1127" applyNumberFormat="1" applyFont="1" applyBorder="1" applyAlignment="1">
      <alignment horizontal="center" vertical="center"/>
    </xf>
    <xf numFmtId="174" fontId="5" fillId="0" borderId="126" xfId="1127" applyNumberFormat="1" applyFont="1" applyBorder="1" applyAlignment="1">
      <alignment vertical="center"/>
    </xf>
    <xf numFmtId="0" fontId="5" fillId="0" borderId="0" xfId="1127" applyFont="1" applyAlignment="1">
      <alignment horizontal="center"/>
    </xf>
    <xf numFmtId="0" fontId="5" fillId="0" borderId="4" xfId="1127" applyFont="1" applyBorder="1" applyAlignment="1">
      <alignment vertical="center"/>
    </xf>
    <xf numFmtId="0" fontId="5" fillId="0" borderId="0" xfId="1127" applyFont="1" applyAlignment="1">
      <alignment vertical="center"/>
    </xf>
    <xf numFmtId="174" fontId="5" fillId="0" borderId="108" xfId="1127" applyNumberFormat="1" applyFont="1" applyBorder="1" applyAlignment="1">
      <alignment vertical="center"/>
    </xf>
    <xf numFmtId="0" fontId="6" fillId="0" borderId="4" xfId="1127" applyFont="1" applyBorder="1" applyAlignment="1">
      <alignment vertical="center"/>
    </xf>
    <xf numFmtId="0" fontId="5" fillId="0" borderId="5" xfId="1127" applyFont="1" applyBorder="1" applyAlignment="1">
      <alignment vertical="center"/>
    </xf>
    <xf numFmtId="0" fontId="5" fillId="0" borderId="9" xfId="1127" applyFont="1" applyBorder="1" applyAlignment="1">
      <alignment horizontal="center" vertical="center"/>
    </xf>
    <xf numFmtId="0" fontId="5" fillId="0" borderId="11" xfId="1127" applyFont="1" applyBorder="1" applyAlignment="1">
      <alignment horizontal="center" vertical="center"/>
    </xf>
    <xf numFmtId="0" fontId="5" fillId="0" borderId="127" xfId="1127" applyFont="1" applyBorder="1" applyAlignment="1">
      <alignment horizontal="center" vertical="center"/>
    </xf>
    <xf numFmtId="0" fontId="5" fillId="0" borderId="3" xfId="1127" applyFont="1" applyBorder="1" applyAlignment="1">
      <alignment horizontal="center" vertical="center"/>
    </xf>
    <xf numFmtId="0" fontId="5" fillId="0" borderId="130" xfId="1127" applyFont="1" applyBorder="1" applyAlignment="1">
      <alignment horizontal="center" vertical="center"/>
    </xf>
    <xf numFmtId="0" fontId="5" fillId="0" borderId="127" xfId="1127" applyFont="1" applyBorder="1" applyAlignment="1">
      <alignment horizontal="centerContinuous" vertical="center"/>
    </xf>
    <xf numFmtId="174" fontId="5" fillId="0" borderId="26" xfId="1127" applyNumberFormat="1" applyFont="1" applyBorder="1" applyAlignment="1">
      <alignment vertical="center"/>
    </xf>
    <xf numFmtId="0" fontId="5" fillId="0" borderId="127" xfId="1127" quotePrefix="1" applyFont="1" applyBorder="1" applyAlignment="1">
      <alignment horizontal="center" vertical="center"/>
    </xf>
    <xf numFmtId="186" fontId="5" fillId="0" borderId="125" xfId="1127" applyNumberFormat="1" applyFont="1" applyBorder="1" applyAlignment="1">
      <alignment vertical="center"/>
    </xf>
    <xf numFmtId="194" fontId="5" fillId="0" borderId="126" xfId="1127" applyNumberFormat="1" applyFont="1" applyBorder="1" applyAlignment="1">
      <alignment vertical="center"/>
    </xf>
    <xf numFmtId="214" fontId="5" fillId="0" borderId="0" xfId="1127" applyNumberFormat="1" applyFont="1"/>
    <xf numFmtId="194" fontId="5" fillId="0" borderId="108" xfId="1127" applyNumberFormat="1" applyFont="1" applyBorder="1" applyAlignment="1">
      <alignment vertical="center"/>
    </xf>
    <xf numFmtId="0" fontId="5" fillId="0" borderId="5" xfId="1127" applyFont="1" applyBorder="1" applyAlignment="1">
      <alignment horizontal="center" vertical="center"/>
    </xf>
    <xf numFmtId="194" fontId="5" fillId="0" borderId="26" xfId="1127" applyNumberFormat="1" applyFont="1" applyBorder="1" applyAlignment="1">
      <alignment vertical="center"/>
    </xf>
    <xf numFmtId="0" fontId="5" fillId="0" borderId="130" xfId="1127" applyFont="1" applyBorder="1" applyAlignment="1">
      <alignment horizontal="centerContinuous" vertical="center"/>
    </xf>
    <xf numFmtId="0" fontId="5" fillId="0" borderId="2" xfId="1127" applyFont="1" applyBorder="1" applyAlignment="1">
      <alignment horizontal="centerContinuous" vertical="center"/>
    </xf>
    <xf numFmtId="0" fontId="3" fillId="0" borderId="124" xfId="1127" applyFont="1" applyBorder="1" applyAlignment="1">
      <alignment horizontal="center" vertical="center"/>
    </xf>
    <xf numFmtId="0" fontId="3" fillId="0" borderId="125" xfId="1127" applyFont="1" applyBorder="1" applyAlignment="1">
      <alignment horizontal="center" vertical="center"/>
    </xf>
    <xf numFmtId="0" fontId="3" fillId="0" borderId="131" xfId="1127" applyFont="1" applyBorder="1" applyAlignment="1">
      <alignment horizontal="center" vertical="center"/>
    </xf>
    <xf numFmtId="0" fontId="3" fillId="0" borderId="132" xfId="1127" applyFont="1" applyBorder="1" applyAlignment="1">
      <alignment horizontal="center" vertical="center"/>
    </xf>
    <xf numFmtId="0" fontId="3" fillId="0" borderId="133" xfId="1127" applyFont="1" applyBorder="1" applyAlignment="1">
      <alignment horizontal="center" vertical="center"/>
    </xf>
    <xf numFmtId="174" fontId="5" fillId="0" borderId="0" xfId="1127" applyNumberFormat="1" applyFont="1"/>
    <xf numFmtId="174" fontId="5" fillId="0" borderId="66" xfId="1127" applyNumberFormat="1" applyFont="1" applyBorder="1" applyAlignment="1">
      <alignment vertical="center"/>
    </xf>
    <xf numFmtId="0" fontId="2" fillId="0" borderId="4" xfId="1127" applyBorder="1" applyAlignment="1">
      <alignment vertical="center"/>
    </xf>
    <xf numFmtId="0" fontId="3" fillId="0" borderId="0" xfId="1127" applyFont="1" applyAlignment="1">
      <alignment horizontal="centerContinuous"/>
    </xf>
    <xf numFmtId="0" fontId="5" fillId="0" borderId="0" xfId="1127" applyFont="1" applyAlignment="1">
      <alignment horizontal="centerContinuous"/>
    </xf>
    <xf numFmtId="0" fontId="5" fillId="0" borderId="5" xfId="1127" applyFont="1" applyBorder="1" applyAlignment="1">
      <alignment horizontal="centerContinuous"/>
    </xf>
    <xf numFmtId="0" fontId="5" fillId="0" borderId="1" xfId="1127" applyFont="1" applyBorder="1" applyAlignment="1">
      <alignment horizontal="justify" vertical="top" wrapText="1"/>
    </xf>
    <xf numFmtId="0" fontId="5" fillId="0" borderId="2" xfId="1127" applyFont="1" applyBorder="1" applyAlignment="1">
      <alignment horizontal="justify" vertical="top"/>
    </xf>
    <xf numFmtId="0" fontId="5" fillId="0" borderId="3" xfId="1127" applyFont="1" applyBorder="1" applyAlignment="1">
      <alignment horizontal="justify" vertical="top"/>
    </xf>
    <xf numFmtId="0" fontId="5" fillId="0" borderId="0" xfId="1127" applyFont="1" applyAlignment="1">
      <alignment horizontal="justify" vertical="top"/>
    </xf>
    <xf numFmtId="0" fontId="5" fillId="0" borderId="4" xfId="1127" applyFont="1" applyBorder="1" applyAlignment="1">
      <alignment horizontal="justify" vertical="top" wrapText="1"/>
    </xf>
    <xf numFmtId="0" fontId="5" fillId="0" borderId="0" xfId="1127" applyFont="1" applyAlignment="1">
      <alignment horizontal="justify" vertical="top"/>
    </xf>
    <xf numFmtId="0" fontId="5" fillId="0" borderId="5" xfId="1127" applyFont="1" applyBorder="1" applyAlignment="1">
      <alignment horizontal="justify" vertical="top"/>
    </xf>
    <xf numFmtId="0" fontId="2" fillId="0" borderId="4" xfId="1127" applyBorder="1" applyAlignment="1">
      <alignment horizontal="center" vertical="center"/>
    </xf>
    <xf numFmtId="0" fontId="2" fillId="0" borderId="0" xfId="1127" applyAlignment="1">
      <alignment horizontal="center" vertical="center"/>
    </xf>
    <xf numFmtId="0" fontId="2" fillId="0" borderId="5" xfId="1127" applyBorder="1" applyAlignment="1">
      <alignment horizontal="center" vertical="center"/>
    </xf>
  </cellXfs>
  <cellStyles count="1128">
    <cellStyle name="0,0_x000d__x000a_NA_x000d__x000a_" xfId="197" xr:uid="{00000000-0005-0000-0000-000000000000}"/>
    <cellStyle name="20% - Accent1" xfId="198" xr:uid="{00000000-0005-0000-0000-000001000000}"/>
    <cellStyle name="20% - Accent1 2" xfId="199" xr:uid="{00000000-0005-0000-0000-000002000000}"/>
    <cellStyle name="20% - Accent1 2 2" xfId="200" xr:uid="{00000000-0005-0000-0000-000003000000}"/>
    <cellStyle name="20% - Accent1 3" xfId="201" xr:uid="{00000000-0005-0000-0000-000004000000}"/>
    <cellStyle name="20% - Accent1_Estaciones TM-21-SEP-2011" xfId="202" xr:uid="{00000000-0005-0000-0000-000005000000}"/>
    <cellStyle name="20% - Accent2" xfId="203" xr:uid="{00000000-0005-0000-0000-000006000000}"/>
    <cellStyle name="20% - Accent2 2" xfId="204" xr:uid="{00000000-0005-0000-0000-000007000000}"/>
    <cellStyle name="20% - Accent2 2 2" xfId="205" xr:uid="{00000000-0005-0000-0000-000008000000}"/>
    <cellStyle name="20% - Accent2 3" xfId="206" xr:uid="{00000000-0005-0000-0000-000009000000}"/>
    <cellStyle name="20% - Accent2_Estaciones TM-21-SEP-2011" xfId="207" xr:uid="{00000000-0005-0000-0000-00000A000000}"/>
    <cellStyle name="20% - Accent3" xfId="208" xr:uid="{00000000-0005-0000-0000-00000B000000}"/>
    <cellStyle name="20% - Accent3 2" xfId="209" xr:uid="{00000000-0005-0000-0000-00000C000000}"/>
    <cellStyle name="20% - Accent3 2 2" xfId="210" xr:uid="{00000000-0005-0000-0000-00000D000000}"/>
    <cellStyle name="20% - Accent3 3" xfId="211" xr:uid="{00000000-0005-0000-0000-00000E000000}"/>
    <cellStyle name="20% - Accent3_Estaciones TM-21-SEP-2011" xfId="212" xr:uid="{00000000-0005-0000-0000-00000F000000}"/>
    <cellStyle name="20% - Accent4" xfId="213" xr:uid="{00000000-0005-0000-0000-000010000000}"/>
    <cellStyle name="20% - Accent4 2" xfId="214" xr:uid="{00000000-0005-0000-0000-000011000000}"/>
    <cellStyle name="20% - Accent4 2 2" xfId="215" xr:uid="{00000000-0005-0000-0000-000012000000}"/>
    <cellStyle name="20% - Accent4 3" xfId="216" xr:uid="{00000000-0005-0000-0000-000013000000}"/>
    <cellStyle name="20% - Accent4_Estaciones TM-21-SEP-2011" xfId="217" xr:uid="{00000000-0005-0000-0000-000014000000}"/>
    <cellStyle name="20% - Accent5" xfId="218" xr:uid="{00000000-0005-0000-0000-000015000000}"/>
    <cellStyle name="20% - Accent5 2" xfId="219" xr:uid="{00000000-0005-0000-0000-000016000000}"/>
    <cellStyle name="20% - Accent5 2 2" xfId="220" xr:uid="{00000000-0005-0000-0000-000017000000}"/>
    <cellStyle name="20% - Accent5 3" xfId="221" xr:uid="{00000000-0005-0000-0000-000018000000}"/>
    <cellStyle name="20% - Accent5_Estaciones TM-21-SEP-2011" xfId="222" xr:uid="{00000000-0005-0000-0000-000019000000}"/>
    <cellStyle name="20% - Accent6" xfId="223" xr:uid="{00000000-0005-0000-0000-00001A000000}"/>
    <cellStyle name="20% - Accent6 2" xfId="224" xr:uid="{00000000-0005-0000-0000-00001B000000}"/>
    <cellStyle name="20% - Accent6 2 2" xfId="225" xr:uid="{00000000-0005-0000-0000-00001C000000}"/>
    <cellStyle name="20% - Accent6 3" xfId="226" xr:uid="{00000000-0005-0000-0000-00001D000000}"/>
    <cellStyle name="20% - Accent6_Estaciones TM-21-SEP-2011" xfId="227" xr:uid="{00000000-0005-0000-0000-00001E000000}"/>
    <cellStyle name="20% - Énfasis1 2" xfId="77" xr:uid="{00000000-0005-0000-0000-00001F000000}"/>
    <cellStyle name="20% - Énfasis1 2 2" xfId="228" xr:uid="{00000000-0005-0000-0000-000020000000}"/>
    <cellStyle name="20% - Énfasis1 2 2 2" xfId="229" xr:uid="{00000000-0005-0000-0000-000021000000}"/>
    <cellStyle name="20% - Énfasis1 2 3" xfId="230" xr:uid="{00000000-0005-0000-0000-000022000000}"/>
    <cellStyle name="20% - Énfasis1 2 4" xfId="149" xr:uid="{00000000-0005-0000-0000-000023000000}"/>
    <cellStyle name="20% - Énfasis1 3" xfId="231" xr:uid="{00000000-0005-0000-0000-000024000000}"/>
    <cellStyle name="20% - Énfasis2 2" xfId="78" xr:uid="{00000000-0005-0000-0000-000025000000}"/>
    <cellStyle name="20% - Énfasis2 3" xfId="232" xr:uid="{00000000-0005-0000-0000-000026000000}"/>
    <cellStyle name="20% - Énfasis3 2" xfId="79" xr:uid="{00000000-0005-0000-0000-000027000000}"/>
    <cellStyle name="20% - Énfasis3 3" xfId="233" xr:uid="{00000000-0005-0000-0000-000028000000}"/>
    <cellStyle name="20% - Énfasis4 2" xfId="80" xr:uid="{00000000-0005-0000-0000-000029000000}"/>
    <cellStyle name="20% - Énfasis4 3" xfId="234" xr:uid="{00000000-0005-0000-0000-00002A000000}"/>
    <cellStyle name="20% - Énfasis5 2" xfId="81" xr:uid="{00000000-0005-0000-0000-00002B000000}"/>
    <cellStyle name="20% - Énfasis5 3" xfId="235" xr:uid="{00000000-0005-0000-0000-00002C000000}"/>
    <cellStyle name="20% - Énfasis6 2" xfId="82" xr:uid="{00000000-0005-0000-0000-00002D000000}"/>
    <cellStyle name="20% - Énfasis6 3" xfId="236" xr:uid="{00000000-0005-0000-0000-00002E000000}"/>
    <cellStyle name="40% - Accent1" xfId="237" xr:uid="{00000000-0005-0000-0000-00002F000000}"/>
    <cellStyle name="40% - Accent1 2" xfId="238" xr:uid="{00000000-0005-0000-0000-000030000000}"/>
    <cellStyle name="40% - Accent1 2 2" xfId="239" xr:uid="{00000000-0005-0000-0000-000031000000}"/>
    <cellStyle name="40% - Accent1 3" xfId="240" xr:uid="{00000000-0005-0000-0000-000032000000}"/>
    <cellStyle name="40% - Accent1_Estaciones TM-21-SEP-2011" xfId="241" xr:uid="{00000000-0005-0000-0000-000033000000}"/>
    <cellStyle name="40% - Accent2" xfId="242" xr:uid="{00000000-0005-0000-0000-000034000000}"/>
    <cellStyle name="40% - Accent2 2" xfId="243" xr:uid="{00000000-0005-0000-0000-000035000000}"/>
    <cellStyle name="40% - Accent2 2 2" xfId="244" xr:uid="{00000000-0005-0000-0000-000036000000}"/>
    <cellStyle name="40% - Accent2 3" xfId="245" xr:uid="{00000000-0005-0000-0000-000037000000}"/>
    <cellStyle name="40% - Accent2_Estaciones TM-21-SEP-2011" xfId="246" xr:uid="{00000000-0005-0000-0000-000038000000}"/>
    <cellStyle name="40% - Accent3" xfId="247" xr:uid="{00000000-0005-0000-0000-000039000000}"/>
    <cellStyle name="40% - Accent3 2" xfId="248" xr:uid="{00000000-0005-0000-0000-00003A000000}"/>
    <cellStyle name="40% - Accent3 2 2" xfId="249" xr:uid="{00000000-0005-0000-0000-00003B000000}"/>
    <cellStyle name="40% - Accent3 3" xfId="250" xr:uid="{00000000-0005-0000-0000-00003C000000}"/>
    <cellStyle name="40% - Accent3_Estaciones TM-21-SEP-2011" xfId="251" xr:uid="{00000000-0005-0000-0000-00003D000000}"/>
    <cellStyle name="40% - Accent4" xfId="252" xr:uid="{00000000-0005-0000-0000-00003E000000}"/>
    <cellStyle name="40% - Accent4 2" xfId="253" xr:uid="{00000000-0005-0000-0000-00003F000000}"/>
    <cellStyle name="40% - Accent4 2 2" xfId="254" xr:uid="{00000000-0005-0000-0000-000040000000}"/>
    <cellStyle name="40% - Accent4 3" xfId="255" xr:uid="{00000000-0005-0000-0000-000041000000}"/>
    <cellStyle name="40% - Accent4_Estaciones TM-21-SEP-2011" xfId="256" xr:uid="{00000000-0005-0000-0000-000042000000}"/>
    <cellStyle name="40% - Accent5" xfId="257" xr:uid="{00000000-0005-0000-0000-000043000000}"/>
    <cellStyle name="40% - Accent5 2" xfId="258" xr:uid="{00000000-0005-0000-0000-000044000000}"/>
    <cellStyle name="40% - Accent5 2 2" xfId="259" xr:uid="{00000000-0005-0000-0000-000045000000}"/>
    <cellStyle name="40% - Accent5 3" xfId="260" xr:uid="{00000000-0005-0000-0000-000046000000}"/>
    <cellStyle name="40% - Accent5_Estaciones TM-21-SEP-2011" xfId="261" xr:uid="{00000000-0005-0000-0000-000047000000}"/>
    <cellStyle name="40% - Accent6" xfId="262" xr:uid="{00000000-0005-0000-0000-000048000000}"/>
    <cellStyle name="40% - Accent6 2" xfId="263" xr:uid="{00000000-0005-0000-0000-000049000000}"/>
    <cellStyle name="40% - Accent6 2 2" xfId="264" xr:uid="{00000000-0005-0000-0000-00004A000000}"/>
    <cellStyle name="40% - Accent6 3" xfId="265" xr:uid="{00000000-0005-0000-0000-00004B000000}"/>
    <cellStyle name="40% - Accent6_Estaciones TM-21-SEP-2011" xfId="266" xr:uid="{00000000-0005-0000-0000-00004C000000}"/>
    <cellStyle name="40% - Énfasis1 2" xfId="83" xr:uid="{00000000-0005-0000-0000-00004D000000}"/>
    <cellStyle name="40% - Énfasis1 3" xfId="267" xr:uid="{00000000-0005-0000-0000-00004E000000}"/>
    <cellStyle name="40% - Énfasis2 2" xfId="84" xr:uid="{00000000-0005-0000-0000-00004F000000}"/>
    <cellStyle name="40% - Énfasis2 3" xfId="268" xr:uid="{00000000-0005-0000-0000-000050000000}"/>
    <cellStyle name="40% - Énfasis3 2" xfId="85" xr:uid="{00000000-0005-0000-0000-000051000000}"/>
    <cellStyle name="40% - Énfasis3 3" xfId="269" xr:uid="{00000000-0005-0000-0000-000052000000}"/>
    <cellStyle name="40% - Énfasis4 2" xfId="86" xr:uid="{00000000-0005-0000-0000-000053000000}"/>
    <cellStyle name="40% - Énfasis4 3" xfId="270" xr:uid="{00000000-0005-0000-0000-000054000000}"/>
    <cellStyle name="40% - Énfasis5 2" xfId="87" xr:uid="{00000000-0005-0000-0000-000055000000}"/>
    <cellStyle name="40% - Énfasis5 3" xfId="271" xr:uid="{00000000-0005-0000-0000-000056000000}"/>
    <cellStyle name="40% - Énfasis6 2" xfId="88" xr:uid="{00000000-0005-0000-0000-000057000000}"/>
    <cellStyle name="40% - Énfasis6 3" xfId="272" xr:uid="{00000000-0005-0000-0000-000058000000}"/>
    <cellStyle name="60% - Accent1" xfId="273" xr:uid="{00000000-0005-0000-0000-000059000000}"/>
    <cellStyle name="60% - Accent2" xfId="274" xr:uid="{00000000-0005-0000-0000-00005A000000}"/>
    <cellStyle name="60% - Accent3" xfId="275" xr:uid="{00000000-0005-0000-0000-00005B000000}"/>
    <cellStyle name="60% - Accent4" xfId="276" xr:uid="{00000000-0005-0000-0000-00005C000000}"/>
    <cellStyle name="60% - Accent5" xfId="277" xr:uid="{00000000-0005-0000-0000-00005D000000}"/>
    <cellStyle name="60% - Accent6" xfId="278" xr:uid="{00000000-0005-0000-0000-00005E000000}"/>
    <cellStyle name="60% - Énfasis1 2" xfId="89" xr:uid="{00000000-0005-0000-0000-00005F000000}"/>
    <cellStyle name="60% - Énfasis2 2" xfId="90" xr:uid="{00000000-0005-0000-0000-000060000000}"/>
    <cellStyle name="60% - Énfasis3 2" xfId="91" xr:uid="{00000000-0005-0000-0000-000061000000}"/>
    <cellStyle name="60% - Énfasis4 2" xfId="92" xr:uid="{00000000-0005-0000-0000-000062000000}"/>
    <cellStyle name="60% - Énfasis5 2" xfId="93" xr:uid="{00000000-0005-0000-0000-000063000000}"/>
    <cellStyle name="60% - Énfasis6 2" xfId="94" xr:uid="{00000000-0005-0000-0000-000064000000}"/>
    <cellStyle name="Accent1" xfId="279" xr:uid="{00000000-0005-0000-0000-000065000000}"/>
    <cellStyle name="Accent2" xfId="280" xr:uid="{00000000-0005-0000-0000-000066000000}"/>
    <cellStyle name="Accent3" xfId="281" xr:uid="{00000000-0005-0000-0000-000067000000}"/>
    <cellStyle name="Accent4" xfId="282" xr:uid="{00000000-0005-0000-0000-000068000000}"/>
    <cellStyle name="Accent5" xfId="283" xr:uid="{00000000-0005-0000-0000-000069000000}"/>
    <cellStyle name="Accent6" xfId="284" xr:uid="{00000000-0005-0000-0000-00006A000000}"/>
    <cellStyle name="Bad" xfId="285" xr:uid="{00000000-0005-0000-0000-00006B000000}"/>
    <cellStyle name="Buena 2" xfId="95" xr:uid="{00000000-0005-0000-0000-00006C000000}"/>
    <cellStyle name="Calculation" xfId="286" xr:uid="{00000000-0005-0000-0000-00006D000000}"/>
    <cellStyle name="Calculation 2" xfId="287" xr:uid="{00000000-0005-0000-0000-00006E000000}"/>
    <cellStyle name="Calculation 2 2" xfId="288" xr:uid="{00000000-0005-0000-0000-00006F000000}"/>
    <cellStyle name="Calculation 2 2 2" xfId="289" xr:uid="{00000000-0005-0000-0000-000070000000}"/>
    <cellStyle name="Calculation 2 2 2 2" xfId="1027" xr:uid="{00000000-0005-0000-0000-000071000000}"/>
    <cellStyle name="Calculation 2 2 3" xfId="1026" xr:uid="{00000000-0005-0000-0000-000072000000}"/>
    <cellStyle name="Calculation 2 3" xfId="290" xr:uid="{00000000-0005-0000-0000-000073000000}"/>
    <cellStyle name="Calculation 2 3 2" xfId="1028" xr:uid="{00000000-0005-0000-0000-000074000000}"/>
    <cellStyle name="Calculation 2 4" xfId="1025" xr:uid="{00000000-0005-0000-0000-000075000000}"/>
    <cellStyle name="Calculation 3" xfId="291" xr:uid="{00000000-0005-0000-0000-000076000000}"/>
    <cellStyle name="Calculation 3 2" xfId="292" xr:uid="{00000000-0005-0000-0000-000077000000}"/>
    <cellStyle name="Calculation 3 2 2" xfId="1030" xr:uid="{00000000-0005-0000-0000-000078000000}"/>
    <cellStyle name="Calculation 3 3" xfId="1029" xr:uid="{00000000-0005-0000-0000-000079000000}"/>
    <cellStyle name="Calculation 4" xfId="293" xr:uid="{00000000-0005-0000-0000-00007A000000}"/>
    <cellStyle name="Calculation 4 2" xfId="1031" xr:uid="{00000000-0005-0000-0000-00007B000000}"/>
    <cellStyle name="Calculation 5" xfId="1024" xr:uid="{00000000-0005-0000-0000-00007C000000}"/>
    <cellStyle name="Cálculo 2" xfId="96" xr:uid="{00000000-0005-0000-0000-00007D000000}"/>
    <cellStyle name="Cálculo 2 2" xfId="294" xr:uid="{00000000-0005-0000-0000-00007E000000}"/>
    <cellStyle name="Cálculo 2 2 2" xfId="295" xr:uid="{00000000-0005-0000-0000-00007F000000}"/>
    <cellStyle name="Cálculo 2 2 2 2" xfId="296" xr:uid="{00000000-0005-0000-0000-000080000000}"/>
    <cellStyle name="Cálculo 2 2 2 2 2" xfId="1035" xr:uid="{00000000-0005-0000-0000-000081000000}"/>
    <cellStyle name="Cálculo 2 2 2 3" xfId="1034" xr:uid="{00000000-0005-0000-0000-000082000000}"/>
    <cellStyle name="Cálculo 2 2 3" xfId="297" xr:uid="{00000000-0005-0000-0000-000083000000}"/>
    <cellStyle name="Cálculo 2 2 3 2" xfId="1036" xr:uid="{00000000-0005-0000-0000-000084000000}"/>
    <cellStyle name="Cálculo 2 2 4" xfId="1033" xr:uid="{00000000-0005-0000-0000-000085000000}"/>
    <cellStyle name="Cálculo 2 3" xfId="298" xr:uid="{00000000-0005-0000-0000-000086000000}"/>
    <cellStyle name="Cálculo 2 3 2" xfId="299" xr:uid="{00000000-0005-0000-0000-000087000000}"/>
    <cellStyle name="Cálculo 2 3 2 2" xfId="1038" xr:uid="{00000000-0005-0000-0000-000088000000}"/>
    <cellStyle name="Cálculo 2 3 3" xfId="1037" xr:uid="{00000000-0005-0000-0000-000089000000}"/>
    <cellStyle name="Cálculo 2 4" xfId="300" xr:uid="{00000000-0005-0000-0000-00008A000000}"/>
    <cellStyle name="Cálculo 2 4 2" xfId="1039" xr:uid="{00000000-0005-0000-0000-00008B000000}"/>
    <cellStyle name="Cálculo 2 5" xfId="1032" xr:uid="{00000000-0005-0000-0000-00008C000000}"/>
    <cellStyle name="Celda de comprobación 2" xfId="97" xr:uid="{00000000-0005-0000-0000-00008D000000}"/>
    <cellStyle name="Celda vinculada 2" xfId="98" xr:uid="{00000000-0005-0000-0000-00008E000000}"/>
    <cellStyle name="Check Cell" xfId="301" xr:uid="{00000000-0005-0000-0000-00008F000000}"/>
    <cellStyle name="Comma0" xfId="6" xr:uid="{00000000-0005-0000-0000-000090000000}"/>
    <cellStyle name="Comma0 2" xfId="303" xr:uid="{00000000-0005-0000-0000-000091000000}"/>
    <cellStyle name="Comma0 3" xfId="304" xr:uid="{00000000-0005-0000-0000-000092000000}"/>
    <cellStyle name="Comma0 4" xfId="302" xr:uid="{00000000-0005-0000-0000-000093000000}"/>
    <cellStyle name="Currency0" xfId="7" xr:uid="{00000000-0005-0000-0000-000094000000}"/>
    <cellStyle name="Currency0 2" xfId="306" xr:uid="{00000000-0005-0000-0000-000095000000}"/>
    <cellStyle name="Currency0 3" xfId="307" xr:uid="{00000000-0005-0000-0000-000096000000}"/>
    <cellStyle name="Currency0 4" xfId="305" xr:uid="{00000000-0005-0000-0000-000097000000}"/>
    <cellStyle name="Date" xfId="8" xr:uid="{00000000-0005-0000-0000-000098000000}"/>
    <cellStyle name="Date 2" xfId="309" xr:uid="{00000000-0005-0000-0000-000099000000}"/>
    <cellStyle name="Date 3" xfId="310" xr:uid="{00000000-0005-0000-0000-00009A000000}"/>
    <cellStyle name="Date 4" xfId="308" xr:uid="{00000000-0005-0000-0000-00009B000000}"/>
    <cellStyle name="Encabezado 1" xfId="311" xr:uid="{00000000-0005-0000-0000-00009C000000}"/>
    <cellStyle name="Encabezado 2" xfId="312" xr:uid="{00000000-0005-0000-0000-00009D000000}"/>
    <cellStyle name="Encabezado 4 2" xfId="99" xr:uid="{00000000-0005-0000-0000-00009E000000}"/>
    <cellStyle name="Énfasis 1" xfId="313" xr:uid="{00000000-0005-0000-0000-00009F000000}"/>
    <cellStyle name="Énfasis 2" xfId="314" xr:uid="{00000000-0005-0000-0000-0000A0000000}"/>
    <cellStyle name="Énfasis 3" xfId="315" xr:uid="{00000000-0005-0000-0000-0000A1000000}"/>
    <cellStyle name="Énfasis1 - 20%" xfId="316" xr:uid="{00000000-0005-0000-0000-0000A2000000}"/>
    <cellStyle name="Énfasis1 - 20% 2" xfId="317" xr:uid="{00000000-0005-0000-0000-0000A3000000}"/>
    <cellStyle name="Énfasis1 - 40%" xfId="318" xr:uid="{00000000-0005-0000-0000-0000A4000000}"/>
    <cellStyle name="Énfasis1 - 40% 2" xfId="319" xr:uid="{00000000-0005-0000-0000-0000A5000000}"/>
    <cellStyle name="Énfasis1 - 60%" xfId="320" xr:uid="{00000000-0005-0000-0000-0000A6000000}"/>
    <cellStyle name="Énfasis1 2" xfId="100" xr:uid="{00000000-0005-0000-0000-0000A7000000}"/>
    <cellStyle name="Énfasis1 3" xfId="321" xr:uid="{00000000-0005-0000-0000-0000A8000000}"/>
    <cellStyle name="Énfasis1 4" xfId="322" xr:uid="{00000000-0005-0000-0000-0000A9000000}"/>
    <cellStyle name="Énfasis1 5" xfId="323" xr:uid="{00000000-0005-0000-0000-0000AA000000}"/>
    <cellStyle name="Énfasis1 6" xfId="324" xr:uid="{00000000-0005-0000-0000-0000AB000000}"/>
    <cellStyle name="Énfasis2 - 20%" xfId="325" xr:uid="{00000000-0005-0000-0000-0000AC000000}"/>
    <cellStyle name="Énfasis2 - 20% 2" xfId="326" xr:uid="{00000000-0005-0000-0000-0000AD000000}"/>
    <cellStyle name="Énfasis2 - 40%" xfId="327" xr:uid="{00000000-0005-0000-0000-0000AE000000}"/>
    <cellStyle name="Énfasis2 - 40% 2" xfId="328" xr:uid="{00000000-0005-0000-0000-0000AF000000}"/>
    <cellStyle name="Énfasis2 - 60%" xfId="329" xr:uid="{00000000-0005-0000-0000-0000B0000000}"/>
    <cellStyle name="Énfasis2 2" xfId="101" xr:uid="{00000000-0005-0000-0000-0000B1000000}"/>
    <cellStyle name="Énfasis2 3" xfId="330" xr:uid="{00000000-0005-0000-0000-0000B2000000}"/>
    <cellStyle name="Énfasis2 4" xfId="331" xr:uid="{00000000-0005-0000-0000-0000B3000000}"/>
    <cellStyle name="Énfasis2 5" xfId="332" xr:uid="{00000000-0005-0000-0000-0000B4000000}"/>
    <cellStyle name="Énfasis2 6" xfId="333" xr:uid="{00000000-0005-0000-0000-0000B5000000}"/>
    <cellStyle name="Énfasis3 - 20%" xfId="334" xr:uid="{00000000-0005-0000-0000-0000B6000000}"/>
    <cellStyle name="Énfasis3 - 20% 2" xfId="335" xr:uid="{00000000-0005-0000-0000-0000B7000000}"/>
    <cellStyle name="Énfasis3 - 40%" xfId="336" xr:uid="{00000000-0005-0000-0000-0000B8000000}"/>
    <cellStyle name="Énfasis3 - 40% 2" xfId="337" xr:uid="{00000000-0005-0000-0000-0000B9000000}"/>
    <cellStyle name="Énfasis3 - 60%" xfId="338" xr:uid="{00000000-0005-0000-0000-0000BA000000}"/>
    <cellStyle name="Énfasis3 2" xfId="102" xr:uid="{00000000-0005-0000-0000-0000BB000000}"/>
    <cellStyle name="Énfasis3 3" xfId="339" xr:uid="{00000000-0005-0000-0000-0000BC000000}"/>
    <cellStyle name="Énfasis3 4" xfId="340" xr:uid="{00000000-0005-0000-0000-0000BD000000}"/>
    <cellStyle name="Énfasis3 5" xfId="341" xr:uid="{00000000-0005-0000-0000-0000BE000000}"/>
    <cellStyle name="Énfasis3 6" xfId="342" xr:uid="{00000000-0005-0000-0000-0000BF000000}"/>
    <cellStyle name="Énfasis4 - 20%" xfId="343" xr:uid="{00000000-0005-0000-0000-0000C0000000}"/>
    <cellStyle name="Énfasis4 - 20% 2" xfId="344" xr:uid="{00000000-0005-0000-0000-0000C1000000}"/>
    <cellStyle name="Énfasis4 - 40%" xfId="345" xr:uid="{00000000-0005-0000-0000-0000C2000000}"/>
    <cellStyle name="Énfasis4 - 40% 2" xfId="346" xr:uid="{00000000-0005-0000-0000-0000C3000000}"/>
    <cellStyle name="Énfasis4 - 60%" xfId="347" xr:uid="{00000000-0005-0000-0000-0000C4000000}"/>
    <cellStyle name="Énfasis4 2" xfId="103" xr:uid="{00000000-0005-0000-0000-0000C5000000}"/>
    <cellStyle name="Énfasis4 3" xfId="348" xr:uid="{00000000-0005-0000-0000-0000C6000000}"/>
    <cellStyle name="Énfasis4 4" xfId="349" xr:uid="{00000000-0005-0000-0000-0000C7000000}"/>
    <cellStyle name="Énfasis4 5" xfId="350" xr:uid="{00000000-0005-0000-0000-0000C8000000}"/>
    <cellStyle name="Énfasis4 6" xfId="351" xr:uid="{00000000-0005-0000-0000-0000C9000000}"/>
    <cellStyle name="Énfasis5 - 20%" xfId="352" xr:uid="{00000000-0005-0000-0000-0000CA000000}"/>
    <cellStyle name="Énfasis5 - 20% 2" xfId="353" xr:uid="{00000000-0005-0000-0000-0000CB000000}"/>
    <cellStyle name="Énfasis5 - 40%" xfId="354" xr:uid="{00000000-0005-0000-0000-0000CC000000}"/>
    <cellStyle name="Énfasis5 - 40% 2" xfId="355" xr:uid="{00000000-0005-0000-0000-0000CD000000}"/>
    <cellStyle name="Énfasis5 - 60%" xfId="356" xr:uid="{00000000-0005-0000-0000-0000CE000000}"/>
    <cellStyle name="Énfasis5 2" xfId="104" xr:uid="{00000000-0005-0000-0000-0000CF000000}"/>
    <cellStyle name="Énfasis5 3" xfId="357" xr:uid="{00000000-0005-0000-0000-0000D0000000}"/>
    <cellStyle name="Énfasis5 4" xfId="358" xr:uid="{00000000-0005-0000-0000-0000D1000000}"/>
    <cellStyle name="Énfasis5 5" xfId="359" xr:uid="{00000000-0005-0000-0000-0000D2000000}"/>
    <cellStyle name="Énfasis5 6" xfId="360" xr:uid="{00000000-0005-0000-0000-0000D3000000}"/>
    <cellStyle name="Énfasis6 - 20%" xfId="361" xr:uid="{00000000-0005-0000-0000-0000D4000000}"/>
    <cellStyle name="Énfasis6 - 20% 2" xfId="362" xr:uid="{00000000-0005-0000-0000-0000D5000000}"/>
    <cellStyle name="Énfasis6 - 40%" xfId="363" xr:uid="{00000000-0005-0000-0000-0000D6000000}"/>
    <cellStyle name="Énfasis6 - 40% 2" xfId="364" xr:uid="{00000000-0005-0000-0000-0000D7000000}"/>
    <cellStyle name="Énfasis6 - 60%" xfId="365" xr:uid="{00000000-0005-0000-0000-0000D8000000}"/>
    <cellStyle name="Énfasis6 2" xfId="105" xr:uid="{00000000-0005-0000-0000-0000D9000000}"/>
    <cellStyle name="Énfasis6 3" xfId="366" xr:uid="{00000000-0005-0000-0000-0000DA000000}"/>
    <cellStyle name="Énfasis6 4" xfId="367" xr:uid="{00000000-0005-0000-0000-0000DB000000}"/>
    <cellStyle name="Énfasis6 5" xfId="368" xr:uid="{00000000-0005-0000-0000-0000DC000000}"/>
    <cellStyle name="Énfasis6 6" xfId="369" xr:uid="{00000000-0005-0000-0000-0000DD000000}"/>
    <cellStyle name="Entrada 2" xfId="106" xr:uid="{00000000-0005-0000-0000-0000DE000000}"/>
    <cellStyle name="Entrada 2 2" xfId="370" xr:uid="{00000000-0005-0000-0000-0000DF000000}"/>
    <cellStyle name="Entrada 2 2 2" xfId="371" xr:uid="{00000000-0005-0000-0000-0000E0000000}"/>
    <cellStyle name="Entrada 2 2 2 2" xfId="372" xr:uid="{00000000-0005-0000-0000-0000E1000000}"/>
    <cellStyle name="Entrada 2 2 2 2 2" xfId="1043" xr:uid="{00000000-0005-0000-0000-0000E2000000}"/>
    <cellStyle name="Entrada 2 2 2 3" xfId="1042" xr:uid="{00000000-0005-0000-0000-0000E3000000}"/>
    <cellStyle name="Entrada 2 2 3" xfId="373" xr:uid="{00000000-0005-0000-0000-0000E4000000}"/>
    <cellStyle name="Entrada 2 2 3 2" xfId="1044" xr:uid="{00000000-0005-0000-0000-0000E5000000}"/>
    <cellStyle name="Entrada 2 2 4" xfId="1041" xr:uid="{00000000-0005-0000-0000-0000E6000000}"/>
    <cellStyle name="Entrada 2 3" xfId="374" xr:uid="{00000000-0005-0000-0000-0000E7000000}"/>
    <cellStyle name="Entrada 2 3 2" xfId="375" xr:uid="{00000000-0005-0000-0000-0000E8000000}"/>
    <cellStyle name="Entrada 2 3 2 2" xfId="1046" xr:uid="{00000000-0005-0000-0000-0000E9000000}"/>
    <cellStyle name="Entrada 2 3 3" xfId="1045" xr:uid="{00000000-0005-0000-0000-0000EA000000}"/>
    <cellStyle name="Entrada 2 4" xfId="376" xr:uid="{00000000-0005-0000-0000-0000EB000000}"/>
    <cellStyle name="Entrada 2 4 2" xfId="1047" xr:uid="{00000000-0005-0000-0000-0000EC000000}"/>
    <cellStyle name="Entrada 2 5" xfId="1040" xr:uid="{00000000-0005-0000-0000-0000ED000000}"/>
    <cellStyle name="Estilo 1" xfId="377" xr:uid="{00000000-0005-0000-0000-0000EE000000}"/>
    <cellStyle name="Estilo 1 2" xfId="378" xr:uid="{00000000-0005-0000-0000-0000EF000000}"/>
    <cellStyle name="Euro" xfId="9" xr:uid="{00000000-0005-0000-0000-0000F0000000}"/>
    <cellStyle name="Euro 2" xfId="10" xr:uid="{00000000-0005-0000-0000-0000F1000000}"/>
    <cellStyle name="Euro 2 2" xfId="47" xr:uid="{00000000-0005-0000-0000-0000F2000000}"/>
    <cellStyle name="Euro 2 2 2" xfId="381" xr:uid="{00000000-0005-0000-0000-0000F3000000}"/>
    <cellStyle name="Euro 2 3" xfId="108" xr:uid="{00000000-0005-0000-0000-0000F4000000}"/>
    <cellStyle name="Euro 2 3 2" xfId="382" xr:uid="{00000000-0005-0000-0000-0000F5000000}"/>
    <cellStyle name="Euro 2 4" xfId="380" xr:uid="{00000000-0005-0000-0000-0000F6000000}"/>
    <cellStyle name="Euro 3" xfId="46" xr:uid="{00000000-0005-0000-0000-0000F7000000}"/>
    <cellStyle name="Euro 3 2" xfId="384" xr:uid="{00000000-0005-0000-0000-0000F8000000}"/>
    <cellStyle name="Euro 3 3" xfId="383" xr:uid="{00000000-0005-0000-0000-0000F9000000}"/>
    <cellStyle name="Euro 4" xfId="107" xr:uid="{00000000-0005-0000-0000-0000FA000000}"/>
    <cellStyle name="Euro 5" xfId="379" xr:uid="{00000000-0005-0000-0000-0000FB000000}"/>
    <cellStyle name="Euro_ANEXO-2" xfId="385" xr:uid="{00000000-0005-0000-0000-0000FC000000}"/>
    <cellStyle name="Explanatory Text" xfId="386" xr:uid="{00000000-0005-0000-0000-0000FD000000}"/>
    <cellStyle name="Fecha" xfId="387" xr:uid="{00000000-0005-0000-0000-0000FE000000}"/>
    <cellStyle name="Fijo" xfId="388" xr:uid="{00000000-0005-0000-0000-0000FF000000}"/>
    <cellStyle name="Fixed" xfId="11" xr:uid="{00000000-0005-0000-0000-000000010000}"/>
    <cellStyle name="Fixed 2" xfId="390" xr:uid="{00000000-0005-0000-0000-000001010000}"/>
    <cellStyle name="Fixed 3" xfId="391" xr:uid="{00000000-0005-0000-0000-000002010000}"/>
    <cellStyle name="Fixed 4" xfId="389" xr:uid="{00000000-0005-0000-0000-000003010000}"/>
    <cellStyle name="Good" xfId="392" xr:uid="{00000000-0005-0000-0000-000004010000}"/>
    <cellStyle name="Heading 1" xfId="393" xr:uid="{00000000-0005-0000-0000-000005010000}"/>
    <cellStyle name="Heading 1 2" xfId="394" xr:uid="{00000000-0005-0000-0000-000006010000}"/>
    <cellStyle name="Heading 2" xfId="395" xr:uid="{00000000-0005-0000-0000-000007010000}"/>
    <cellStyle name="Heading 2 2" xfId="396" xr:uid="{00000000-0005-0000-0000-000008010000}"/>
    <cellStyle name="Heading 3" xfId="397" xr:uid="{00000000-0005-0000-0000-000009010000}"/>
    <cellStyle name="Heading 3 2" xfId="1048" xr:uid="{00000000-0005-0000-0000-00000A010000}"/>
    <cellStyle name="Heading 3 3" xfId="1057" xr:uid="{00000000-0005-0000-0000-00000B010000}"/>
    <cellStyle name="Heading 4" xfId="398" xr:uid="{00000000-0005-0000-0000-00000C010000}"/>
    <cellStyle name="Hipervínculo" xfId="3" builtinId="8"/>
    <cellStyle name="Hipervínculo 2" xfId="12" xr:uid="{00000000-0005-0000-0000-00000E010000}"/>
    <cellStyle name="Hipervínculo 2 2" xfId="109" xr:uid="{00000000-0005-0000-0000-00000F010000}"/>
    <cellStyle name="Hipervínculo 2 2 2" xfId="400" xr:uid="{00000000-0005-0000-0000-000010010000}"/>
    <cellStyle name="Hipervínculo 2 3" xfId="401" xr:uid="{00000000-0005-0000-0000-000011010000}"/>
    <cellStyle name="Hipervínculo 2 4" xfId="399" xr:uid="{00000000-0005-0000-0000-000012010000}"/>
    <cellStyle name="Hipervínculo 2 5" xfId="142" xr:uid="{00000000-0005-0000-0000-000013010000}"/>
    <cellStyle name="Hipervínculo 3" xfId="402" xr:uid="{00000000-0005-0000-0000-000014010000}"/>
    <cellStyle name="Hipervínculo 4" xfId="403" xr:uid="{00000000-0005-0000-0000-000015010000}"/>
    <cellStyle name="Hipervínculo 5" xfId="404" xr:uid="{00000000-0005-0000-0000-000016010000}"/>
    <cellStyle name="Incorrecto 2" xfId="110" xr:uid="{00000000-0005-0000-0000-000017010000}"/>
    <cellStyle name="Input" xfId="405" xr:uid="{00000000-0005-0000-0000-000018010000}"/>
    <cellStyle name="Input 2" xfId="406" xr:uid="{00000000-0005-0000-0000-000019010000}"/>
    <cellStyle name="Input 2 2" xfId="407" xr:uid="{00000000-0005-0000-0000-00001A010000}"/>
    <cellStyle name="Input 2 2 2" xfId="408" xr:uid="{00000000-0005-0000-0000-00001B010000}"/>
    <cellStyle name="Input 2 2 2 2" xfId="1052" xr:uid="{00000000-0005-0000-0000-00001C010000}"/>
    <cellStyle name="Input 2 2 3" xfId="1051" xr:uid="{00000000-0005-0000-0000-00001D010000}"/>
    <cellStyle name="Input 2 3" xfId="409" xr:uid="{00000000-0005-0000-0000-00001E010000}"/>
    <cellStyle name="Input 2 3 2" xfId="1053" xr:uid="{00000000-0005-0000-0000-00001F010000}"/>
    <cellStyle name="Input 2 4" xfId="1050" xr:uid="{00000000-0005-0000-0000-000020010000}"/>
    <cellStyle name="Input 3" xfId="410" xr:uid="{00000000-0005-0000-0000-000021010000}"/>
    <cellStyle name="Input 3 2" xfId="411" xr:uid="{00000000-0005-0000-0000-000022010000}"/>
    <cellStyle name="Input 3 2 2" xfId="1055" xr:uid="{00000000-0005-0000-0000-000023010000}"/>
    <cellStyle name="Input 3 3" xfId="1054" xr:uid="{00000000-0005-0000-0000-000024010000}"/>
    <cellStyle name="Input 4" xfId="412" xr:uid="{00000000-0005-0000-0000-000025010000}"/>
    <cellStyle name="Input 4 2" xfId="1056" xr:uid="{00000000-0005-0000-0000-000026010000}"/>
    <cellStyle name="Input 5" xfId="1049" xr:uid="{00000000-0005-0000-0000-000027010000}"/>
    <cellStyle name="Linked Cell" xfId="413" xr:uid="{00000000-0005-0000-0000-000028010000}"/>
    <cellStyle name="Millares" xfId="1" builtinId="3"/>
    <cellStyle name="Millares [0]" xfId="139" builtinId="6"/>
    <cellStyle name="Millares [0] 2" xfId="194" xr:uid="{00000000-0005-0000-0000-00002B010000}"/>
    <cellStyle name="Millares [0] 3" xfId="414" xr:uid="{00000000-0005-0000-0000-00002C010000}"/>
    <cellStyle name="Millares [0] 3 2" xfId="415" xr:uid="{00000000-0005-0000-0000-00002D010000}"/>
    <cellStyle name="Millares [0] 4" xfId="416" xr:uid="{00000000-0005-0000-0000-00002E010000}"/>
    <cellStyle name="Millares [0] 5" xfId="417" xr:uid="{00000000-0005-0000-0000-00002F010000}"/>
    <cellStyle name="Millares [0] 6" xfId="418" xr:uid="{00000000-0005-0000-0000-000030010000}"/>
    <cellStyle name="Millares [0] 7" xfId="419" xr:uid="{00000000-0005-0000-0000-000031010000}"/>
    <cellStyle name="Millares [0] 7 2" xfId="420" xr:uid="{00000000-0005-0000-0000-000032010000}"/>
    <cellStyle name="Millares [0] 8" xfId="421" xr:uid="{00000000-0005-0000-0000-000033010000}"/>
    <cellStyle name="Millares [0] 9" xfId="1015" xr:uid="{00000000-0005-0000-0000-000034010000}"/>
    <cellStyle name="Millares 10" xfId="156" xr:uid="{00000000-0005-0000-0000-000035010000}"/>
    <cellStyle name="Millares 10 2" xfId="422" xr:uid="{00000000-0005-0000-0000-000036010000}"/>
    <cellStyle name="Millares 11" xfId="423" xr:uid="{00000000-0005-0000-0000-000037010000}"/>
    <cellStyle name="Millares 12" xfId="424" xr:uid="{00000000-0005-0000-0000-000038010000}"/>
    <cellStyle name="Millares 13" xfId="425" xr:uid="{00000000-0005-0000-0000-000039010000}"/>
    <cellStyle name="Millares 13 2" xfId="426" xr:uid="{00000000-0005-0000-0000-00003A010000}"/>
    <cellStyle name="Millares 13 2 2" xfId="427" xr:uid="{00000000-0005-0000-0000-00003B010000}"/>
    <cellStyle name="Millares 13 2 2 2" xfId="428" xr:uid="{00000000-0005-0000-0000-00003C010000}"/>
    <cellStyle name="Millares 13 2 3" xfId="429" xr:uid="{00000000-0005-0000-0000-00003D010000}"/>
    <cellStyle name="Millares 14" xfId="430" xr:uid="{00000000-0005-0000-0000-00003E010000}"/>
    <cellStyle name="Millares 14 2" xfId="431" xr:uid="{00000000-0005-0000-0000-00003F010000}"/>
    <cellStyle name="Millares 15" xfId="432" xr:uid="{00000000-0005-0000-0000-000040010000}"/>
    <cellStyle name="Millares 15 2" xfId="433" xr:uid="{00000000-0005-0000-0000-000041010000}"/>
    <cellStyle name="Millares 15 2 2" xfId="434" xr:uid="{00000000-0005-0000-0000-000042010000}"/>
    <cellStyle name="Millares 16" xfId="435" xr:uid="{00000000-0005-0000-0000-000043010000}"/>
    <cellStyle name="Millares 17" xfId="436" xr:uid="{00000000-0005-0000-0000-000044010000}"/>
    <cellStyle name="Millares 18" xfId="437" xr:uid="{00000000-0005-0000-0000-000045010000}"/>
    <cellStyle name="Millares 19" xfId="438" xr:uid="{00000000-0005-0000-0000-000046010000}"/>
    <cellStyle name="Millares 2" xfId="13" xr:uid="{00000000-0005-0000-0000-000047010000}"/>
    <cellStyle name="Millares 2 2" xfId="48" xr:uid="{00000000-0005-0000-0000-000048010000}"/>
    <cellStyle name="Millares 2 2 2" xfId="439" xr:uid="{00000000-0005-0000-0000-000049010000}"/>
    <cellStyle name="Millares 2 2 2 2" xfId="440" xr:uid="{00000000-0005-0000-0000-00004A010000}"/>
    <cellStyle name="Millares 2 2 2 3" xfId="441" xr:uid="{00000000-0005-0000-0000-00004B010000}"/>
    <cellStyle name="Millares 2 2 2 3 2" xfId="442" xr:uid="{00000000-0005-0000-0000-00004C010000}"/>
    <cellStyle name="Millares 2 2 2 4" xfId="443" xr:uid="{00000000-0005-0000-0000-00004D010000}"/>
    <cellStyle name="Millares 2 2 2 5" xfId="444" xr:uid="{00000000-0005-0000-0000-00004E010000}"/>
    <cellStyle name="Millares 2 2 3" xfId="445" xr:uid="{00000000-0005-0000-0000-00004F010000}"/>
    <cellStyle name="Millares 2 2 3 2" xfId="446" xr:uid="{00000000-0005-0000-0000-000050010000}"/>
    <cellStyle name="Millares 2 2 4" xfId="153" xr:uid="{00000000-0005-0000-0000-000051010000}"/>
    <cellStyle name="Millares 2 3" xfId="186" xr:uid="{00000000-0005-0000-0000-000052010000}"/>
    <cellStyle name="Millares 2 3 2" xfId="447" xr:uid="{00000000-0005-0000-0000-000053010000}"/>
    <cellStyle name="Millares 2 4" xfId="137" xr:uid="{00000000-0005-0000-0000-000054010000}"/>
    <cellStyle name="Millares 2 4 2" xfId="449" xr:uid="{00000000-0005-0000-0000-000055010000}"/>
    <cellStyle name="Millares 2 4 3" xfId="448" xr:uid="{00000000-0005-0000-0000-000056010000}"/>
    <cellStyle name="Millares 2 4 4" xfId="1123" xr:uid="{00000000-0005-0000-0000-000057010000}"/>
    <cellStyle name="Millares 2 5" xfId="159" xr:uid="{00000000-0005-0000-0000-000058010000}"/>
    <cellStyle name="Millares 2 5 2" xfId="1012" xr:uid="{00000000-0005-0000-0000-000059010000}"/>
    <cellStyle name="Millares 2 6" xfId="1121" xr:uid="{00000000-0005-0000-0000-00005A010000}"/>
    <cellStyle name="Millares 2_AMPLIACION ESTACIONES-TM-27-NOVIEMBRE-2012" xfId="450" xr:uid="{00000000-0005-0000-0000-00005B010000}"/>
    <cellStyle name="Millares 20" xfId="451" xr:uid="{00000000-0005-0000-0000-00005C010000}"/>
    <cellStyle name="Millares 21" xfId="452" xr:uid="{00000000-0005-0000-0000-00005D010000}"/>
    <cellStyle name="Millares 22" xfId="453" xr:uid="{00000000-0005-0000-0000-00005E010000}"/>
    <cellStyle name="Millares 23" xfId="454" xr:uid="{00000000-0005-0000-0000-00005F010000}"/>
    <cellStyle name="Millares 24" xfId="455" xr:uid="{00000000-0005-0000-0000-000060010000}"/>
    <cellStyle name="Millares 25" xfId="456" xr:uid="{00000000-0005-0000-0000-000061010000}"/>
    <cellStyle name="Millares 26" xfId="457" xr:uid="{00000000-0005-0000-0000-000062010000}"/>
    <cellStyle name="Millares 27" xfId="458" xr:uid="{00000000-0005-0000-0000-000063010000}"/>
    <cellStyle name="Millares 28" xfId="459" xr:uid="{00000000-0005-0000-0000-000064010000}"/>
    <cellStyle name="Millares 29" xfId="460" xr:uid="{00000000-0005-0000-0000-000065010000}"/>
    <cellStyle name="Millares 3" xfId="14" xr:uid="{00000000-0005-0000-0000-000066010000}"/>
    <cellStyle name="Millares 3 2" xfId="49" xr:uid="{00000000-0005-0000-0000-000067010000}"/>
    <cellStyle name="Millares 3 2 2" xfId="168" xr:uid="{00000000-0005-0000-0000-000068010000}"/>
    <cellStyle name="Millares 3 2 2 2" xfId="463" xr:uid="{00000000-0005-0000-0000-000069010000}"/>
    <cellStyle name="Millares 3 2 3" xfId="464" xr:uid="{00000000-0005-0000-0000-00006A010000}"/>
    <cellStyle name="Millares 3 2 3 2" xfId="465" xr:uid="{00000000-0005-0000-0000-00006B010000}"/>
    <cellStyle name="Millares 3 2 4" xfId="466" xr:uid="{00000000-0005-0000-0000-00006C010000}"/>
    <cellStyle name="Millares 3 2 5" xfId="462" xr:uid="{00000000-0005-0000-0000-00006D010000}"/>
    <cellStyle name="Millares 3 3" xfId="111" xr:uid="{00000000-0005-0000-0000-00006E010000}"/>
    <cellStyle name="Millares 3 3 2" xfId="468" xr:uid="{00000000-0005-0000-0000-00006F010000}"/>
    <cellStyle name="Millares 3 3 3" xfId="467" xr:uid="{00000000-0005-0000-0000-000070010000}"/>
    <cellStyle name="Millares 3 4" xfId="469" xr:uid="{00000000-0005-0000-0000-000071010000}"/>
    <cellStyle name="Millares 3 4 2" xfId="470" xr:uid="{00000000-0005-0000-0000-000072010000}"/>
    <cellStyle name="Millares 3 5" xfId="471" xr:uid="{00000000-0005-0000-0000-000073010000}"/>
    <cellStyle name="Millares 3 5 2" xfId="472" xr:uid="{00000000-0005-0000-0000-000074010000}"/>
    <cellStyle name="Millares 3 5 2 2" xfId="473" xr:uid="{00000000-0005-0000-0000-000075010000}"/>
    <cellStyle name="Millares 3 5 3" xfId="474" xr:uid="{00000000-0005-0000-0000-000076010000}"/>
    <cellStyle name="Millares 3 6" xfId="475" xr:uid="{00000000-0005-0000-0000-000077010000}"/>
    <cellStyle name="Millares 3 6 2" xfId="476" xr:uid="{00000000-0005-0000-0000-000078010000}"/>
    <cellStyle name="Millares 3 7" xfId="477" xr:uid="{00000000-0005-0000-0000-000079010000}"/>
    <cellStyle name="Millares 3 8" xfId="461" xr:uid="{00000000-0005-0000-0000-00007A010000}"/>
    <cellStyle name="Millares 30" xfId="478" xr:uid="{00000000-0005-0000-0000-00007B010000}"/>
    <cellStyle name="Millares 31" xfId="479" xr:uid="{00000000-0005-0000-0000-00007C010000}"/>
    <cellStyle name="Millares 32" xfId="480" xr:uid="{00000000-0005-0000-0000-00007D010000}"/>
    <cellStyle name="Millares 33" xfId="481" xr:uid="{00000000-0005-0000-0000-00007E010000}"/>
    <cellStyle name="Millares 34" xfId="482" xr:uid="{00000000-0005-0000-0000-00007F010000}"/>
    <cellStyle name="Millares 35" xfId="483" xr:uid="{00000000-0005-0000-0000-000080010000}"/>
    <cellStyle name="Millares 36" xfId="484" xr:uid="{00000000-0005-0000-0000-000081010000}"/>
    <cellStyle name="Millares 37" xfId="485" xr:uid="{00000000-0005-0000-0000-000082010000}"/>
    <cellStyle name="Millares 38" xfId="486" xr:uid="{00000000-0005-0000-0000-000083010000}"/>
    <cellStyle name="Millares 39" xfId="487" xr:uid="{00000000-0005-0000-0000-000084010000}"/>
    <cellStyle name="Millares 4" xfId="15" xr:uid="{00000000-0005-0000-0000-000085010000}"/>
    <cellStyle name="Millares 4 10" xfId="489" xr:uid="{00000000-0005-0000-0000-000086010000}"/>
    <cellStyle name="Millares 4 11" xfId="490" xr:uid="{00000000-0005-0000-0000-000087010000}"/>
    <cellStyle name="Millares 4 12" xfId="491" xr:uid="{00000000-0005-0000-0000-000088010000}"/>
    <cellStyle name="Millares 4 13" xfId="492" xr:uid="{00000000-0005-0000-0000-000089010000}"/>
    <cellStyle name="Millares 4 14" xfId="493" xr:uid="{00000000-0005-0000-0000-00008A010000}"/>
    <cellStyle name="Millares 4 15" xfId="494" xr:uid="{00000000-0005-0000-0000-00008B010000}"/>
    <cellStyle name="Millares 4 16" xfId="495" xr:uid="{00000000-0005-0000-0000-00008C010000}"/>
    <cellStyle name="Millares 4 17" xfId="496" xr:uid="{00000000-0005-0000-0000-00008D010000}"/>
    <cellStyle name="Millares 4 18" xfId="497" xr:uid="{00000000-0005-0000-0000-00008E010000}"/>
    <cellStyle name="Millares 4 19" xfId="498" xr:uid="{00000000-0005-0000-0000-00008F010000}"/>
    <cellStyle name="Millares 4 2" xfId="50" xr:uid="{00000000-0005-0000-0000-000090010000}"/>
    <cellStyle name="Millares 4 20" xfId="499" xr:uid="{00000000-0005-0000-0000-000091010000}"/>
    <cellStyle name="Millares 4 21" xfId="500" xr:uid="{00000000-0005-0000-0000-000092010000}"/>
    <cellStyle name="Millares 4 22" xfId="501" xr:uid="{00000000-0005-0000-0000-000093010000}"/>
    <cellStyle name="Millares 4 23" xfId="502" xr:uid="{00000000-0005-0000-0000-000094010000}"/>
    <cellStyle name="Millares 4 24" xfId="503" xr:uid="{00000000-0005-0000-0000-000095010000}"/>
    <cellStyle name="Millares 4 25" xfId="504" xr:uid="{00000000-0005-0000-0000-000096010000}"/>
    <cellStyle name="Millares 4 26" xfId="505" xr:uid="{00000000-0005-0000-0000-000097010000}"/>
    <cellStyle name="Millares 4 27" xfId="506" xr:uid="{00000000-0005-0000-0000-000098010000}"/>
    <cellStyle name="Millares 4 28" xfId="507" xr:uid="{00000000-0005-0000-0000-000099010000}"/>
    <cellStyle name="Millares 4 29" xfId="508" xr:uid="{00000000-0005-0000-0000-00009A010000}"/>
    <cellStyle name="Millares 4 3" xfId="509" xr:uid="{00000000-0005-0000-0000-00009B010000}"/>
    <cellStyle name="Millares 4 3 2" xfId="510" xr:uid="{00000000-0005-0000-0000-00009C010000}"/>
    <cellStyle name="Millares 4 30" xfId="511" xr:uid="{00000000-0005-0000-0000-00009D010000}"/>
    <cellStyle name="Millares 4 31" xfId="512" xr:uid="{00000000-0005-0000-0000-00009E010000}"/>
    <cellStyle name="Millares 4 32" xfId="513" xr:uid="{00000000-0005-0000-0000-00009F010000}"/>
    <cellStyle name="Millares 4 33" xfId="514" xr:uid="{00000000-0005-0000-0000-0000A0010000}"/>
    <cellStyle name="Millares 4 34" xfId="515" xr:uid="{00000000-0005-0000-0000-0000A1010000}"/>
    <cellStyle name="Millares 4 35" xfId="516" xr:uid="{00000000-0005-0000-0000-0000A2010000}"/>
    <cellStyle name="Millares 4 36" xfId="517" xr:uid="{00000000-0005-0000-0000-0000A3010000}"/>
    <cellStyle name="Millares 4 37" xfId="518" xr:uid="{00000000-0005-0000-0000-0000A4010000}"/>
    <cellStyle name="Millares 4 38" xfId="519" xr:uid="{00000000-0005-0000-0000-0000A5010000}"/>
    <cellStyle name="Millares 4 39" xfId="488" xr:uid="{00000000-0005-0000-0000-0000A6010000}"/>
    <cellStyle name="Millares 4 4" xfId="520" xr:uid="{00000000-0005-0000-0000-0000A7010000}"/>
    <cellStyle name="Millares 4 5" xfId="521" xr:uid="{00000000-0005-0000-0000-0000A8010000}"/>
    <cellStyle name="Millares 4 6" xfId="522" xr:uid="{00000000-0005-0000-0000-0000A9010000}"/>
    <cellStyle name="Millares 4 7" xfId="523" xr:uid="{00000000-0005-0000-0000-0000AA010000}"/>
    <cellStyle name="Millares 4 8" xfId="524" xr:uid="{00000000-0005-0000-0000-0000AB010000}"/>
    <cellStyle name="Millares 4 9" xfId="525" xr:uid="{00000000-0005-0000-0000-0000AC010000}"/>
    <cellStyle name="Millares 40" xfId="526" xr:uid="{00000000-0005-0000-0000-0000AD010000}"/>
    <cellStyle name="Millares 41" xfId="527" xr:uid="{00000000-0005-0000-0000-0000AE010000}"/>
    <cellStyle name="Millares 42" xfId="528" xr:uid="{00000000-0005-0000-0000-0000AF010000}"/>
    <cellStyle name="Millares 43" xfId="529" xr:uid="{00000000-0005-0000-0000-0000B0010000}"/>
    <cellStyle name="Millares 44" xfId="530" xr:uid="{00000000-0005-0000-0000-0000B1010000}"/>
    <cellStyle name="Millares 45" xfId="531" xr:uid="{00000000-0005-0000-0000-0000B2010000}"/>
    <cellStyle name="Millares 46" xfId="532" xr:uid="{00000000-0005-0000-0000-0000B3010000}"/>
    <cellStyle name="Millares 47" xfId="533" xr:uid="{00000000-0005-0000-0000-0000B4010000}"/>
    <cellStyle name="Millares 47 2" xfId="534" xr:uid="{00000000-0005-0000-0000-0000B5010000}"/>
    <cellStyle name="Millares 48" xfId="535" xr:uid="{00000000-0005-0000-0000-0000B6010000}"/>
    <cellStyle name="Millares 49" xfId="536" xr:uid="{00000000-0005-0000-0000-0000B7010000}"/>
    <cellStyle name="Millares 5" xfId="16" xr:uid="{00000000-0005-0000-0000-0000B8010000}"/>
    <cellStyle name="Millares 5 2" xfId="51" xr:uid="{00000000-0005-0000-0000-0000B9010000}"/>
    <cellStyle name="Millares 5 2 2" xfId="76" xr:uid="{00000000-0005-0000-0000-0000BA010000}"/>
    <cellStyle name="Millares 5 2 3" xfId="537" xr:uid="{00000000-0005-0000-0000-0000BB010000}"/>
    <cellStyle name="Millares 5 3" xfId="74" xr:uid="{00000000-0005-0000-0000-0000BC010000}"/>
    <cellStyle name="Millares 5 3 2" xfId="538" xr:uid="{00000000-0005-0000-0000-0000BD010000}"/>
    <cellStyle name="Millares 5 4" xfId="539" xr:uid="{00000000-0005-0000-0000-0000BE010000}"/>
    <cellStyle name="Millares 50" xfId="540" xr:uid="{00000000-0005-0000-0000-0000BF010000}"/>
    <cellStyle name="Millares 51" xfId="541" xr:uid="{00000000-0005-0000-0000-0000C0010000}"/>
    <cellStyle name="Millares 51 2" xfId="542" xr:uid="{00000000-0005-0000-0000-0000C1010000}"/>
    <cellStyle name="Millares 52" xfId="543" xr:uid="{00000000-0005-0000-0000-0000C2010000}"/>
    <cellStyle name="Millares 52 2" xfId="544" xr:uid="{00000000-0005-0000-0000-0000C3010000}"/>
    <cellStyle name="Millares 53" xfId="545" xr:uid="{00000000-0005-0000-0000-0000C4010000}"/>
    <cellStyle name="Millares 53 2" xfId="546" xr:uid="{00000000-0005-0000-0000-0000C5010000}"/>
    <cellStyle name="Millares 53 2 2" xfId="547" xr:uid="{00000000-0005-0000-0000-0000C6010000}"/>
    <cellStyle name="Millares 53 3" xfId="548" xr:uid="{00000000-0005-0000-0000-0000C7010000}"/>
    <cellStyle name="Millares 53 3 2" xfId="180" xr:uid="{00000000-0005-0000-0000-0000C8010000}"/>
    <cellStyle name="Millares 54" xfId="549" xr:uid="{00000000-0005-0000-0000-0000C9010000}"/>
    <cellStyle name="Millares 54 2" xfId="550" xr:uid="{00000000-0005-0000-0000-0000CA010000}"/>
    <cellStyle name="Millares 54 2 2" xfId="551" xr:uid="{00000000-0005-0000-0000-0000CB010000}"/>
    <cellStyle name="Millares 54 3" xfId="552" xr:uid="{00000000-0005-0000-0000-0000CC010000}"/>
    <cellStyle name="Millares 55" xfId="190" xr:uid="{00000000-0005-0000-0000-0000CD010000}"/>
    <cellStyle name="Millares 55 2" xfId="553" xr:uid="{00000000-0005-0000-0000-0000CE010000}"/>
    <cellStyle name="Millares 55 2 2" xfId="554" xr:uid="{00000000-0005-0000-0000-0000CF010000}"/>
    <cellStyle name="Millares 55 3" xfId="555" xr:uid="{00000000-0005-0000-0000-0000D0010000}"/>
    <cellStyle name="Millares 56" xfId="556" xr:uid="{00000000-0005-0000-0000-0000D1010000}"/>
    <cellStyle name="Millares 56 2" xfId="557" xr:uid="{00000000-0005-0000-0000-0000D2010000}"/>
    <cellStyle name="Millares 56 2 2" xfId="558" xr:uid="{00000000-0005-0000-0000-0000D3010000}"/>
    <cellStyle name="Millares 56 3" xfId="559" xr:uid="{00000000-0005-0000-0000-0000D4010000}"/>
    <cellStyle name="Millares 57" xfId="560" xr:uid="{00000000-0005-0000-0000-0000D5010000}"/>
    <cellStyle name="Millares 57 2" xfId="561" xr:uid="{00000000-0005-0000-0000-0000D6010000}"/>
    <cellStyle name="Millares 57 2 2" xfId="562" xr:uid="{00000000-0005-0000-0000-0000D7010000}"/>
    <cellStyle name="Millares 57 3" xfId="563" xr:uid="{00000000-0005-0000-0000-0000D8010000}"/>
    <cellStyle name="Millares 58" xfId="164" xr:uid="{00000000-0005-0000-0000-0000D9010000}"/>
    <cellStyle name="Millares 58 2" xfId="564" xr:uid="{00000000-0005-0000-0000-0000DA010000}"/>
    <cellStyle name="Millares 59" xfId="990" xr:uid="{00000000-0005-0000-0000-0000DB010000}"/>
    <cellStyle name="Millares 6" xfId="73" xr:uid="{00000000-0005-0000-0000-0000DC010000}"/>
    <cellStyle name="Millares 6 2" xfId="566" xr:uid="{00000000-0005-0000-0000-0000DD010000}"/>
    <cellStyle name="Millares 6 3" xfId="567" xr:uid="{00000000-0005-0000-0000-0000DE010000}"/>
    <cellStyle name="Millares 6 4" xfId="565" xr:uid="{00000000-0005-0000-0000-0000DF010000}"/>
    <cellStyle name="Millares 60" xfId="1115" xr:uid="{00000000-0005-0000-0000-0000E0010000}"/>
    <cellStyle name="Millares 61" xfId="1022" xr:uid="{00000000-0005-0000-0000-0000E1010000}"/>
    <cellStyle name="Millares 62" xfId="1117" xr:uid="{00000000-0005-0000-0000-0000E2010000}"/>
    <cellStyle name="Millares 7" xfId="568" xr:uid="{00000000-0005-0000-0000-0000E3010000}"/>
    <cellStyle name="Millares 7 2" xfId="569" xr:uid="{00000000-0005-0000-0000-0000E4010000}"/>
    <cellStyle name="Millares 7 3" xfId="570" xr:uid="{00000000-0005-0000-0000-0000E5010000}"/>
    <cellStyle name="Millares 8" xfId="571" xr:uid="{00000000-0005-0000-0000-0000E6010000}"/>
    <cellStyle name="Millares 8 2" xfId="572" xr:uid="{00000000-0005-0000-0000-0000E7010000}"/>
    <cellStyle name="Millares 9" xfId="573" xr:uid="{00000000-0005-0000-0000-0000E8010000}"/>
    <cellStyle name="Mill_x0014_res" xfId="112" xr:uid="{00000000-0005-0000-0000-0000E9010000}"/>
    <cellStyle name="Moneda" xfId="41" builtinId="4"/>
    <cellStyle name="Moneda [0]" xfId="43" builtinId="7"/>
    <cellStyle name="Moneda [0] 2" xfId="75" xr:uid="{00000000-0005-0000-0000-0000EC010000}"/>
    <cellStyle name="Moneda [0] 2 2" xfId="1018" xr:uid="{00000000-0005-0000-0000-0000ED010000}"/>
    <cellStyle name="Moneda [0] 2 3" xfId="188" xr:uid="{00000000-0005-0000-0000-0000EE010000}"/>
    <cellStyle name="Moneda [0] 2 4" xfId="150" xr:uid="{00000000-0005-0000-0000-0000EF010000}"/>
    <cellStyle name="Moneda [0] 3" xfId="195" xr:uid="{00000000-0005-0000-0000-0000F0010000}"/>
    <cellStyle name="Moneda [0] 4" xfId="1126" xr:uid="{2B02CD2A-9065-4B81-8F04-9DAEC0AFEFCF}"/>
    <cellStyle name="Moneda 10" xfId="145" xr:uid="{00000000-0005-0000-0000-0000F1010000}"/>
    <cellStyle name="Moneda 10 2" xfId="575" xr:uid="{00000000-0005-0000-0000-0000F2010000}"/>
    <cellStyle name="Moneda 10 3" xfId="574" xr:uid="{00000000-0005-0000-0000-0000F3010000}"/>
    <cellStyle name="Moneda 11" xfId="141" xr:uid="{00000000-0005-0000-0000-0000F4010000}"/>
    <cellStyle name="Moneda 11 2" xfId="576" xr:uid="{00000000-0005-0000-0000-0000F5010000}"/>
    <cellStyle name="Moneda 12" xfId="577" xr:uid="{00000000-0005-0000-0000-0000F6010000}"/>
    <cellStyle name="Moneda 13" xfId="578" xr:uid="{00000000-0005-0000-0000-0000F7010000}"/>
    <cellStyle name="Moneda 14" xfId="136" xr:uid="{00000000-0005-0000-0000-0000F8010000}"/>
    <cellStyle name="Moneda 14 2" xfId="580" xr:uid="{00000000-0005-0000-0000-0000F9010000}"/>
    <cellStyle name="Moneda 14 2 2" xfId="581" xr:uid="{00000000-0005-0000-0000-0000FA010000}"/>
    <cellStyle name="Moneda 14 3" xfId="582" xr:uid="{00000000-0005-0000-0000-0000FB010000}"/>
    <cellStyle name="Moneda 14 4" xfId="579" xr:uid="{00000000-0005-0000-0000-0000FC010000}"/>
    <cellStyle name="Moneda 15" xfId="138" xr:uid="{00000000-0005-0000-0000-0000FD010000}"/>
    <cellStyle name="Moneda 15 2" xfId="584" xr:uid="{00000000-0005-0000-0000-0000FE010000}"/>
    <cellStyle name="Moneda 15 3" xfId="585" xr:uid="{00000000-0005-0000-0000-0000FF010000}"/>
    <cellStyle name="Moneda 15 4" xfId="583" xr:uid="{00000000-0005-0000-0000-000000020000}"/>
    <cellStyle name="Moneda 16" xfId="1016" xr:uid="{00000000-0005-0000-0000-000001020000}"/>
    <cellStyle name="Moneda 17" xfId="1021" xr:uid="{00000000-0005-0000-0000-000002020000}"/>
    <cellStyle name="Moneda 18" xfId="187" xr:uid="{00000000-0005-0000-0000-000003020000}"/>
    <cellStyle name="Moneda 19" xfId="140" xr:uid="{00000000-0005-0000-0000-000004020000}"/>
    <cellStyle name="Moneda 2" xfId="17" xr:uid="{00000000-0005-0000-0000-000005020000}"/>
    <cellStyle name="Moneda 2 10" xfId="1013" xr:uid="{00000000-0005-0000-0000-000006020000}"/>
    <cellStyle name="Moneda 2 11" xfId="144" xr:uid="{00000000-0005-0000-0000-000007020000}"/>
    <cellStyle name="Moneda 2 2" xfId="18" xr:uid="{00000000-0005-0000-0000-000008020000}"/>
    <cellStyle name="Moneda 2 2 2" xfId="53" xr:uid="{00000000-0005-0000-0000-000009020000}"/>
    <cellStyle name="Moneda 2 2 2 2" xfId="587" xr:uid="{00000000-0005-0000-0000-00000A020000}"/>
    <cellStyle name="Moneda 2 2 2 3" xfId="588" xr:uid="{00000000-0005-0000-0000-00000B020000}"/>
    <cellStyle name="Moneda 2 2 2 3 2" xfId="589" xr:uid="{00000000-0005-0000-0000-00000C020000}"/>
    <cellStyle name="Moneda 2 2 2 4" xfId="590" xr:uid="{00000000-0005-0000-0000-00000D020000}"/>
    <cellStyle name="Moneda 2 2 2 5" xfId="586" xr:uid="{00000000-0005-0000-0000-00000E020000}"/>
    <cellStyle name="Moneda 2 2 3" xfId="591" xr:uid="{00000000-0005-0000-0000-00000F020000}"/>
    <cellStyle name="Moneda 2 2 3 2" xfId="592" xr:uid="{00000000-0005-0000-0000-000010020000}"/>
    <cellStyle name="Moneda 2 2 3 2 2" xfId="593" xr:uid="{00000000-0005-0000-0000-000011020000}"/>
    <cellStyle name="Moneda 2 2 3 3" xfId="594" xr:uid="{00000000-0005-0000-0000-000012020000}"/>
    <cellStyle name="Moneda 2 2 3 4" xfId="595" xr:uid="{00000000-0005-0000-0000-000013020000}"/>
    <cellStyle name="Moneda 2 2 4" xfId="596" xr:uid="{00000000-0005-0000-0000-000014020000}"/>
    <cellStyle name="Moneda 2 2 4 2" xfId="597" xr:uid="{00000000-0005-0000-0000-000015020000}"/>
    <cellStyle name="Moneda 2 2 5" xfId="152" xr:uid="{00000000-0005-0000-0000-000016020000}"/>
    <cellStyle name="Moneda 2 3" xfId="52" xr:uid="{00000000-0005-0000-0000-000017020000}"/>
    <cellStyle name="Moneda 2 3 2" xfId="599" xr:uid="{00000000-0005-0000-0000-000018020000}"/>
    <cellStyle name="Moneda 2 3 2 2" xfId="600" xr:uid="{00000000-0005-0000-0000-000019020000}"/>
    <cellStyle name="Moneda 2 3 2 3" xfId="601" xr:uid="{00000000-0005-0000-0000-00001A020000}"/>
    <cellStyle name="Moneda 2 3 2 3 2" xfId="602" xr:uid="{00000000-0005-0000-0000-00001B020000}"/>
    <cellStyle name="Moneda 2 3 2 4" xfId="603" xr:uid="{00000000-0005-0000-0000-00001C020000}"/>
    <cellStyle name="Moneda 2 3 3" xfId="604" xr:uid="{00000000-0005-0000-0000-00001D020000}"/>
    <cellStyle name="Moneda 2 3 4" xfId="176" xr:uid="{00000000-0005-0000-0000-00001E020000}"/>
    <cellStyle name="Moneda 2 3 5" xfId="598" xr:uid="{00000000-0005-0000-0000-00001F020000}"/>
    <cellStyle name="Moneda 2 3 6" xfId="160" xr:uid="{00000000-0005-0000-0000-000020020000}"/>
    <cellStyle name="Moneda 2 4" xfId="184" xr:uid="{00000000-0005-0000-0000-000021020000}"/>
    <cellStyle name="Moneda 2 4 2" xfId="605" xr:uid="{00000000-0005-0000-0000-000022020000}"/>
    <cellStyle name="Moneda 2 4 2 2" xfId="606" xr:uid="{00000000-0005-0000-0000-000023020000}"/>
    <cellStyle name="Moneda 2 4 3" xfId="607" xr:uid="{00000000-0005-0000-0000-000024020000}"/>
    <cellStyle name="Moneda 2 4 3 2" xfId="608" xr:uid="{00000000-0005-0000-0000-000025020000}"/>
    <cellStyle name="Moneda 2 4 3 3" xfId="609" xr:uid="{00000000-0005-0000-0000-000026020000}"/>
    <cellStyle name="Moneda 2 4 4" xfId="610" xr:uid="{00000000-0005-0000-0000-000027020000}"/>
    <cellStyle name="Moneda 2 5" xfId="611" xr:uid="{00000000-0005-0000-0000-000028020000}"/>
    <cellStyle name="Moneda 2 5 2" xfId="612" xr:uid="{00000000-0005-0000-0000-000029020000}"/>
    <cellStyle name="Moneda 2 6" xfId="613" xr:uid="{00000000-0005-0000-0000-00002A020000}"/>
    <cellStyle name="Moneda 2 6 2" xfId="614" xr:uid="{00000000-0005-0000-0000-00002B020000}"/>
    <cellStyle name="Moneda 2 7" xfId="615" xr:uid="{00000000-0005-0000-0000-00002C020000}"/>
    <cellStyle name="Moneda 2 7 2" xfId="616" xr:uid="{00000000-0005-0000-0000-00002D020000}"/>
    <cellStyle name="Moneda 2 8" xfId="617" xr:uid="{00000000-0005-0000-0000-00002E020000}"/>
    <cellStyle name="Moneda 2 9" xfId="193" xr:uid="{00000000-0005-0000-0000-00002F020000}"/>
    <cellStyle name="Moneda 2_AIU-unificado" xfId="618" xr:uid="{00000000-0005-0000-0000-000030020000}"/>
    <cellStyle name="Moneda 20" xfId="989" xr:uid="{00000000-0005-0000-0000-000031020000}"/>
    <cellStyle name="Moneda 21" xfId="1114" xr:uid="{00000000-0005-0000-0000-000032020000}"/>
    <cellStyle name="Moneda 22" xfId="1118" xr:uid="{00000000-0005-0000-0000-000033020000}"/>
    <cellStyle name="Moneda 3" xfId="19" xr:uid="{00000000-0005-0000-0000-000034020000}"/>
    <cellStyle name="Moneda 3 2" xfId="54" xr:uid="{00000000-0005-0000-0000-000035020000}"/>
    <cellStyle name="Moneda 3 2 2" xfId="620" xr:uid="{00000000-0005-0000-0000-000036020000}"/>
    <cellStyle name="Moneda 3 2 2 2" xfId="621" xr:uid="{00000000-0005-0000-0000-000037020000}"/>
    <cellStyle name="Moneda 3 2 3" xfId="622" xr:uid="{00000000-0005-0000-0000-000038020000}"/>
    <cellStyle name="Moneda 3 2 4" xfId="619" xr:uid="{00000000-0005-0000-0000-000039020000}"/>
    <cellStyle name="Moneda 3 2 5" xfId="154" xr:uid="{00000000-0005-0000-0000-00003A020000}"/>
    <cellStyle name="Moneda 3 3" xfId="169" xr:uid="{00000000-0005-0000-0000-00003B020000}"/>
    <cellStyle name="Moneda 3 3 2" xfId="623" xr:uid="{00000000-0005-0000-0000-00003C020000}"/>
    <cellStyle name="Moneda 3 3 2 2" xfId="624" xr:uid="{00000000-0005-0000-0000-00003D020000}"/>
    <cellStyle name="Moneda 3 3 3" xfId="625" xr:uid="{00000000-0005-0000-0000-00003E020000}"/>
    <cellStyle name="Moneda 3 4" xfId="626" xr:uid="{00000000-0005-0000-0000-00003F020000}"/>
    <cellStyle name="Moneda 3 4 2" xfId="627" xr:uid="{00000000-0005-0000-0000-000040020000}"/>
    <cellStyle name="Moneda 3 5" xfId="628" xr:uid="{00000000-0005-0000-0000-000041020000}"/>
    <cellStyle name="Moneda 3 5 2" xfId="629" xr:uid="{00000000-0005-0000-0000-000042020000}"/>
    <cellStyle name="Moneda 3 5 2 2" xfId="630" xr:uid="{00000000-0005-0000-0000-000043020000}"/>
    <cellStyle name="Moneda 3 5 2 2 2" xfId="631" xr:uid="{00000000-0005-0000-0000-000044020000}"/>
    <cellStyle name="Moneda 3 5 2 3" xfId="632" xr:uid="{00000000-0005-0000-0000-000045020000}"/>
    <cellStyle name="Moneda 3 5 3" xfId="633" xr:uid="{00000000-0005-0000-0000-000046020000}"/>
    <cellStyle name="Moneda 3 5 4" xfId="634" xr:uid="{00000000-0005-0000-0000-000047020000}"/>
    <cellStyle name="Moneda 3 6" xfId="635" xr:uid="{00000000-0005-0000-0000-000048020000}"/>
    <cellStyle name="Moneda 3 6 2" xfId="636" xr:uid="{00000000-0005-0000-0000-000049020000}"/>
    <cellStyle name="Moneda 3 7" xfId="637" xr:uid="{00000000-0005-0000-0000-00004A020000}"/>
    <cellStyle name="Moneda 3 8" xfId="189" xr:uid="{00000000-0005-0000-0000-00004B020000}"/>
    <cellStyle name="Moneda 3 9" xfId="147" xr:uid="{00000000-0005-0000-0000-00004C020000}"/>
    <cellStyle name="Moneda 3_ANEXO-2" xfId="638" xr:uid="{00000000-0005-0000-0000-00004D020000}"/>
    <cellStyle name="Moneda 4" xfId="113" xr:uid="{00000000-0005-0000-0000-00004E020000}"/>
    <cellStyle name="Moneda 4 2" xfId="640" xr:uid="{00000000-0005-0000-0000-00004F020000}"/>
    <cellStyle name="Moneda 4 2 2" xfId="641" xr:uid="{00000000-0005-0000-0000-000050020000}"/>
    <cellStyle name="Moneda 4 2 3" xfId="642" xr:uid="{00000000-0005-0000-0000-000051020000}"/>
    <cellStyle name="Moneda 4 2 3 2" xfId="643" xr:uid="{00000000-0005-0000-0000-000052020000}"/>
    <cellStyle name="Moneda 4 2 4" xfId="644" xr:uid="{00000000-0005-0000-0000-000053020000}"/>
    <cellStyle name="Moneda 4 3" xfId="645" xr:uid="{00000000-0005-0000-0000-000054020000}"/>
    <cellStyle name="Moneda 4 3 2" xfId="646" xr:uid="{00000000-0005-0000-0000-000055020000}"/>
    <cellStyle name="Moneda 4 4" xfId="647" xr:uid="{00000000-0005-0000-0000-000056020000}"/>
    <cellStyle name="Moneda 4 5" xfId="639" xr:uid="{00000000-0005-0000-0000-000057020000}"/>
    <cellStyle name="Moneda 5" xfId="162" xr:uid="{00000000-0005-0000-0000-000058020000}"/>
    <cellStyle name="Moneda 5 2" xfId="648" xr:uid="{00000000-0005-0000-0000-000059020000}"/>
    <cellStyle name="Moneda 5 2 2" xfId="649" xr:uid="{00000000-0005-0000-0000-00005A020000}"/>
    <cellStyle name="Moneda 5 2 2 2" xfId="650" xr:uid="{00000000-0005-0000-0000-00005B020000}"/>
    <cellStyle name="Moneda 5 2 2 2 2" xfId="651" xr:uid="{00000000-0005-0000-0000-00005C020000}"/>
    <cellStyle name="Moneda 5 2 2 3" xfId="652" xr:uid="{00000000-0005-0000-0000-00005D020000}"/>
    <cellStyle name="Moneda 5 2 3" xfId="653" xr:uid="{00000000-0005-0000-0000-00005E020000}"/>
    <cellStyle name="Moneda 5 2 3 2" xfId="654" xr:uid="{00000000-0005-0000-0000-00005F020000}"/>
    <cellStyle name="Moneda 5 2 3 2 2" xfId="655" xr:uid="{00000000-0005-0000-0000-000060020000}"/>
    <cellStyle name="Moneda 5 2 3 2 2 2" xfId="656" xr:uid="{00000000-0005-0000-0000-000061020000}"/>
    <cellStyle name="Moneda 5 2 3 2 3" xfId="657" xr:uid="{00000000-0005-0000-0000-000062020000}"/>
    <cellStyle name="Moneda 5 2 3 3" xfId="658" xr:uid="{00000000-0005-0000-0000-000063020000}"/>
    <cellStyle name="Moneda 5 2 3 3 2" xfId="659" xr:uid="{00000000-0005-0000-0000-000064020000}"/>
    <cellStyle name="Moneda 5 2 3 4" xfId="660" xr:uid="{00000000-0005-0000-0000-000065020000}"/>
    <cellStyle name="Moneda 5 2 4" xfId="177" xr:uid="{00000000-0005-0000-0000-000066020000}"/>
    <cellStyle name="Moneda 5 2 4 2" xfId="661" xr:uid="{00000000-0005-0000-0000-000067020000}"/>
    <cellStyle name="Moneda 5 2 4 2 2" xfId="662" xr:uid="{00000000-0005-0000-0000-000068020000}"/>
    <cellStyle name="Moneda 5 2 4 3" xfId="663" xr:uid="{00000000-0005-0000-0000-000069020000}"/>
    <cellStyle name="Moneda 5 2 4 3 2" xfId="664" xr:uid="{00000000-0005-0000-0000-00006A020000}"/>
    <cellStyle name="Moneda 5 2 4 4" xfId="665" xr:uid="{00000000-0005-0000-0000-00006B020000}"/>
    <cellStyle name="Moneda 5 2 5" xfId="666" xr:uid="{00000000-0005-0000-0000-00006C020000}"/>
    <cellStyle name="Moneda 5 2 5 2" xfId="667" xr:uid="{00000000-0005-0000-0000-00006D020000}"/>
    <cellStyle name="Moneda 5 2 6" xfId="668" xr:uid="{00000000-0005-0000-0000-00006E020000}"/>
    <cellStyle name="Moneda 6" xfId="165" xr:uid="{00000000-0005-0000-0000-00006F020000}"/>
    <cellStyle name="Moneda 6 2" xfId="669" xr:uid="{00000000-0005-0000-0000-000070020000}"/>
    <cellStyle name="Moneda 6 2 2" xfId="670" xr:uid="{00000000-0005-0000-0000-000071020000}"/>
    <cellStyle name="Moneda 6 2 2 2" xfId="671" xr:uid="{00000000-0005-0000-0000-000072020000}"/>
    <cellStyle name="Moneda 6 2 3" xfId="672" xr:uid="{00000000-0005-0000-0000-000073020000}"/>
    <cellStyle name="Moneda 6 3" xfId="673" xr:uid="{00000000-0005-0000-0000-000074020000}"/>
    <cellStyle name="Moneda 6 3 2" xfId="674" xr:uid="{00000000-0005-0000-0000-000075020000}"/>
    <cellStyle name="Moneda 6 3 2 2" xfId="675" xr:uid="{00000000-0005-0000-0000-000076020000}"/>
    <cellStyle name="Moneda 6 3 3" xfId="676" xr:uid="{00000000-0005-0000-0000-000077020000}"/>
    <cellStyle name="Moneda 6 4" xfId="677" xr:uid="{00000000-0005-0000-0000-000078020000}"/>
    <cellStyle name="Moneda 6 4 2" xfId="678" xr:uid="{00000000-0005-0000-0000-000079020000}"/>
    <cellStyle name="Moneda 6 5" xfId="679" xr:uid="{00000000-0005-0000-0000-00007A020000}"/>
    <cellStyle name="Moneda 7" xfId="680" xr:uid="{00000000-0005-0000-0000-00007B020000}"/>
    <cellStyle name="Moneda 7 2" xfId="681" xr:uid="{00000000-0005-0000-0000-00007C020000}"/>
    <cellStyle name="Moneda 8" xfId="682" xr:uid="{00000000-0005-0000-0000-00007D020000}"/>
    <cellStyle name="Moneda 8 2" xfId="683" xr:uid="{00000000-0005-0000-0000-00007E020000}"/>
    <cellStyle name="Moneda 9" xfId="684" xr:uid="{00000000-0005-0000-0000-00007F020000}"/>
    <cellStyle name="Moneda_Propuesta SCV-045-99" xfId="4" xr:uid="{00000000-0005-0000-0000-000080020000}"/>
    <cellStyle name="Moneda0" xfId="685" xr:uid="{00000000-0005-0000-0000-000081020000}"/>
    <cellStyle name="Neutral 2" xfId="114" xr:uid="{00000000-0005-0000-0000-000082020000}"/>
    <cellStyle name="Nïrmal_PROINVER" xfId="686" xr:uid="{00000000-0005-0000-0000-000083020000}"/>
    <cellStyle name="Normal" xfId="0" builtinId="0"/>
    <cellStyle name="Normal 10" xfId="172" xr:uid="{00000000-0005-0000-0000-000085020000}"/>
    <cellStyle name="Normal 10 2" xfId="687" xr:uid="{00000000-0005-0000-0000-000086020000}"/>
    <cellStyle name="Normal 10 2 2" xfId="688" xr:uid="{00000000-0005-0000-0000-000087020000}"/>
    <cellStyle name="Normal 10 2 2 2" xfId="689" xr:uid="{00000000-0005-0000-0000-000088020000}"/>
    <cellStyle name="Normal 10 2 3" xfId="690" xr:uid="{00000000-0005-0000-0000-000089020000}"/>
    <cellStyle name="Normal 10 3" xfId="691" xr:uid="{00000000-0005-0000-0000-00008A020000}"/>
    <cellStyle name="Normal 10 4" xfId="692" xr:uid="{00000000-0005-0000-0000-00008B020000}"/>
    <cellStyle name="Normal 11" xfId="693" xr:uid="{00000000-0005-0000-0000-00008C020000}"/>
    <cellStyle name="Normal 11 2" xfId="694" xr:uid="{00000000-0005-0000-0000-00008D020000}"/>
    <cellStyle name="Normal 11 2 2" xfId="695" xr:uid="{00000000-0005-0000-0000-00008E020000}"/>
    <cellStyle name="Normal 11 2 2 2" xfId="696" xr:uid="{00000000-0005-0000-0000-00008F020000}"/>
    <cellStyle name="Normal 11 2 3" xfId="697" xr:uid="{00000000-0005-0000-0000-000090020000}"/>
    <cellStyle name="Normal 12" xfId="115" xr:uid="{00000000-0005-0000-0000-000091020000}"/>
    <cellStyle name="Normal 12 2" xfId="698" xr:uid="{00000000-0005-0000-0000-000092020000}"/>
    <cellStyle name="Normal 13" xfId="699" xr:uid="{00000000-0005-0000-0000-000093020000}"/>
    <cellStyle name="Normal 14" xfId="700" xr:uid="{00000000-0005-0000-0000-000094020000}"/>
    <cellStyle name="Normal 14 2" xfId="701" xr:uid="{00000000-0005-0000-0000-000095020000}"/>
    <cellStyle name="Normal 14 2 2" xfId="702" xr:uid="{00000000-0005-0000-0000-000096020000}"/>
    <cellStyle name="Normal 14 2 2 2" xfId="703" xr:uid="{00000000-0005-0000-0000-000097020000}"/>
    <cellStyle name="Normal 14 2 3" xfId="704" xr:uid="{00000000-0005-0000-0000-000098020000}"/>
    <cellStyle name="Normal 14 3" xfId="705" xr:uid="{00000000-0005-0000-0000-000099020000}"/>
    <cellStyle name="Normal 14 3 2" xfId="146" xr:uid="{00000000-0005-0000-0000-00009A020000}"/>
    <cellStyle name="Normal 14 3 2 2" xfId="706" xr:uid="{00000000-0005-0000-0000-00009B020000}"/>
    <cellStyle name="Normal 14 3 2 2 2" xfId="707" xr:uid="{00000000-0005-0000-0000-00009C020000}"/>
    <cellStyle name="Normal 14 3 2 3" xfId="708" xr:uid="{00000000-0005-0000-0000-00009D020000}"/>
    <cellStyle name="Normal 14 3 2 3 2" xfId="709" xr:uid="{00000000-0005-0000-0000-00009E020000}"/>
    <cellStyle name="Normal 14 3 2 3 2 2" xfId="710" xr:uid="{00000000-0005-0000-0000-00009F020000}"/>
    <cellStyle name="Normal 14 3 2 3 3" xfId="711" xr:uid="{00000000-0005-0000-0000-0000A0020000}"/>
    <cellStyle name="Normal 14 3 2 4" xfId="712" xr:uid="{00000000-0005-0000-0000-0000A1020000}"/>
    <cellStyle name="Normal 14 3 2 4 2" xfId="713" xr:uid="{00000000-0005-0000-0000-0000A2020000}"/>
    <cellStyle name="Normal 14 3 2 5" xfId="714" xr:uid="{00000000-0005-0000-0000-0000A3020000}"/>
    <cellStyle name="Normal 14 3 2 6" xfId="715" xr:uid="{00000000-0005-0000-0000-0000A4020000}"/>
    <cellStyle name="Normal 14 3 3" xfId="716" xr:uid="{00000000-0005-0000-0000-0000A5020000}"/>
    <cellStyle name="Normal 14 4" xfId="717" xr:uid="{00000000-0005-0000-0000-0000A6020000}"/>
    <cellStyle name="Normal 15" xfId="718" xr:uid="{00000000-0005-0000-0000-0000A7020000}"/>
    <cellStyle name="Normal 15 2" xfId="719" xr:uid="{00000000-0005-0000-0000-0000A8020000}"/>
    <cellStyle name="Normal 15 2 2" xfId="720" xr:uid="{00000000-0005-0000-0000-0000A9020000}"/>
    <cellStyle name="Normal 15 3" xfId="721" xr:uid="{00000000-0005-0000-0000-0000AA020000}"/>
    <cellStyle name="Normal 15 3 2" xfId="179" xr:uid="{00000000-0005-0000-0000-0000AB020000}"/>
    <cellStyle name="Normal 16" xfId="161" xr:uid="{00000000-0005-0000-0000-0000AC020000}"/>
    <cellStyle name="Normal 17" xfId="183" xr:uid="{00000000-0005-0000-0000-0000AD020000}"/>
    <cellStyle name="Normal 18" xfId="182" xr:uid="{00000000-0005-0000-0000-0000AE020000}"/>
    <cellStyle name="Normal 19" xfId="722" xr:uid="{00000000-0005-0000-0000-0000AF020000}"/>
    <cellStyle name="Normal 19 2" xfId="723" xr:uid="{00000000-0005-0000-0000-0000B0020000}"/>
    <cellStyle name="Normal 19 2 2" xfId="724" xr:uid="{00000000-0005-0000-0000-0000B1020000}"/>
    <cellStyle name="Normal 19 3" xfId="725" xr:uid="{00000000-0005-0000-0000-0000B2020000}"/>
    <cellStyle name="Normal 2" xfId="2" xr:uid="{00000000-0005-0000-0000-0000B3020000}"/>
    <cellStyle name="Normal 2 10" xfId="726" xr:uid="{00000000-0005-0000-0000-0000B4020000}"/>
    <cellStyle name="Normal 2 11" xfId="1119" xr:uid="{00000000-0005-0000-0000-0000B5020000}"/>
    <cellStyle name="Normal 2 2" xfId="20" xr:uid="{00000000-0005-0000-0000-0000B6020000}"/>
    <cellStyle name="Normal 2 2 2" xfId="55" xr:uid="{00000000-0005-0000-0000-0000B7020000}"/>
    <cellStyle name="Normal 2 2 2 2" xfId="166" xr:uid="{00000000-0005-0000-0000-0000B8020000}"/>
    <cellStyle name="Normal 2 2 3" xfId="116" xr:uid="{00000000-0005-0000-0000-0000B9020000}"/>
    <cellStyle name="Normal 2 2 3 2" xfId="727" xr:uid="{00000000-0005-0000-0000-0000BA020000}"/>
    <cellStyle name="Normal 2 2 4" xfId="728" xr:uid="{00000000-0005-0000-0000-0000BB020000}"/>
    <cellStyle name="Normal 2 2 5" xfId="729" xr:uid="{00000000-0005-0000-0000-0000BC020000}"/>
    <cellStyle name="Normal 2 2_Copia de PRESUPUESTO POR CAPITULOS MARZO-25-11-ULTIMO" xfId="730" xr:uid="{00000000-0005-0000-0000-0000BD020000}"/>
    <cellStyle name="Normal 2 3" xfId="21" xr:uid="{00000000-0005-0000-0000-0000BE020000}"/>
    <cellStyle name="Normal 2 3 2" xfId="22" xr:uid="{00000000-0005-0000-0000-0000BF020000}"/>
    <cellStyle name="Normal 2 3 2 2" xfId="57" xr:uid="{00000000-0005-0000-0000-0000C0020000}"/>
    <cellStyle name="Normal 2 3 2 2 2" xfId="732" xr:uid="{00000000-0005-0000-0000-0000C1020000}"/>
    <cellStyle name="Normal 2 3 2 3" xfId="733" xr:uid="{00000000-0005-0000-0000-0000C2020000}"/>
    <cellStyle name="Normal 2 3 2 4" xfId="734" xr:uid="{00000000-0005-0000-0000-0000C3020000}"/>
    <cellStyle name="Normal 2 3 3" xfId="56" xr:uid="{00000000-0005-0000-0000-0000C4020000}"/>
    <cellStyle name="Normal 2 3 4" xfId="731" xr:uid="{00000000-0005-0000-0000-0000C5020000}"/>
    <cellStyle name="Normal 2 3 5" xfId="1122" xr:uid="{00000000-0005-0000-0000-0000C6020000}"/>
    <cellStyle name="Normal 2 3_2010 APU GRUPO No. 4 OK" xfId="23" xr:uid="{00000000-0005-0000-0000-0000C7020000}"/>
    <cellStyle name="Normal 2 4" xfId="24" xr:uid="{00000000-0005-0000-0000-0000C8020000}"/>
    <cellStyle name="Normal 2 4 2" xfId="58" xr:uid="{00000000-0005-0000-0000-0000C9020000}"/>
    <cellStyle name="Normal 2 4 3" xfId="151" xr:uid="{00000000-0005-0000-0000-0000CA020000}"/>
    <cellStyle name="Normal 2 5" xfId="735" xr:uid="{00000000-0005-0000-0000-0000CB020000}"/>
    <cellStyle name="Normal 2 5 2" xfId="736" xr:uid="{00000000-0005-0000-0000-0000CC020000}"/>
    <cellStyle name="Normal 2 5 3" xfId="737" xr:uid="{00000000-0005-0000-0000-0000CD020000}"/>
    <cellStyle name="Normal 2 5 4" xfId="738" xr:uid="{00000000-0005-0000-0000-0000CE020000}"/>
    <cellStyle name="Normal 2 5 4 2" xfId="739" xr:uid="{00000000-0005-0000-0000-0000CF020000}"/>
    <cellStyle name="Normal 2 5 5" xfId="740" xr:uid="{00000000-0005-0000-0000-0000D0020000}"/>
    <cellStyle name="Normal 2 6" xfId="741" xr:uid="{00000000-0005-0000-0000-0000D1020000}"/>
    <cellStyle name="Normal 2 7" xfId="148" xr:uid="{00000000-0005-0000-0000-0000D2020000}"/>
    <cellStyle name="Normal 2 8" xfId="853" xr:uid="{00000000-0005-0000-0000-0000D3020000}"/>
    <cellStyle name="Normal 2 9" xfId="1105" xr:uid="{00000000-0005-0000-0000-0000D4020000}"/>
    <cellStyle name="Normal 2_01-Analisis de precios unitarios instalacion VP 22-05-09" xfId="742" xr:uid="{00000000-0005-0000-0000-0000D5020000}"/>
    <cellStyle name="Normal 20" xfId="743" xr:uid="{00000000-0005-0000-0000-0000D6020000}"/>
    <cellStyle name="Normal 20 2" xfId="744" xr:uid="{00000000-0005-0000-0000-0000D7020000}"/>
    <cellStyle name="Normal 20 3" xfId="745" xr:uid="{00000000-0005-0000-0000-0000D8020000}"/>
    <cellStyle name="Normal 20 3 2" xfId="746" xr:uid="{00000000-0005-0000-0000-0000D9020000}"/>
    <cellStyle name="Normal 20 4" xfId="747" xr:uid="{00000000-0005-0000-0000-0000DA020000}"/>
    <cellStyle name="Normal 21" xfId="748" xr:uid="{00000000-0005-0000-0000-0000DB020000}"/>
    <cellStyle name="Normal 21 2" xfId="749" xr:uid="{00000000-0005-0000-0000-0000DC020000}"/>
    <cellStyle name="Normal 21 2 2" xfId="750" xr:uid="{00000000-0005-0000-0000-0000DD020000}"/>
    <cellStyle name="Normal 21 3" xfId="751" xr:uid="{00000000-0005-0000-0000-0000DE020000}"/>
    <cellStyle name="Normal 22" xfId="191" xr:uid="{00000000-0005-0000-0000-0000DF020000}"/>
    <cellStyle name="Normal 22 2" xfId="185" xr:uid="{00000000-0005-0000-0000-0000E0020000}"/>
    <cellStyle name="Normal 22 2 2" xfId="752" xr:uid="{00000000-0005-0000-0000-0000E1020000}"/>
    <cellStyle name="Normal 22 3" xfId="753" xr:uid="{00000000-0005-0000-0000-0000E2020000}"/>
    <cellStyle name="Normal 23" xfId="754" xr:uid="{00000000-0005-0000-0000-0000E3020000}"/>
    <cellStyle name="Normal 23 2" xfId="755" xr:uid="{00000000-0005-0000-0000-0000E4020000}"/>
    <cellStyle name="Normal 23 2 2" xfId="756" xr:uid="{00000000-0005-0000-0000-0000E5020000}"/>
    <cellStyle name="Normal 23 3" xfId="757" xr:uid="{00000000-0005-0000-0000-0000E6020000}"/>
    <cellStyle name="Normal 24" xfId="758" xr:uid="{00000000-0005-0000-0000-0000E7020000}"/>
    <cellStyle name="Normal 24 2" xfId="759" xr:uid="{00000000-0005-0000-0000-0000E8020000}"/>
    <cellStyle name="Normal 24 2 2" xfId="760" xr:uid="{00000000-0005-0000-0000-0000E9020000}"/>
    <cellStyle name="Normal 24 3" xfId="761" xr:uid="{00000000-0005-0000-0000-0000EA020000}"/>
    <cellStyle name="Normal 25" xfId="157" xr:uid="{00000000-0005-0000-0000-0000EB020000}"/>
    <cellStyle name="Normal 25 2" xfId="762" xr:uid="{00000000-0005-0000-0000-0000EC020000}"/>
    <cellStyle name="Normal 25 2 2" xfId="763" xr:uid="{00000000-0005-0000-0000-0000ED020000}"/>
    <cellStyle name="Normal 25 3" xfId="764" xr:uid="{00000000-0005-0000-0000-0000EE020000}"/>
    <cellStyle name="Normal 25 5" xfId="1020" xr:uid="{00000000-0005-0000-0000-0000EF020000}"/>
    <cellStyle name="Normal 26" xfId="192" xr:uid="{00000000-0005-0000-0000-0000F0020000}"/>
    <cellStyle name="Normal 26 2" xfId="765" xr:uid="{00000000-0005-0000-0000-0000F1020000}"/>
    <cellStyle name="Normal 26 2 2" xfId="766" xr:uid="{00000000-0005-0000-0000-0000F2020000}"/>
    <cellStyle name="Normal 26 3" xfId="196" xr:uid="{00000000-0005-0000-0000-0000F3020000}"/>
    <cellStyle name="Normal 27" xfId="143" xr:uid="{00000000-0005-0000-0000-0000F4020000}"/>
    <cellStyle name="Normal 27 2" xfId="767" xr:uid="{00000000-0005-0000-0000-0000F5020000}"/>
    <cellStyle name="Normal 27 2 2" xfId="768" xr:uid="{00000000-0005-0000-0000-0000F6020000}"/>
    <cellStyle name="Normal 27 3" xfId="769" xr:uid="{00000000-0005-0000-0000-0000F7020000}"/>
    <cellStyle name="Normal 28" xfId="770" xr:uid="{00000000-0005-0000-0000-0000F8020000}"/>
    <cellStyle name="Normal 28 2" xfId="771" xr:uid="{00000000-0005-0000-0000-0000F9020000}"/>
    <cellStyle name="Normal 28 3" xfId="772" xr:uid="{00000000-0005-0000-0000-0000FA020000}"/>
    <cellStyle name="Normal 29" xfId="1120" xr:uid="{00000000-0005-0000-0000-0000FB020000}"/>
    <cellStyle name="Normal 29 2" xfId="1124" xr:uid="{00000000-0005-0000-0000-0000FC020000}"/>
    <cellStyle name="Normal 3" xfId="25" xr:uid="{00000000-0005-0000-0000-0000FD020000}"/>
    <cellStyle name="Normal 3 2" xfId="59" xr:uid="{00000000-0005-0000-0000-0000FE020000}"/>
    <cellStyle name="Normal 3 2 2" xfId="118" xr:uid="{00000000-0005-0000-0000-0000FF020000}"/>
    <cellStyle name="Normal 3 2 2 2" xfId="774" xr:uid="{00000000-0005-0000-0000-000000030000}"/>
    <cellStyle name="Normal 3 2 2 3" xfId="775" xr:uid="{00000000-0005-0000-0000-000001030000}"/>
    <cellStyle name="Normal 3 2 2 4" xfId="776" xr:uid="{00000000-0005-0000-0000-000002030000}"/>
    <cellStyle name="Normal 3 2 2 5" xfId="773" xr:uid="{00000000-0005-0000-0000-000003030000}"/>
    <cellStyle name="Normal 3 2 3" xfId="777" xr:uid="{00000000-0005-0000-0000-000004030000}"/>
    <cellStyle name="Normal 3 2 4" xfId="778" xr:uid="{00000000-0005-0000-0000-000005030000}"/>
    <cellStyle name="Normal 3 2 5" xfId="155" xr:uid="{00000000-0005-0000-0000-000006030000}"/>
    <cellStyle name="Normal 3 3" xfId="119" xr:uid="{00000000-0005-0000-0000-000007030000}"/>
    <cellStyle name="Normal 3 3 2" xfId="780" xr:uid="{00000000-0005-0000-0000-000008030000}"/>
    <cellStyle name="Normal 3 3 2 2" xfId="781" xr:uid="{00000000-0005-0000-0000-000009030000}"/>
    <cellStyle name="Normal 3 3 2 2 2" xfId="782" xr:uid="{00000000-0005-0000-0000-00000A030000}"/>
    <cellStyle name="Normal 3 3 2 3" xfId="783" xr:uid="{00000000-0005-0000-0000-00000B030000}"/>
    <cellStyle name="Normal 3 3 3" xfId="779" xr:uid="{00000000-0005-0000-0000-00000C030000}"/>
    <cellStyle name="Normal 3 4" xfId="120" xr:uid="{00000000-0005-0000-0000-00000D030000}"/>
    <cellStyle name="Normal 3 4 2" xfId="784" xr:uid="{00000000-0005-0000-0000-00000E030000}"/>
    <cellStyle name="Normal 3 5" xfId="121" xr:uid="{00000000-0005-0000-0000-00000F030000}"/>
    <cellStyle name="Normal 3 5 2" xfId="786" xr:uid="{00000000-0005-0000-0000-000010030000}"/>
    <cellStyle name="Normal 3 5 3" xfId="787" xr:uid="{00000000-0005-0000-0000-000011030000}"/>
    <cellStyle name="Normal 3 5 4" xfId="785" xr:uid="{00000000-0005-0000-0000-000012030000}"/>
    <cellStyle name="Normal 3 6" xfId="117" xr:uid="{00000000-0005-0000-0000-000013030000}"/>
    <cellStyle name="Normal 3 6 2" xfId="788" xr:uid="{00000000-0005-0000-0000-000014030000}"/>
    <cellStyle name="Normal 3 6 2 2" xfId="789" xr:uid="{00000000-0005-0000-0000-000015030000}"/>
    <cellStyle name="Normal 3 6 3" xfId="790" xr:uid="{00000000-0005-0000-0000-000016030000}"/>
    <cellStyle name="Normal 3 7" xfId="158" xr:uid="{00000000-0005-0000-0000-000017030000}"/>
    <cellStyle name="Normal 3_PRESUPUESTO SALADOBLANCO" xfId="44" xr:uid="{00000000-0005-0000-0000-000018030000}"/>
    <cellStyle name="Normal 30" xfId="1014" xr:uid="{00000000-0005-0000-0000-000019030000}"/>
    <cellStyle name="Normal 31" xfId="1019" xr:uid="{00000000-0005-0000-0000-00001A030000}"/>
    <cellStyle name="Normal 32" xfId="1125" xr:uid="{E88084CA-DA22-45D0-8077-D5D0F196DA29}"/>
    <cellStyle name="Normal 32 2" xfId="1127" xr:uid="{4F1018AB-5861-4EC8-9C5C-B157D95944CE}"/>
    <cellStyle name="Normal 4" xfId="26" xr:uid="{00000000-0005-0000-0000-00001B030000}"/>
    <cellStyle name="Normal 4 2" xfId="27" xr:uid="{00000000-0005-0000-0000-00001C030000}"/>
    <cellStyle name="Normal 4 2 2" xfId="61" xr:uid="{00000000-0005-0000-0000-00001D030000}"/>
    <cellStyle name="Normal 4 2 2 2" xfId="792" xr:uid="{00000000-0005-0000-0000-00001E030000}"/>
    <cellStyle name="Normal 4 2 2 3" xfId="791" xr:uid="{00000000-0005-0000-0000-00001F030000}"/>
    <cellStyle name="Normal 4 2 2 4" xfId="163" xr:uid="{00000000-0005-0000-0000-000020030000}"/>
    <cellStyle name="Normal 4 2 3" xfId="793" xr:uid="{00000000-0005-0000-0000-000021030000}"/>
    <cellStyle name="Normal 4 2 4" xfId="794" xr:uid="{00000000-0005-0000-0000-000022030000}"/>
    <cellStyle name="Normal 4 2 4 2" xfId="795" xr:uid="{00000000-0005-0000-0000-000023030000}"/>
    <cellStyle name="Normal 4 2 5" xfId="796" xr:uid="{00000000-0005-0000-0000-000024030000}"/>
    <cellStyle name="Normal 4 2_ESTADISTICA" xfId="797" xr:uid="{00000000-0005-0000-0000-000025030000}"/>
    <cellStyle name="Normal 4 3" xfId="60" xr:uid="{00000000-0005-0000-0000-000026030000}"/>
    <cellStyle name="Normal 4 3 2" xfId="799" xr:uid="{00000000-0005-0000-0000-000027030000}"/>
    <cellStyle name="Normal 4 3 2 2" xfId="800" xr:uid="{00000000-0005-0000-0000-000028030000}"/>
    <cellStyle name="Normal 4 3 3" xfId="801" xr:uid="{00000000-0005-0000-0000-000029030000}"/>
    <cellStyle name="Normal 4 3 4" xfId="798" xr:uid="{00000000-0005-0000-0000-00002A030000}"/>
    <cellStyle name="Normal 4 3_ESTADISTICA" xfId="802" xr:uid="{00000000-0005-0000-0000-00002B030000}"/>
    <cellStyle name="Normal 4 4" xfId="803" xr:uid="{00000000-0005-0000-0000-00002C030000}"/>
    <cellStyle name="Normal 4 4 2" xfId="804" xr:uid="{00000000-0005-0000-0000-00002D030000}"/>
    <cellStyle name="Normal 4 5" xfId="805" xr:uid="{00000000-0005-0000-0000-00002E030000}"/>
    <cellStyle name="Normal 4 6" xfId="806" xr:uid="{00000000-0005-0000-0000-00002F030000}"/>
    <cellStyle name="Normal 4 6 2" xfId="807" xr:uid="{00000000-0005-0000-0000-000030030000}"/>
    <cellStyle name="Normal 4 6 2 2" xfId="808" xr:uid="{00000000-0005-0000-0000-000031030000}"/>
    <cellStyle name="Normal 4 6 3" xfId="809" xr:uid="{00000000-0005-0000-0000-000032030000}"/>
    <cellStyle name="Normal 4 7" xfId="810" xr:uid="{00000000-0005-0000-0000-000033030000}"/>
    <cellStyle name="Normal 4 7 2" xfId="811" xr:uid="{00000000-0005-0000-0000-000034030000}"/>
    <cellStyle name="Normal 4 8" xfId="812" xr:uid="{00000000-0005-0000-0000-000035030000}"/>
    <cellStyle name="Normal 4_2010 APU GRUPO No. 4 OK" xfId="28" xr:uid="{00000000-0005-0000-0000-000036030000}"/>
    <cellStyle name="Normal 5" xfId="29" xr:uid="{00000000-0005-0000-0000-000037030000}"/>
    <cellStyle name="Normal 5 2" xfId="62" xr:uid="{00000000-0005-0000-0000-000038030000}"/>
    <cellStyle name="Normal 5 2 2" xfId="814" xr:uid="{00000000-0005-0000-0000-000039030000}"/>
    <cellStyle name="Normal 5 2 3" xfId="815" xr:uid="{00000000-0005-0000-0000-00003A030000}"/>
    <cellStyle name="Normal 5 2 4" xfId="816" xr:uid="{00000000-0005-0000-0000-00003B030000}"/>
    <cellStyle name="Normal 5 2 5" xfId="813" xr:uid="{00000000-0005-0000-0000-00003C030000}"/>
    <cellStyle name="Normal 5 3" xfId="122" xr:uid="{00000000-0005-0000-0000-00003D030000}"/>
    <cellStyle name="Normal 5 3 2" xfId="817" xr:uid="{00000000-0005-0000-0000-00003E030000}"/>
    <cellStyle name="Normal 5 9" xfId="818" xr:uid="{00000000-0005-0000-0000-00003F030000}"/>
    <cellStyle name="Normal 6" xfId="30" xr:uid="{00000000-0005-0000-0000-000040030000}"/>
    <cellStyle name="Normal 6 2" xfId="63" xr:uid="{00000000-0005-0000-0000-000041030000}"/>
    <cellStyle name="Normal 6 2 2" xfId="820" xr:uid="{00000000-0005-0000-0000-000042030000}"/>
    <cellStyle name="Normal 6 2 3" xfId="167" xr:uid="{00000000-0005-0000-0000-000043030000}"/>
    <cellStyle name="Normal 6 3" xfId="821" xr:uid="{00000000-0005-0000-0000-000044030000}"/>
    <cellStyle name="Normal 6 3 2" xfId="822" xr:uid="{00000000-0005-0000-0000-000045030000}"/>
    <cellStyle name="Normal 6 3 2 2" xfId="823" xr:uid="{00000000-0005-0000-0000-000046030000}"/>
    <cellStyle name="Normal 6 3 3" xfId="824" xr:uid="{00000000-0005-0000-0000-000047030000}"/>
    <cellStyle name="Normal 6 4" xfId="825" xr:uid="{00000000-0005-0000-0000-000048030000}"/>
    <cellStyle name="Normal 6 4 2" xfId="826" xr:uid="{00000000-0005-0000-0000-000049030000}"/>
    <cellStyle name="Normal 6 4 2 2" xfId="827" xr:uid="{00000000-0005-0000-0000-00004A030000}"/>
    <cellStyle name="Normal 6 4 2 2 2" xfId="828" xr:uid="{00000000-0005-0000-0000-00004B030000}"/>
    <cellStyle name="Normal 6 4 2 3" xfId="829" xr:uid="{00000000-0005-0000-0000-00004C030000}"/>
    <cellStyle name="Normal 6 4 3" xfId="830" xr:uid="{00000000-0005-0000-0000-00004D030000}"/>
    <cellStyle name="Normal 6 4 3 2" xfId="831" xr:uid="{00000000-0005-0000-0000-00004E030000}"/>
    <cellStyle name="Normal 6 4 4" xfId="832" xr:uid="{00000000-0005-0000-0000-00004F030000}"/>
    <cellStyle name="Normal 6 5" xfId="174" xr:uid="{00000000-0005-0000-0000-000050030000}"/>
    <cellStyle name="Normal 6 5 2" xfId="833" xr:uid="{00000000-0005-0000-0000-000051030000}"/>
    <cellStyle name="Normal 6 5 2 2" xfId="834" xr:uid="{00000000-0005-0000-0000-000052030000}"/>
    <cellStyle name="Normal 6 5 3" xfId="835" xr:uid="{00000000-0005-0000-0000-000053030000}"/>
    <cellStyle name="Normal 6 5 3 2" xfId="836" xr:uid="{00000000-0005-0000-0000-000054030000}"/>
    <cellStyle name="Normal 6 5 4" xfId="837" xr:uid="{00000000-0005-0000-0000-000055030000}"/>
    <cellStyle name="Normal 6 6" xfId="838" xr:uid="{00000000-0005-0000-0000-000056030000}"/>
    <cellStyle name="Normal 6 6 2" xfId="839" xr:uid="{00000000-0005-0000-0000-000057030000}"/>
    <cellStyle name="Normal 6 7" xfId="840" xr:uid="{00000000-0005-0000-0000-000058030000}"/>
    <cellStyle name="Normal 6 8" xfId="819" xr:uid="{00000000-0005-0000-0000-000059030000}"/>
    <cellStyle name="Normal 7" xfId="135" xr:uid="{00000000-0005-0000-0000-00005A030000}"/>
    <cellStyle name="Normal 7 2" xfId="841" xr:uid="{00000000-0005-0000-0000-00005B030000}"/>
    <cellStyle name="Normal 7 3" xfId="842" xr:uid="{00000000-0005-0000-0000-00005C030000}"/>
    <cellStyle name="Normal 7 4" xfId="843" xr:uid="{00000000-0005-0000-0000-00005D030000}"/>
    <cellStyle name="Normal 7 4 2" xfId="844" xr:uid="{00000000-0005-0000-0000-00005E030000}"/>
    <cellStyle name="Normal 7 5" xfId="845" xr:uid="{00000000-0005-0000-0000-00005F030000}"/>
    <cellStyle name="Normal 7 6" xfId="171" xr:uid="{00000000-0005-0000-0000-000060030000}"/>
    <cellStyle name="Normal 8" xfId="846" xr:uid="{00000000-0005-0000-0000-000061030000}"/>
    <cellStyle name="Normal 8 2" xfId="847" xr:uid="{00000000-0005-0000-0000-000062030000}"/>
    <cellStyle name="Normal 9" xfId="848" xr:uid="{00000000-0005-0000-0000-000063030000}"/>
    <cellStyle name="Normal 9 2" xfId="123" xr:uid="{00000000-0005-0000-0000-000064030000}"/>
    <cellStyle name="Normal 9 2 2" xfId="850" xr:uid="{00000000-0005-0000-0000-000065030000}"/>
    <cellStyle name="Normal 9 2 2 2" xfId="851" xr:uid="{00000000-0005-0000-0000-000066030000}"/>
    <cellStyle name="Normal 9 2 3" xfId="852" xr:uid="{00000000-0005-0000-0000-000067030000}"/>
    <cellStyle name="Normal 9 2 4" xfId="849" xr:uid="{00000000-0005-0000-0000-000068030000}"/>
    <cellStyle name="Notas 2" xfId="124" xr:uid="{00000000-0005-0000-0000-000069030000}"/>
    <cellStyle name="Notas 2 2" xfId="125" xr:uid="{00000000-0005-0000-0000-00006A030000}"/>
    <cellStyle name="Notas 2 2 2" xfId="854" xr:uid="{00000000-0005-0000-0000-00006B030000}"/>
    <cellStyle name="Notas 2 2 2 2" xfId="855" xr:uid="{00000000-0005-0000-0000-00006C030000}"/>
    <cellStyle name="Notas 2 2 2 2 2" xfId="1061" xr:uid="{00000000-0005-0000-0000-00006D030000}"/>
    <cellStyle name="Notas 2 2 2 3" xfId="1060" xr:uid="{00000000-0005-0000-0000-00006E030000}"/>
    <cellStyle name="Notas 2 2 3" xfId="856" xr:uid="{00000000-0005-0000-0000-00006F030000}"/>
    <cellStyle name="Notas 2 2 3 2" xfId="1062" xr:uid="{00000000-0005-0000-0000-000070030000}"/>
    <cellStyle name="Notas 2 2 4" xfId="1059" xr:uid="{00000000-0005-0000-0000-000071030000}"/>
    <cellStyle name="Notas 2 3" xfId="857" xr:uid="{00000000-0005-0000-0000-000072030000}"/>
    <cellStyle name="Notas 2 3 2" xfId="1063" xr:uid="{00000000-0005-0000-0000-000073030000}"/>
    <cellStyle name="Notas 2 4" xfId="1058" xr:uid="{00000000-0005-0000-0000-000074030000}"/>
    <cellStyle name="Notas 3" xfId="858" xr:uid="{00000000-0005-0000-0000-000075030000}"/>
    <cellStyle name="Notas 3 2" xfId="859" xr:uid="{00000000-0005-0000-0000-000076030000}"/>
    <cellStyle name="Notas 3 2 2" xfId="860" xr:uid="{00000000-0005-0000-0000-000077030000}"/>
    <cellStyle name="Notas 3 2 2 2" xfId="861" xr:uid="{00000000-0005-0000-0000-000078030000}"/>
    <cellStyle name="Notas 3 2 2 2 2" xfId="1067" xr:uid="{00000000-0005-0000-0000-000079030000}"/>
    <cellStyle name="Notas 3 2 2 3" xfId="1066" xr:uid="{00000000-0005-0000-0000-00007A030000}"/>
    <cellStyle name="Notas 3 2 3" xfId="862" xr:uid="{00000000-0005-0000-0000-00007B030000}"/>
    <cellStyle name="Notas 3 2 3 2" xfId="1068" xr:uid="{00000000-0005-0000-0000-00007C030000}"/>
    <cellStyle name="Notas 3 2 4" xfId="1065" xr:uid="{00000000-0005-0000-0000-00007D030000}"/>
    <cellStyle name="Notas 3 3" xfId="863" xr:uid="{00000000-0005-0000-0000-00007E030000}"/>
    <cellStyle name="Notas 3 3 2" xfId="1069" xr:uid="{00000000-0005-0000-0000-00007F030000}"/>
    <cellStyle name="Notas 3 4" xfId="1064" xr:uid="{00000000-0005-0000-0000-000080030000}"/>
    <cellStyle name="Note" xfId="864" xr:uid="{00000000-0005-0000-0000-000081030000}"/>
    <cellStyle name="Note 2" xfId="865" xr:uid="{00000000-0005-0000-0000-000082030000}"/>
    <cellStyle name="Note 2 2" xfId="866" xr:uid="{00000000-0005-0000-0000-000083030000}"/>
    <cellStyle name="Note 2 2 2" xfId="867" xr:uid="{00000000-0005-0000-0000-000084030000}"/>
    <cellStyle name="Note 2 2 2 2" xfId="868" xr:uid="{00000000-0005-0000-0000-000085030000}"/>
    <cellStyle name="Note 2 2 2 2 2" xfId="1074" xr:uid="{00000000-0005-0000-0000-000086030000}"/>
    <cellStyle name="Note 2 2 2 3" xfId="1073" xr:uid="{00000000-0005-0000-0000-000087030000}"/>
    <cellStyle name="Note 2 2 3" xfId="869" xr:uid="{00000000-0005-0000-0000-000088030000}"/>
    <cellStyle name="Note 2 2 3 2" xfId="1075" xr:uid="{00000000-0005-0000-0000-000089030000}"/>
    <cellStyle name="Note 2 2 4" xfId="1072" xr:uid="{00000000-0005-0000-0000-00008A030000}"/>
    <cellStyle name="Note 2 3" xfId="870" xr:uid="{00000000-0005-0000-0000-00008B030000}"/>
    <cellStyle name="Note 2 3 2" xfId="1076" xr:uid="{00000000-0005-0000-0000-00008C030000}"/>
    <cellStyle name="Note 2 4" xfId="1071" xr:uid="{00000000-0005-0000-0000-00008D030000}"/>
    <cellStyle name="Note 3" xfId="871" xr:uid="{00000000-0005-0000-0000-00008E030000}"/>
    <cellStyle name="Note 3 2" xfId="872" xr:uid="{00000000-0005-0000-0000-00008F030000}"/>
    <cellStyle name="Note 3 2 2" xfId="873" xr:uid="{00000000-0005-0000-0000-000090030000}"/>
    <cellStyle name="Note 3 2 2 2" xfId="874" xr:uid="{00000000-0005-0000-0000-000091030000}"/>
    <cellStyle name="Note 3 2 2 2 2" xfId="1080" xr:uid="{00000000-0005-0000-0000-000092030000}"/>
    <cellStyle name="Note 3 2 2 3" xfId="1079" xr:uid="{00000000-0005-0000-0000-000093030000}"/>
    <cellStyle name="Note 3 2 3" xfId="875" xr:uid="{00000000-0005-0000-0000-000094030000}"/>
    <cellStyle name="Note 3 2 3 2" xfId="1081" xr:uid="{00000000-0005-0000-0000-000095030000}"/>
    <cellStyle name="Note 3 2 4" xfId="1078" xr:uid="{00000000-0005-0000-0000-000096030000}"/>
    <cellStyle name="Note 3 3" xfId="876" xr:uid="{00000000-0005-0000-0000-000097030000}"/>
    <cellStyle name="Note 3 3 2" xfId="1082" xr:uid="{00000000-0005-0000-0000-000098030000}"/>
    <cellStyle name="Note 3 4" xfId="1077" xr:uid="{00000000-0005-0000-0000-000099030000}"/>
    <cellStyle name="Note 4" xfId="877" xr:uid="{00000000-0005-0000-0000-00009A030000}"/>
    <cellStyle name="Note 4 2" xfId="878" xr:uid="{00000000-0005-0000-0000-00009B030000}"/>
    <cellStyle name="Note 4 2 2" xfId="879" xr:uid="{00000000-0005-0000-0000-00009C030000}"/>
    <cellStyle name="Note 4 2 2 2" xfId="1085" xr:uid="{00000000-0005-0000-0000-00009D030000}"/>
    <cellStyle name="Note 4 2 3" xfId="1084" xr:uid="{00000000-0005-0000-0000-00009E030000}"/>
    <cellStyle name="Note 4 3" xfId="880" xr:uid="{00000000-0005-0000-0000-00009F030000}"/>
    <cellStyle name="Note 4 3 2" xfId="1086" xr:uid="{00000000-0005-0000-0000-0000A0030000}"/>
    <cellStyle name="Note 4 4" xfId="1083" xr:uid="{00000000-0005-0000-0000-0000A1030000}"/>
    <cellStyle name="Note 5" xfId="881" xr:uid="{00000000-0005-0000-0000-0000A2030000}"/>
    <cellStyle name="Note 5 2" xfId="1087" xr:uid="{00000000-0005-0000-0000-0000A3030000}"/>
    <cellStyle name="Note 6" xfId="1070" xr:uid="{00000000-0005-0000-0000-0000A4030000}"/>
    <cellStyle name="Output" xfId="882" xr:uid="{00000000-0005-0000-0000-0000A5030000}"/>
    <cellStyle name="Output 2" xfId="883" xr:uid="{00000000-0005-0000-0000-0000A6030000}"/>
    <cellStyle name="Output 2 2" xfId="884" xr:uid="{00000000-0005-0000-0000-0000A7030000}"/>
    <cellStyle name="Output 2 2 2" xfId="885" xr:uid="{00000000-0005-0000-0000-0000A8030000}"/>
    <cellStyle name="Output 2 2 2 2" xfId="1091" xr:uid="{00000000-0005-0000-0000-0000A9030000}"/>
    <cellStyle name="Output 2 2 3" xfId="1090" xr:uid="{00000000-0005-0000-0000-0000AA030000}"/>
    <cellStyle name="Output 2 3" xfId="886" xr:uid="{00000000-0005-0000-0000-0000AB030000}"/>
    <cellStyle name="Output 2 3 2" xfId="1092" xr:uid="{00000000-0005-0000-0000-0000AC030000}"/>
    <cellStyle name="Output 2 4" xfId="1089" xr:uid="{00000000-0005-0000-0000-0000AD030000}"/>
    <cellStyle name="Output 3" xfId="887" xr:uid="{00000000-0005-0000-0000-0000AE030000}"/>
    <cellStyle name="Output 3 2" xfId="888" xr:uid="{00000000-0005-0000-0000-0000AF030000}"/>
    <cellStyle name="Output 3 2 2" xfId="1094" xr:uid="{00000000-0005-0000-0000-0000B0030000}"/>
    <cellStyle name="Output 3 3" xfId="1093" xr:uid="{00000000-0005-0000-0000-0000B1030000}"/>
    <cellStyle name="Output 4" xfId="889" xr:uid="{00000000-0005-0000-0000-0000B2030000}"/>
    <cellStyle name="Output 4 2" xfId="1095" xr:uid="{00000000-0005-0000-0000-0000B3030000}"/>
    <cellStyle name="Output 5" xfId="1088" xr:uid="{00000000-0005-0000-0000-0000B4030000}"/>
    <cellStyle name="Percent 2" xfId="5" xr:uid="{00000000-0005-0000-0000-0000B5030000}"/>
    <cellStyle name="Percent 2 2" xfId="45" xr:uid="{00000000-0005-0000-0000-0000B6030000}"/>
    <cellStyle name="Porcentaje" xfId="42" builtinId="5"/>
    <cellStyle name="Porcentaje 10" xfId="890" xr:uid="{00000000-0005-0000-0000-0000B8030000}"/>
    <cellStyle name="Porcentaje 10 2" xfId="891" xr:uid="{00000000-0005-0000-0000-0000B9030000}"/>
    <cellStyle name="Porcentaje 10 2 2" xfId="892" xr:uid="{00000000-0005-0000-0000-0000BA030000}"/>
    <cellStyle name="Porcentaje 10 3" xfId="893" xr:uid="{00000000-0005-0000-0000-0000BB030000}"/>
    <cellStyle name="Porcentaje 11" xfId="894" xr:uid="{00000000-0005-0000-0000-0000BC030000}"/>
    <cellStyle name="Porcentaje 11 2" xfId="895" xr:uid="{00000000-0005-0000-0000-0000BD030000}"/>
    <cellStyle name="Porcentaje 11 2 2" xfId="896" xr:uid="{00000000-0005-0000-0000-0000BE030000}"/>
    <cellStyle name="Porcentaje 11 3" xfId="897" xr:uid="{00000000-0005-0000-0000-0000BF030000}"/>
    <cellStyle name="Porcentaje 12" xfId="898" xr:uid="{00000000-0005-0000-0000-0000C0030000}"/>
    <cellStyle name="Porcentaje 12 2" xfId="899" xr:uid="{00000000-0005-0000-0000-0000C1030000}"/>
    <cellStyle name="Porcentaje 12 2 2" xfId="900" xr:uid="{00000000-0005-0000-0000-0000C2030000}"/>
    <cellStyle name="Porcentaje 12 3" xfId="901" xr:uid="{00000000-0005-0000-0000-0000C3030000}"/>
    <cellStyle name="Porcentaje 13" xfId="902" xr:uid="{00000000-0005-0000-0000-0000C4030000}"/>
    <cellStyle name="Porcentaje 13 2" xfId="903" xr:uid="{00000000-0005-0000-0000-0000C5030000}"/>
    <cellStyle name="Porcentaje 13 2 2" xfId="904" xr:uid="{00000000-0005-0000-0000-0000C6030000}"/>
    <cellStyle name="Porcentaje 13 3" xfId="905" xr:uid="{00000000-0005-0000-0000-0000C7030000}"/>
    <cellStyle name="Porcentaje 15" xfId="1017" xr:uid="{00000000-0005-0000-0000-0000C8030000}"/>
    <cellStyle name="Porcentaje 16" xfId="1023" xr:uid="{00000000-0005-0000-0000-0000C9030000}"/>
    <cellStyle name="Porcentaje 2" xfId="127" xr:uid="{00000000-0005-0000-0000-0000CA030000}"/>
    <cellStyle name="Porcentaje 2 2" xfId="907" xr:uid="{00000000-0005-0000-0000-0000CB030000}"/>
    <cellStyle name="Porcentaje 2 2 2" xfId="908" xr:uid="{00000000-0005-0000-0000-0000CC030000}"/>
    <cellStyle name="Porcentaje 2 2 2 2" xfId="909" xr:uid="{00000000-0005-0000-0000-0000CD030000}"/>
    <cellStyle name="Porcentaje 2 2 3" xfId="910" xr:uid="{00000000-0005-0000-0000-0000CE030000}"/>
    <cellStyle name="Porcentaje 2 3" xfId="175" xr:uid="{00000000-0005-0000-0000-0000CF030000}"/>
    <cellStyle name="Porcentaje 2 4" xfId="911" xr:uid="{00000000-0005-0000-0000-0000D0030000}"/>
    <cellStyle name="Porcentaje 2 4 2" xfId="912" xr:uid="{00000000-0005-0000-0000-0000D1030000}"/>
    <cellStyle name="Porcentaje 2 5" xfId="913" xr:uid="{00000000-0005-0000-0000-0000D2030000}"/>
    <cellStyle name="Porcentaje 2 6" xfId="906" xr:uid="{00000000-0005-0000-0000-0000D3030000}"/>
    <cellStyle name="Porcentaje 3" xfId="126" xr:uid="{00000000-0005-0000-0000-0000D4030000}"/>
    <cellStyle name="Porcentaje 3 2" xfId="915" xr:uid="{00000000-0005-0000-0000-0000D5030000}"/>
    <cellStyle name="Porcentaje 3 3" xfId="916" xr:uid="{00000000-0005-0000-0000-0000D6030000}"/>
    <cellStyle name="Porcentaje 3 3 2" xfId="917" xr:uid="{00000000-0005-0000-0000-0000D7030000}"/>
    <cellStyle name="Porcentaje 3 4" xfId="918" xr:uid="{00000000-0005-0000-0000-0000D8030000}"/>
    <cellStyle name="Porcentaje 3 4 2" xfId="919" xr:uid="{00000000-0005-0000-0000-0000D9030000}"/>
    <cellStyle name="Porcentaje 3 4 2 2" xfId="920" xr:uid="{00000000-0005-0000-0000-0000DA030000}"/>
    <cellStyle name="Porcentaje 3 4 2 2 2" xfId="921" xr:uid="{00000000-0005-0000-0000-0000DB030000}"/>
    <cellStyle name="Porcentaje 3 4 2 3" xfId="922" xr:uid="{00000000-0005-0000-0000-0000DC030000}"/>
    <cellStyle name="Porcentaje 3 4 3" xfId="923" xr:uid="{00000000-0005-0000-0000-0000DD030000}"/>
    <cellStyle name="Porcentaje 3 4 3 2" xfId="924" xr:uid="{00000000-0005-0000-0000-0000DE030000}"/>
    <cellStyle name="Porcentaje 3 4 4" xfId="925" xr:uid="{00000000-0005-0000-0000-0000DF030000}"/>
    <cellStyle name="Porcentaje 3 5" xfId="178" xr:uid="{00000000-0005-0000-0000-0000E0030000}"/>
    <cellStyle name="Porcentaje 3 5 2" xfId="926" xr:uid="{00000000-0005-0000-0000-0000E1030000}"/>
    <cellStyle name="Porcentaje 3 5 2 2" xfId="927" xr:uid="{00000000-0005-0000-0000-0000E2030000}"/>
    <cellStyle name="Porcentaje 3 5 3" xfId="928" xr:uid="{00000000-0005-0000-0000-0000E3030000}"/>
    <cellStyle name="Porcentaje 3 5 3 2" xfId="929" xr:uid="{00000000-0005-0000-0000-0000E4030000}"/>
    <cellStyle name="Porcentaje 3 5 4" xfId="930" xr:uid="{00000000-0005-0000-0000-0000E5030000}"/>
    <cellStyle name="Porcentaje 3 6" xfId="931" xr:uid="{00000000-0005-0000-0000-0000E6030000}"/>
    <cellStyle name="Porcentaje 3 6 2" xfId="932" xr:uid="{00000000-0005-0000-0000-0000E7030000}"/>
    <cellStyle name="Porcentaje 3 7" xfId="933" xr:uid="{00000000-0005-0000-0000-0000E8030000}"/>
    <cellStyle name="Porcentaje 3 8" xfId="914" xr:uid="{00000000-0005-0000-0000-0000E9030000}"/>
    <cellStyle name="Porcentaje 4" xfId="170" xr:uid="{00000000-0005-0000-0000-0000EA030000}"/>
    <cellStyle name="Porcentaje 4 2" xfId="934" xr:uid="{00000000-0005-0000-0000-0000EB030000}"/>
    <cellStyle name="Porcentaje 4 2 2" xfId="935" xr:uid="{00000000-0005-0000-0000-0000EC030000}"/>
    <cellStyle name="Porcentaje 4 2 2 2" xfId="936" xr:uid="{00000000-0005-0000-0000-0000ED030000}"/>
    <cellStyle name="Porcentaje 4 2 3" xfId="937" xr:uid="{00000000-0005-0000-0000-0000EE030000}"/>
    <cellStyle name="Porcentaje 4 3" xfId="938" xr:uid="{00000000-0005-0000-0000-0000EF030000}"/>
    <cellStyle name="Porcentaje 4 3 2" xfId="939" xr:uid="{00000000-0005-0000-0000-0000F0030000}"/>
    <cellStyle name="Porcentaje 4 3 2 2" xfId="940" xr:uid="{00000000-0005-0000-0000-0000F1030000}"/>
    <cellStyle name="Porcentaje 4 3 3" xfId="941" xr:uid="{00000000-0005-0000-0000-0000F2030000}"/>
    <cellStyle name="Porcentaje 4 4" xfId="942" xr:uid="{00000000-0005-0000-0000-0000F3030000}"/>
    <cellStyle name="Porcentaje 4 4 2" xfId="943" xr:uid="{00000000-0005-0000-0000-0000F4030000}"/>
    <cellStyle name="Porcentaje 4 5" xfId="944" xr:uid="{00000000-0005-0000-0000-0000F5030000}"/>
    <cellStyle name="Porcentaje 5" xfId="173" xr:uid="{00000000-0005-0000-0000-0000F6030000}"/>
    <cellStyle name="Porcentaje 5 2" xfId="945" xr:uid="{00000000-0005-0000-0000-0000F7030000}"/>
    <cellStyle name="Porcentaje 5 2 2" xfId="946" xr:uid="{00000000-0005-0000-0000-0000F8030000}"/>
    <cellStyle name="Porcentaje 5 3" xfId="947" xr:uid="{00000000-0005-0000-0000-0000F9030000}"/>
    <cellStyle name="Porcentaje 6" xfId="948" xr:uid="{00000000-0005-0000-0000-0000FA030000}"/>
    <cellStyle name="Porcentaje 6 2" xfId="949" xr:uid="{00000000-0005-0000-0000-0000FB030000}"/>
    <cellStyle name="Porcentaje 6 2 2" xfId="950" xr:uid="{00000000-0005-0000-0000-0000FC030000}"/>
    <cellStyle name="Porcentaje 6 3" xfId="951" xr:uid="{00000000-0005-0000-0000-0000FD030000}"/>
    <cellStyle name="Porcentaje 7" xfId="952" xr:uid="{00000000-0005-0000-0000-0000FE030000}"/>
    <cellStyle name="Porcentaje 7 2" xfId="953" xr:uid="{00000000-0005-0000-0000-0000FF030000}"/>
    <cellStyle name="Porcentaje 7 2 2" xfId="954" xr:uid="{00000000-0005-0000-0000-000000040000}"/>
    <cellStyle name="Porcentaje 7 3" xfId="955" xr:uid="{00000000-0005-0000-0000-000001040000}"/>
    <cellStyle name="Porcentaje 7 3 2" xfId="181" xr:uid="{00000000-0005-0000-0000-000002040000}"/>
    <cellStyle name="Porcentaje 8" xfId="956" xr:uid="{00000000-0005-0000-0000-000003040000}"/>
    <cellStyle name="Porcentaje 8 2" xfId="957" xr:uid="{00000000-0005-0000-0000-000004040000}"/>
    <cellStyle name="Porcentaje 8 2 2" xfId="958" xr:uid="{00000000-0005-0000-0000-000005040000}"/>
    <cellStyle name="Porcentaje 8 3" xfId="959" xr:uid="{00000000-0005-0000-0000-000006040000}"/>
    <cellStyle name="Porcentaje 9" xfId="960" xr:uid="{00000000-0005-0000-0000-000007040000}"/>
    <cellStyle name="Porcentaje 9 2" xfId="961" xr:uid="{00000000-0005-0000-0000-000008040000}"/>
    <cellStyle name="Porcentaje 9 2 2" xfId="962" xr:uid="{00000000-0005-0000-0000-000009040000}"/>
    <cellStyle name="Porcentaje 9 3" xfId="963" xr:uid="{00000000-0005-0000-0000-00000A040000}"/>
    <cellStyle name="Porcentual 2" xfId="31" xr:uid="{00000000-0005-0000-0000-00000B040000}"/>
    <cellStyle name="Porcentual 2 2" xfId="32" xr:uid="{00000000-0005-0000-0000-00000C040000}"/>
    <cellStyle name="Porcentual 2 2 2" xfId="65" xr:uid="{00000000-0005-0000-0000-00000D040000}"/>
    <cellStyle name="Porcentual 2 2 2 2" xfId="964" xr:uid="{00000000-0005-0000-0000-00000E040000}"/>
    <cellStyle name="Porcentual 2 2 2 2 2" xfId="965" xr:uid="{00000000-0005-0000-0000-00000F040000}"/>
    <cellStyle name="Porcentual 2 2 2 2 2 2" xfId="966" xr:uid="{00000000-0005-0000-0000-000010040000}"/>
    <cellStyle name="Porcentual 2 2 2 2 3" xfId="967" xr:uid="{00000000-0005-0000-0000-000011040000}"/>
    <cellStyle name="Porcentual 2 3" xfId="33" xr:uid="{00000000-0005-0000-0000-000012040000}"/>
    <cellStyle name="Porcentual 2 3 2" xfId="34" xr:uid="{00000000-0005-0000-0000-000013040000}"/>
    <cellStyle name="Porcentual 2 3 2 2" xfId="67" xr:uid="{00000000-0005-0000-0000-000014040000}"/>
    <cellStyle name="Porcentual 2 3 3" xfId="66" xr:uid="{00000000-0005-0000-0000-000015040000}"/>
    <cellStyle name="Porcentual 2 4" xfId="35" xr:uid="{00000000-0005-0000-0000-000016040000}"/>
    <cellStyle name="Porcentual 2 4 2" xfId="68" xr:uid="{00000000-0005-0000-0000-000017040000}"/>
    <cellStyle name="Porcentual 2 4 3" xfId="968" xr:uid="{00000000-0005-0000-0000-000018040000}"/>
    <cellStyle name="Porcentual 2 5" xfId="64" xr:uid="{00000000-0005-0000-0000-000019040000}"/>
    <cellStyle name="Porcentual 2 5 2" xfId="970" xr:uid="{00000000-0005-0000-0000-00001A040000}"/>
    <cellStyle name="Porcentual 2 5 3" xfId="971" xr:uid="{00000000-0005-0000-0000-00001B040000}"/>
    <cellStyle name="Porcentual 2 5 4" xfId="969" xr:uid="{00000000-0005-0000-0000-00001C040000}"/>
    <cellStyle name="Porcentual 2_Libro2" xfId="972" xr:uid="{00000000-0005-0000-0000-00001D040000}"/>
    <cellStyle name="Porcentual 3" xfId="36" xr:uid="{00000000-0005-0000-0000-00001E040000}"/>
    <cellStyle name="Porcentual 3 2" xfId="69" xr:uid="{00000000-0005-0000-0000-00001F040000}"/>
    <cellStyle name="Porcentual 3 3" xfId="973" xr:uid="{00000000-0005-0000-0000-000020040000}"/>
    <cellStyle name="Porcentual 4" xfId="37" xr:uid="{00000000-0005-0000-0000-000021040000}"/>
    <cellStyle name="Porcentual 4 2" xfId="38" xr:uid="{00000000-0005-0000-0000-000022040000}"/>
    <cellStyle name="Porcentual 4 2 2" xfId="71" xr:uid="{00000000-0005-0000-0000-000023040000}"/>
    <cellStyle name="Porcentual 4 3" xfId="70" xr:uid="{00000000-0005-0000-0000-000024040000}"/>
    <cellStyle name="Porcentual 5" xfId="39" xr:uid="{00000000-0005-0000-0000-000025040000}"/>
    <cellStyle name="Porcentual 5 2" xfId="72" xr:uid="{00000000-0005-0000-0000-000026040000}"/>
    <cellStyle name="Porcentual 5 3" xfId="974" xr:uid="{00000000-0005-0000-0000-000027040000}"/>
    <cellStyle name="Porcentual 6" xfId="40" xr:uid="{00000000-0005-0000-0000-000028040000}"/>
    <cellStyle name="Porcentual 6 2" xfId="975" xr:uid="{00000000-0005-0000-0000-000029040000}"/>
    <cellStyle name="Porcentual 7" xfId="976" xr:uid="{00000000-0005-0000-0000-00002A040000}"/>
    <cellStyle name="Porcentual 7 2" xfId="977" xr:uid="{00000000-0005-0000-0000-00002B040000}"/>
    <cellStyle name="Punto0" xfId="978" xr:uid="{00000000-0005-0000-0000-00002C040000}"/>
    <cellStyle name="resaltado" xfId="979" xr:uid="{00000000-0005-0000-0000-00002D040000}"/>
    <cellStyle name="Salida 2" xfId="128" xr:uid="{00000000-0005-0000-0000-00002E040000}"/>
    <cellStyle name="Salida 2 2" xfId="980" xr:uid="{00000000-0005-0000-0000-00002F040000}"/>
    <cellStyle name="Salida 2 2 2" xfId="981" xr:uid="{00000000-0005-0000-0000-000030040000}"/>
    <cellStyle name="Salida 2 2 2 2" xfId="982" xr:uid="{00000000-0005-0000-0000-000031040000}"/>
    <cellStyle name="Salida 2 2 2 2 2" xfId="1099" xr:uid="{00000000-0005-0000-0000-000032040000}"/>
    <cellStyle name="Salida 2 2 2 3" xfId="1098" xr:uid="{00000000-0005-0000-0000-000033040000}"/>
    <cellStyle name="Salida 2 2 3" xfId="983" xr:uid="{00000000-0005-0000-0000-000034040000}"/>
    <cellStyle name="Salida 2 2 3 2" xfId="1100" xr:uid="{00000000-0005-0000-0000-000035040000}"/>
    <cellStyle name="Salida 2 2 4" xfId="1097" xr:uid="{00000000-0005-0000-0000-000036040000}"/>
    <cellStyle name="Salida 2 3" xfId="984" xr:uid="{00000000-0005-0000-0000-000037040000}"/>
    <cellStyle name="Salida 2 3 2" xfId="985" xr:uid="{00000000-0005-0000-0000-000038040000}"/>
    <cellStyle name="Salida 2 3 2 2" xfId="1102" xr:uid="{00000000-0005-0000-0000-000039040000}"/>
    <cellStyle name="Salida 2 3 3" xfId="1101" xr:uid="{00000000-0005-0000-0000-00003A040000}"/>
    <cellStyle name="Salida 2 4" xfId="986" xr:uid="{00000000-0005-0000-0000-00003B040000}"/>
    <cellStyle name="Salida 2 4 2" xfId="1103" xr:uid="{00000000-0005-0000-0000-00003C040000}"/>
    <cellStyle name="Salida 2 5" xfId="1096" xr:uid="{00000000-0005-0000-0000-00003D040000}"/>
    <cellStyle name="Standard_PLAN_EF" xfId="987" xr:uid="{00000000-0005-0000-0000-00003E040000}"/>
    <cellStyle name="Text" xfId="988" xr:uid="{00000000-0005-0000-0000-00003F040000}"/>
    <cellStyle name="Texto de advertencia 2" xfId="129" xr:uid="{00000000-0005-0000-0000-000040040000}"/>
    <cellStyle name="Texto explicativo 2" xfId="130" xr:uid="{00000000-0005-0000-0000-000041040000}"/>
    <cellStyle name="Title" xfId="991" xr:uid="{00000000-0005-0000-0000-000042040000}"/>
    <cellStyle name="Título 1 2" xfId="992" xr:uid="{00000000-0005-0000-0000-000043040000}"/>
    <cellStyle name="Título 2 2" xfId="131" xr:uid="{00000000-0005-0000-0000-000044040000}"/>
    <cellStyle name="Título 3 2" xfId="132" xr:uid="{00000000-0005-0000-0000-000045040000}"/>
    <cellStyle name="Título 3 2 2" xfId="1104" xr:uid="{00000000-0005-0000-0000-000046040000}"/>
    <cellStyle name="Título 3 2 3" xfId="1116" xr:uid="{00000000-0005-0000-0000-000047040000}"/>
    <cellStyle name="Título 4" xfId="133" xr:uid="{00000000-0005-0000-0000-000048040000}"/>
    <cellStyle name="Título de hoja" xfId="993" xr:uid="{00000000-0005-0000-0000-000049040000}"/>
    <cellStyle name="Total 2" xfId="134" xr:uid="{00000000-0005-0000-0000-00004A040000}"/>
    <cellStyle name="Total 2 2" xfId="994" xr:uid="{00000000-0005-0000-0000-00004B040000}"/>
    <cellStyle name="Total 2 2 2" xfId="995" xr:uid="{00000000-0005-0000-0000-00004C040000}"/>
    <cellStyle name="Total 2 2 2 2" xfId="996" xr:uid="{00000000-0005-0000-0000-00004D040000}"/>
    <cellStyle name="Total 2 2 2 2 2" xfId="1109" xr:uid="{00000000-0005-0000-0000-00004E040000}"/>
    <cellStyle name="Total 2 2 2 3" xfId="1108" xr:uid="{00000000-0005-0000-0000-00004F040000}"/>
    <cellStyle name="Total 2 2 3" xfId="997" xr:uid="{00000000-0005-0000-0000-000050040000}"/>
    <cellStyle name="Total 2 2 3 2" xfId="1110" xr:uid="{00000000-0005-0000-0000-000051040000}"/>
    <cellStyle name="Total 2 2 4" xfId="1107" xr:uid="{00000000-0005-0000-0000-000052040000}"/>
    <cellStyle name="Total 2 3" xfId="998" xr:uid="{00000000-0005-0000-0000-000053040000}"/>
    <cellStyle name="Total 2 3 2" xfId="999" xr:uid="{00000000-0005-0000-0000-000054040000}"/>
    <cellStyle name="Total 2 3 2 2" xfId="1112" xr:uid="{00000000-0005-0000-0000-000055040000}"/>
    <cellStyle name="Total 2 3 3" xfId="1111" xr:uid="{00000000-0005-0000-0000-000056040000}"/>
    <cellStyle name="Total 2 4" xfId="1000" xr:uid="{00000000-0005-0000-0000-000057040000}"/>
    <cellStyle name="Total 2 4 2" xfId="1113" xr:uid="{00000000-0005-0000-0000-000058040000}"/>
    <cellStyle name="Total 2 5" xfId="1106" xr:uid="{00000000-0005-0000-0000-000059040000}"/>
    <cellStyle name="Warning Text" xfId="1001" xr:uid="{00000000-0005-0000-0000-00005A040000}"/>
    <cellStyle name="ДАТА" xfId="1002" xr:uid="{00000000-0005-0000-0000-00005B040000}"/>
    <cellStyle name="ДЕНЕЖНЫЙ_BOPENGC" xfId="1003" xr:uid="{00000000-0005-0000-0000-00005C040000}"/>
    <cellStyle name="ЗАГОЛОВОК1" xfId="1004" xr:uid="{00000000-0005-0000-0000-00005D040000}"/>
    <cellStyle name="ЗАГОЛОВОК2" xfId="1005" xr:uid="{00000000-0005-0000-0000-00005E040000}"/>
    <cellStyle name="ИТОГОВЫЙ" xfId="1006" xr:uid="{00000000-0005-0000-0000-00005F040000}"/>
    <cellStyle name="Обычный_BOPENGC" xfId="1007" xr:uid="{00000000-0005-0000-0000-000060040000}"/>
    <cellStyle name="ПРОЦЕНТНЫЙ_BOPENGC" xfId="1008" xr:uid="{00000000-0005-0000-0000-000061040000}"/>
    <cellStyle name="ТЕКСТ" xfId="1009" xr:uid="{00000000-0005-0000-0000-000062040000}"/>
    <cellStyle name="ФИКСИРОВАННЫЙ" xfId="1010" xr:uid="{00000000-0005-0000-0000-000063040000}"/>
    <cellStyle name="ФИНАНСОВЫЙ_BOPENGC" xfId="1011" xr:uid="{00000000-0005-0000-0000-000064040000}"/>
  </cellStyles>
  <dxfs count="0"/>
  <tableStyles count="0" defaultTableStyle="TableStyleMedium2" defaultPivotStyle="PivotStyleLight16"/>
  <colors>
    <mruColors>
      <color rgb="FFFB9C89"/>
      <color rgb="FF8DFDC8"/>
      <color rgb="FF8DFDB2"/>
      <color rgb="FFF95C3D"/>
      <color rgb="FFFF7C80"/>
      <color rgb="FFFA7A6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jpeg"/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50132</xdr:colOff>
      <xdr:row>28</xdr:row>
      <xdr:rowOff>83553</xdr:rowOff>
    </xdr:from>
    <xdr:to>
      <xdr:col>2</xdr:col>
      <xdr:colOff>1086183</xdr:colOff>
      <xdr:row>33</xdr:row>
      <xdr:rowOff>167106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816" y="12298948"/>
          <a:ext cx="1871578" cy="1136316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704849</xdr:colOff>
      <xdr:row>0</xdr:row>
      <xdr:rowOff>154781</xdr:rowOff>
    </xdr:from>
    <xdr:to>
      <xdr:col>1</xdr:col>
      <xdr:colOff>1485900</xdr:colOff>
      <xdr:row>0</xdr:row>
      <xdr:rowOff>952500</xdr:rowOff>
    </xdr:to>
    <xdr:pic>
      <xdr:nvPicPr>
        <xdr:cNvPr id="3" name="Picture 1030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6349" y="154781"/>
          <a:ext cx="781051" cy="797719"/>
        </a:xfrm>
        <a:prstGeom prst="rect">
          <a:avLst/>
        </a:prstGeom>
      </xdr:spPr>
    </xdr:pic>
    <xdr:clientData/>
  </xdr:twoCellAnchor>
  <xdr:twoCellAnchor editAs="oneCell">
    <xdr:from>
      <xdr:col>1</xdr:col>
      <xdr:colOff>1019175</xdr:colOff>
      <xdr:row>63</xdr:row>
      <xdr:rowOff>85726</xdr:rowOff>
    </xdr:from>
    <xdr:to>
      <xdr:col>9</xdr:col>
      <xdr:colOff>462718</xdr:colOff>
      <xdr:row>77</xdr:row>
      <xdr:rowOff>130970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2514" t="21920" b="43410"/>
        <a:stretch/>
      </xdr:blipFill>
      <xdr:spPr>
        <a:xfrm>
          <a:off x="1590675" y="15525751"/>
          <a:ext cx="10073443" cy="284559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1019175</xdr:colOff>
      <xdr:row>65</xdr:row>
      <xdr:rowOff>85726</xdr:rowOff>
    </xdr:from>
    <xdr:to>
      <xdr:col>9</xdr:col>
      <xdr:colOff>462718</xdr:colOff>
      <xdr:row>79</xdr:row>
      <xdr:rowOff>130970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2514" t="21920" b="43410"/>
        <a:stretch/>
      </xdr:blipFill>
      <xdr:spPr>
        <a:xfrm>
          <a:off x="1590675" y="15220951"/>
          <a:ext cx="10073443" cy="284559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771525</xdr:colOff>
      <xdr:row>0</xdr:row>
      <xdr:rowOff>76200</xdr:rowOff>
    </xdr:from>
    <xdr:to>
      <xdr:col>1</xdr:col>
      <xdr:colOff>1524000</xdr:colOff>
      <xdr:row>0</xdr:row>
      <xdr:rowOff>904875</xdr:rowOff>
    </xdr:to>
    <xdr:pic>
      <xdr:nvPicPr>
        <xdr:cNvPr id="2" name="Picture 10302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0650" y="76200"/>
          <a:ext cx="752475" cy="8286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650874</xdr:colOff>
      <xdr:row>3</xdr:row>
      <xdr:rowOff>79375</xdr:rowOff>
    </xdr:from>
    <xdr:to>
      <xdr:col>14</xdr:col>
      <xdr:colOff>952500</xdr:colOff>
      <xdr:row>6</xdr:row>
      <xdr:rowOff>587375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24324" y="1289050"/>
          <a:ext cx="1682751" cy="12509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317500</xdr:colOff>
      <xdr:row>1</xdr:row>
      <xdr:rowOff>79375</xdr:rowOff>
    </xdr:from>
    <xdr:to>
      <xdr:col>4</xdr:col>
      <xdr:colOff>1047750</xdr:colOff>
      <xdr:row>5</xdr:row>
      <xdr:rowOff>142875</xdr:rowOff>
    </xdr:to>
    <xdr:pic>
      <xdr:nvPicPr>
        <xdr:cNvPr id="3" name="Imagen 2" descr="Resultado de imagen para ESCUDO GOBERNACION DEL HUILA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85750"/>
          <a:ext cx="3190875" cy="1571625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11</xdr:col>
      <xdr:colOff>253999</xdr:colOff>
      <xdr:row>1</xdr:row>
      <xdr:rowOff>88552</xdr:rowOff>
    </xdr:from>
    <xdr:ext cx="2270125" cy="809105"/>
    <xdr:pic>
      <xdr:nvPicPr>
        <xdr:cNvPr id="5" name="Imagen 4" descr="Resultado de imagen para ESCUDO GOBERNACION DEL HUILA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35374" y="294927"/>
          <a:ext cx="2270125" cy="8091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68035</xdr:colOff>
      <xdr:row>2</xdr:row>
      <xdr:rowOff>51026</xdr:rowOff>
    </xdr:from>
    <xdr:to>
      <xdr:col>0</xdr:col>
      <xdr:colOff>680356</xdr:colOff>
      <xdr:row>2</xdr:row>
      <xdr:rowOff>654843</xdr:rowOff>
    </xdr:to>
    <xdr:pic>
      <xdr:nvPicPr>
        <xdr:cNvPr id="3" name="Picture 1030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035" y="306160"/>
          <a:ext cx="612321" cy="60381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78638</xdr:colOff>
      <xdr:row>2</xdr:row>
      <xdr:rowOff>70075</xdr:rowOff>
    </xdr:from>
    <xdr:to>
      <xdr:col>0</xdr:col>
      <xdr:colOff>690959</xdr:colOff>
      <xdr:row>2</xdr:row>
      <xdr:rowOff>666750</xdr:rowOff>
    </xdr:to>
    <xdr:pic>
      <xdr:nvPicPr>
        <xdr:cNvPr id="2" name="Picture 10302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638" y="321679"/>
          <a:ext cx="612321" cy="59667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68035</xdr:colOff>
      <xdr:row>2</xdr:row>
      <xdr:rowOff>79600</xdr:rowOff>
    </xdr:from>
    <xdr:to>
      <xdr:col>0</xdr:col>
      <xdr:colOff>680356</xdr:colOff>
      <xdr:row>2</xdr:row>
      <xdr:rowOff>655967</xdr:rowOff>
    </xdr:to>
    <xdr:pic>
      <xdr:nvPicPr>
        <xdr:cNvPr id="2" name="Picture 10302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035" y="331204"/>
          <a:ext cx="612321" cy="57636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68035</xdr:colOff>
      <xdr:row>2</xdr:row>
      <xdr:rowOff>79600</xdr:rowOff>
    </xdr:from>
    <xdr:to>
      <xdr:col>0</xdr:col>
      <xdr:colOff>680356</xdr:colOff>
      <xdr:row>2</xdr:row>
      <xdr:rowOff>635000</xdr:rowOff>
    </xdr:to>
    <xdr:pic>
      <xdr:nvPicPr>
        <xdr:cNvPr id="2" name="Picture 1030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035" y="333600"/>
          <a:ext cx="612321" cy="5554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68035</xdr:colOff>
      <xdr:row>2</xdr:row>
      <xdr:rowOff>79600</xdr:rowOff>
    </xdr:from>
    <xdr:to>
      <xdr:col>0</xdr:col>
      <xdr:colOff>680356</xdr:colOff>
      <xdr:row>2</xdr:row>
      <xdr:rowOff>635000</xdr:rowOff>
    </xdr:to>
    <xdr:pic>
      <xdr:nvPicPr>
        <xdr:cNvPr id="2" name="Picture 10302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035" y="336775"/>
          <a:ext cx="612321" cy="5554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116738</xdr:colOff>
      <xdr:row>2</xdr:row>
      <xdr:rowOff>133350</xdr:rowOff>
    </xdr:from>
    <xdr:to>
      <xdr:col>0</xdr:col>
      <xdr:colOff>643334</xdr:colOff>
      <xdr:row>2</xdr:row>
      <xdr:rowOff>638175</xdr:rowOff>
    </xdr:to>
    <xdr:pic>
      <xdr:nvPicPr>
        <xdr:cNvPr id="2" name="Picture 10302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738" y="447675"/>
          <a:ext cx="526596" cy="50482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68035</xdr:colOff>
      <xdr:row>2</xdr:row>
      <xdr:rowOff>79599</xdr:rowOff>
    </xdr:from>
    <xdr:to>
      <xdr:col>0</xdr:col>
      <xdr:colOff>680356</xdr:colOff>
      <xdr:row>2</xdr:row>
      <xdr:rowOff>638174</xdr:rowOff>
    </xdr:to>
    <xdr:pic>
      <xdr:nvPicPr>
        <xdr:cNvPr id="2" name="Picture 10302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035" y="336774"/>
          <a:ext cx="612321" cy="55857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68035</xdr:colOff>
      <xdr:row>2</xdr:row>
      <xdr:rowOff>79599</xdr:rowOff>
    </xdr:from>
    <xdr:to>
      <xdr:col>0</xdr:col>
      <xdr:colOff>680356</xdr:colOff>
      <xdr:row>2</xdr:row>
      <xdr:rowOff>657225</xdr:rowOff>
    </xdr:to>
    <xdr:pic>
      <xdr:nvPicPr>
        <xdr:cNvPr id="2" name="Picture 1030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035" y="336774"/>
          <a:ext cx="612321" cy="577626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68036</xdr:colOff>
      <xdr:row>2</xdr:row>
      <xdr:rowOff>79599</xdr:rowOff>
    </xdr:from>
    <xdr:to>
      <xdr:col>0</xdr:col>
      <xdr:colOff>619126</xdr:colOff>
      <xdr:row>2</xdr:row>
      <xdr:rowOff>638175</xdr:rowOff>
    </xdr:to>
    <xdr:pic>
      <xdr:nvPicPr>
        <xdr:cNvPr id="2" name="Picture 10302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036" y="336774"/>
          <a:ext cx="551090" cy="558576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99784</xdr:colOff>
      <xdr:row>2</xdr:row>
      <xdr:rowOff>79599</xdr:rowOff>
    </xdr:from>
    <xdr:to>
      <xdr:col>0</xdr:col>
      <xdr:colOff>608540</xdr:colOff>
      <xdr:row>2</xdr:row>
      <xdr:rowOff>619125</xdr:rowOff>
    </xdr:to>
    <xdr:pic>
      <xdr:nvPicPr>
        <xdr:cNvPr id="2" name="Picture 1030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784" y="393924"/>
          <a:ext cx="508756" cy="539526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116738</xdr:colOff>
      <xdr:row>2</xdr:row>
      <xdr:rowOff>133350</xdr:rowOff>
    </xdr:from>
    <xdr:to>
      <xdr:col>0</xdr:col>
      <xdr:colOff>643334</xdr:colOff>
      <xdr:row>2</xdr:row>
      <xdr:rowOff>638175</xdr:rowOff>
    </xdr:to>
    <xdr:pic>
      <xdr:nvPicPr>
        <xdr:cNvPr id="2" name="Picture 10302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738" y="447675"/>
          <a:ext cx="526596" cy="504825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99784</xdr:colOff>
      <xdr:row>2</xdr:row>
      <xdr:rowOff>79599</xdr:rowOff>
    </xdr:from>
    <xdr:to>
      <xdr:col>0</xdr:col>
      <xdr:colOff>656165</xdr:colOff>
      <xdr:row>2</xdr:row>
      <xdr:rowOff>645583</xdr:rowOff>
    </xdr:to>
    <xdr:pic>
      <xdr:nvPicPr>
        <xdr:cNvPr id="2" name="Picture 10302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784" y="333599"/>
          <a:ext cx="556381" cy="565984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99784</xdr:colOff>
      <xdr:row>2</xdr:row>
      <xdr:rowOff>79599</xdr:rowOff>
    </xdr:from>
    <xdr:to>
      <xdr:col>0</xdr:col>
      <xdr:colOff>656165</xdr:colOff>
      <xdr:row>2</xdr:row>
      <xdr:rowOff>622041</xdr:rowOff>
    </xdr:to>
    <xdr:pic>
      <xdr:nvPicPr>
        <xdr:cNvPr id="2" name="Picture 10302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784" y="342022"/>
          <a:ext cx="556381" cy="542442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99784</xdr:colOff>
      <xdr:row>2</xdr:row>
      <xdr:rowOff>79599</xdr:rowOff>
    </xdr:from>
    <xdr:to>
      <xdr:col>0</xdr:col>
      <xdr:colOff>666750</xdr:colOff>
      <xdr:row>2</xdr:row>
      <xdr:rowOff>638175</xdr:rowOff>
    </xdr:to>
    <xdr:pic>
      <xdr:nvPicPr>
        <xdr:cNvPr id="2" name="Picture 10302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784" y="336774"/>
          <a:ext cx="566966" cy="558576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68035</xdr:colOff>
      <xdr:row>2</xdr:row>
      <xdr:rowOff>79599</xdr:rowOff>
    </xdr:from>
    <xdr:to>
      <xdr:col>0</xdr:col>
      <xdr:colOff>680356</xdr:colOff>
      <xdr:row>2</xdr:row>
      <xdr:rowOff>657225</xdr:rowOff>
    </xdr:to>
    <xdr:pic>
      <xdr:nvPicPr>
        <xdr:cNvPr id="2" name="Picture 10302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035" y="336774"/>
          <a:ext cx="612321" cy="577626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99784</xdr:colOff>
      <xdr:row>2</xdr:row>
      <xdr:rowOff>79599</xdr:rowOff>
    </xdr:from>
    <xdr:to>
      <xdr:col>0</xdr:col>
      <xdr:colOff>656165</xdr:colOff>
      <xdr:row>2</xdr:row>
      <xdr:rowOff>624417</xdr:rowOff>
    </xdr:to>
    <xdr:pic>
      <xdr:nvPicPr>
        <xdr:cNvPr id="2" name="Picture 10302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784" y="336774"/>
          <a:ext cx="556381" cy="544818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99784</xdr:colOff>
      <xdr:row>2</xdr:row>
      <xdr:rowOff>79599</xdr:rowOff>
    </xdr:from>
    <xdr:to>
      <xdr:col>0</xdr:col>
      <xdr:colOff>647700</xdr:colOff>
      <xdr:row>2</xdr:row>
      <xdr:rowOff>647700</xdr:rowOff>
    </xdr:to>
    <xdr:pic>
      <xdr:nvPicPr>
        <xdr:cNvPr id="2" name="Picture 10302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784" y="336774"/>
          <a:ext cx="547916" cy="568101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99783</xdr:colOff>
      <xdr:row>2</xdr:row>
      <xdr:rowOff>79599</xdr:rowOff>
    </xdr:from>
    <xdr:to>
      <xdr:col>0</xdr:col>
      <xdr:colOff>657224</xdr:colOff>
      <xdr:row>2</xdr:row>
      <xdr:rowOff>666750</xdr:rowOff>
    </xdr:to>
    <xdr:pic>
      <xdr:nvPicPr>
        <xdr:cNvPr id="2" name="Picture 10302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783" y="336774"/>
          <a:ext cx="557441" cy="587151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116738</xdr:colOff>
      <xdr:row>2</xdr:row>
      <xdr:rowOff>133350</xdr:rowOff>
    </xdr:from>
    <xdr:to>
      <xdr:col>0</xdr:col>
      <xdr:colOff>643334</xdr:colOff>
      <xdr:row>2</xdr:row>
      <xdr:rowOff>638175</xdr:rowOff>
    </xdr:to>
    <xdr:pic>
      <xdr:nvPicPr>
        <xdr:cNvPr id="2" name="Picture 10302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738" y="447675"/>
          <a:ext cx="526596" cy="504825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99784</xdr:colOff>
      <xdr:row>2</xdr:row>
      <xdr:rowOff>79599</xdr:rowOff>
    </xdr:from>
    <xdr:to>
      <xdr:col>0</xdr:col>
      <xdr:colOff>656165</xdr:colOff>
      <xdr:row>2</xdr:row>
      <xdr:rowOff>645583</xdr:rowOff>
    </xdr:to>
    <xdr:pic>
      <xdr:nvPicPr>
        <xdr:cNvPr id="2" name="Picture 10302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784" y="336774"/>
          <a:ext cx="556381" cy="565984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99784</xdr:colOff>
      <xdr:row>2</xdr:row>
      <xdr:rowOff>79599</xdr:rowOff>
    </xdr:from>
    <xdr:to>
      <xdr:col>0</xdr:col>
      <xdr:colOff>656165</xdr:colOff>
      <xdr:row>2</xdr:row>
      <xdr:rowOff>622041</xdr:rowOff>
    </xdr:to>
    <xdr:pic>
      <xdr:nvPicPr>
        <xdr:cNvPr id="2" name="Picture 10302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784" y="336774"/>
          <a:ext cx="556381" cy="542442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68036</xdr:colOff>
      <xdr:row>2</xdr:row>
      <xdr:rowOff>79599</xdr:rowOff>
    </xdr:from>
    <xdr:to>
      <xdr:col>0</xdr:col>
      <xdr:colOff>619126</xdr:colOff>
      <xdr:row>2</xdr:row>
      <xdr:rowOff>638175</xdr:rowOff>
    </xdr:to>
    <xdr:pic>
      <xdr:nvPicPr>
        <xdr:cNvPr id="2" name="Picture 10302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036" y="336774"/>
          <a:ext cx="551090" cy="558576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99784</xdr:colOff>
      <xdr:row>2</xdr:row>
      <xdr:rowOff>79599</xdr:rowOff>
    </xdr:from>
    <xdr:to>
      <xdr:col>0</xdr:col>
      <xdr:colOff>656165</xdr:colOff>
      <xdr:row>2</xdr:row>
      <xdr:rowOff>624417</xdr:rowOff>
    </xdr:to>
    <xdr:pic>
      <xdr:nvPicPr>
        <xdr:cNvPr id="2" name="Picture 10302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784" y="336774"/>
          <a:ext cx="556381" cy="544818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99784</xdr:colOff>
      <xdr:row>2</xdr:row>
      <xdr:rowOff>79599</xdr:rowOff>
    </xdr:from>
    <xdr:to>
      <xdr:col>0</xdr:col>
      <xdr:colOff>656165</xdr:colOff>
      <xdr:row>2</xdr:row>
      <xdr:rowOff>622041</xdr:rowOff>
    </xdr:to>
    <xdr:pic>
      <xdr:nvPicPr>
        <xdr:cNvPr id="2" name="Picture 10302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784" y="336774"/>
          <a:ext cx="556381" cy="542442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68035</xdr:colOff>
      <xdr:row>2</xdr:row>
      <xdr:rowOff>79602</xdr:rowOff>
    </xdr:from>
    <xdr:to>
      <xdr:col>0</xdr:col>
      <xdr:colOff>647700</xdr:colOff>
      <xdr:row>2</xdr:row>
      <xdr:rowOff>657226</xdr:rowOff>
    </xdr:to>
    <xdr:pic>
      <xdr:nvPicPr>
        <xdr:cNvPr id="2" name="Picture 10302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035" y="336777"/>
          <a:ext cx="579665" cy="577624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99784</xdr:colOff>
      <xdr:row>2</xdr:row>
      <xdr:rowOff>79599</xdr:rowOff>
    </xdr:from>
    <xdr:to>
      <xdr:col>0</xdr:col>
      <xdr:colOff>656165</xdr:colOff>
      <xdr:row>2</xdr:row>
      <xdr:rowOff>645583</xdr:rowOff>
    </xdr:to>
    <xdr:pic>
      <xdr:nvPicPr>
        <xdr:cNvPr id="2" name="Picture 10302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784" y="336774"/>
          <a:ext cx="556381" cy="565984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68035</xdr:colOff>
      <xdr:row>2</xdr:row>
      <xdr:rowOff>79599</xdr:rowOff>
    </xdr:from>
    <xdr:to>
      <xdr:col>0</xdr:col>
      <xdr:colOff>680356</xdr:colOff>
      <xdr:row>2</xdr:row>
      <xdr:rowOff>676274</xdr:rowOff>
    </xdr:to>
    <xdr:pic>
      <xdr:nvPicPr>
        <xdr:cNvPr id="2" name="Picture 10302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035" y="336774"/>
          <a:ext cx="612321" cy="5966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red%20oficina\Users\ALIRIO\Desktop\PREUPUESTOS%20VIAS\PLACA%20HUELLA%20%20(Planta%20en%20Pitalito)%20(Ajustado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red%20oficina\PLACA%20HUELLA%20DEPARTAMENTAL3\2.HUELLA%20DE%205%20ANCHO%202016%20DPTAL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ERTS\Downloads\Presupuesto%20mejoramiento%20de%20vias.xlsm" TargetMode="External"/><Relationship Id="rId1" Type="http://schemas.openxmlformats.org/officeDocument/2006/relationships/externalLinkPath" Target="file:///C:\Users\USERTS\Downloads\Presupuesto%20mejoramiento%20de%20via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ATULA"/>
      <sheetName val="ELEMENTOS"/>
      <sheetName val="DISEÑO"/>
      <sheetName val="ANEXO TECNICO"/>
      <sheetName val="Cantidades"/>
      <sheetName val="Presupuesto"/>
      <sheetName val="1,1"/>
      <sheetName val="1,2"/>
      <sheetName val="1,3"/>
      <sheetName val="1,4-3,1-4,1"/>
      <sheetName val="1,5"/>
      <sheetName val="1,6"/>
      <sheetName val="1,7"/>
      <sheetName val="1,8"/>
      <sheetName val="2,2"/>
      <sheetName val="3,2 Cto. 140 Kg.cm2"/>
      <sheetName val="3,3 Cto3000"/>
      <sheetName val="3,4"/>
      <sheetName val="3,5"/>
      <sheetName val="4,6 Cto 3500"/>
      <sheetName val="4,7 Cto2500"/>
      <sheetName val="4,8 TRANSPORTE"/>
      <sheetName val="4,1 DEMOLICION"/>
      <sheetName val="EQUIPO"/>
      <sheetName val="MANO DE OBRA"/>
      <sheetName val="Despiece de Insum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35">
          <cell r="H35">
            <v>1500</v>
          </cell>
        </row>
      </sheetData>
      <sheetData sheetId="22"/>
      <sheetData sheetId="23"/>
      <sheetData sheetId="24"/>
      <sheetData sheetId="2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ATULA"/>
      <sheetName val="ELEMENTOS"/>
      <sheetName val="ANEXO TECNICO"/>
      <sheetName val="Cantidades"/>
      <sheetName val="Presupuesto"/>
      <sheetName val="1,1"/>
      <sheetName val="1,2"/>
      <sheetName val="1,3"/>
      <sheetName val="1,4-3,1-4,1"/>
      <sheetName val="1,5"/>
      <sheetName val="2,1"/>
      <sheetName val="2,2"/>
      <sheetName val="2,3"/>
      <sheetName val="3,2"/>
      <sheetName val="4,4"/>
      <sheetName val="4,5"/>
      <sheetName val="Cto 3500"/>
      <sheetName val="4,3 Cto3000"/>
      <sheetName val="Cto2500"/>
      <sheetName val="4,2 Cto. 140 Kg.cm2"/>
      <sheetName val="TRANSPORTE"/>
      <sheetName val="EQUIPO"/>
      <sheetName val="MANO DE OBRA"/>
      <sheetName val="Despiece de Insumos"/>
      <sheetName val="Hoja1"/>
    </sheetNames>
    <sheetDataSet>
      <sheetData sheetId="0"/>
      <sheetData sheetId="1"/>
      <sheetData sheetId="2"/>
      <sheetData sheetId="3"/>
      <sheetData sheetId="4">
        <row r="3">
          <cell r="B3">
            <v>0</v>
          </cell>
        </row>
      </sheetData>
      <sheetData sheetId="5"/>
      <sheetData sheetId="6"/>
      <sheetData sheetId="7">
        <row r="19">
          <cell r="A19" t="str">
            <v>Material granular clasificado para afirmado de  vias Esp. 311-07 INVIAS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2">
          <cell r="A12" t="str">
            <v>MEZCLADORA DE CONCRETO (1 BULTO)</v>
          </cell>
        </row>
      </sheetData>
      <sheetData sheetId="17"/>
      <sheetData sheetId="18"/>
      <sheetData sheetId="19"/>
      <sheetData sheetId="20"/>
      <sheetData sheetId="21">
        <row r="13">
          <cell r="D13">
            <v>7000</v>
          </cell>
        </row>
        <row r="14">
          <cell r="D14">
            <v>8750</v>
          </cell>
        </row>
        <row r="15">
          <cell r="D15">
            <v>4500</v>
          </cell>
        </row>
        <row r="16">
          <cell r="D16">
            <v>1000</v>
          </cell>
        </row>
      </sheetData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alarios (2)"/>
      <sheetName val="ALCANTARILLAS OSPINA PEREZ  (2)"/>
      <sheetName val="ALCANTARILLAS OSPINA PEREZ "/>
      <sheetName val="PALERMO"/>
      <sheetName val="MURO OSPINA PEREZ"/>
      <sheetName val="PALERMO  CONVENIO"/>
      <sheetName val="PALERMO "/>
      <sheetName val="LA ARGENTINA"/>
      <sheetName val="SANTA MARIA"/>
      <sheetName val="HOJA MATRIZ"/>
      <sheetName val="INSUMOS-MATERIALES"/>
      <sheetName val="INSUMOS-EQUIPO"/>
      <sheetName val="INSUMOS-TRANSPORTES"/>
      <sheetName val="INSUMOS-OTROS"/>
      <sheetName val="salarios"/>
      <sheetName val="INSUMOS-MANO DE OBRA"/>
      <sheetName val="1 Conformación "/>
      <sheetName val="2 AFIRMADO"/>
      <sheetName val="3 Transporte 2"/>
      <sheetName val="MC VIAS"/>
      <sheetName val="PPTO VI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2">
          <cell r="C2" t="str">
            <v>ANÁLISIS DE PRECIOS UNITARIOS</v>
          </cell>
        </row>
        <row r="3">
          <cell r="A3" t="str">
            <v>MUNICIPIO DE SALADOBLANCO</v>
          </cell>
        </row>
        <row r="8">
          <cell r="D8" t="str">
            <v xml:space="preserve">ITEM DE PAGO: </v>
          </cell>
        </row>
      </sheetData>
      <sheetData sheetId="10">
        <row r="21">
          <cell r="D21" t="str">
            <v>M3</v>
          </cell>
        </row>
        <row r="58">
          <cell r="C58" t="str">
            <v>RECEBO COMÚN PROVENIENTE DE MATERIAL DE PRESTAMO I.P.&lt;15%; T.M.=3".</v>
          </cell>
        </row>
      </sheetData>
      <sheetData sheetId="11">
        <row r="18">
          <cell r="C18" t="str">
            <v>MOTONIVELADORA &gt;120 HP.</v>
          </cell>
        </row>
        <row r="19">
          <cell r="C19" t="str">
            <v>VIBROCOMPACTADOR DYNAPAC C-15 O SIMILAR</v>
          </cell>
        </row>
        <row r="26">
          <cell r="C26" t="str">
            <v xml:space="preserve">TANQUE CAP. 500L IRRIGADOR DE AGUA ACCIONADO CON TIRO. </v>
          </cell>
        </row>
      </sheetData>
      <sheetData sheetId="12" refreshError="1"/>
      <sheetData sheetId="13" refreshError="1"/>
      <sheetData sheetId="14" refreshError="1"/>
      <sheetData sheetId="15">
        <row r="5">
          <cell r="C5" t="str">
            <v>OBRERO.</v>
          </cell>
        </row>
      </sheetData>
      <sheetData sheetId="16">
        <row r="3">
          <cell r="A3" t="str">
            <v>MUNICIPIO DE SALADOBLANCO</v>
          </cell>
        </row>
        <row r="34">
          <cell r="E34">
            <v>0.05</v>
          </cell>
        </row>
      </sheetData>
      <sheetData sheetId="17">
        <row r="3">
          <cell r="A3" t="str">
            <v>MUNICIPIO DE SALADOBLANCO</v>
          </cell>
        </row>
      </sheetData>
      <sheetData sheetId="18"/>
      <sheetData sheetId="19"/>
      <sheetData sheetId="20">
        <row r="5">
          <cell r="B5">
            <v>1</v>
          </cell>
          <cell r="D5" t="str">
            <v>M2</v>
          </cell>
        </row>
        <row r="6">
          <cell r="B6">
            <v>2</v>
          </cell>
        </row>
        <row r="7">
          <cell r="B7">
            <v>3</v>
          </cell>
          <cell r="D7" t="str">
            <v>M3/KM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CO94"/>
  <sheetViews>
    <sheetView view="pageBreakPreview" zoomScale="57" zoomScaleNormal="66" zoomScaleSheetLayoutView="57" zoomScalePageLayoutView="66" workbookViewId="0">
      <selection activeCell="B5" sqref="B5:E6"/>
    </sheetView>
  </sheetViews>
  <sheetFormatPr baseColWidth="10" defaultRowHeight="15"/>
  <cols>
    <col min="1" max="1" width="10.7109375"/>
    <col min="2" max="2" width="12.42578125" customWidth="1"/>
    <col min="3" max="3" width="38.42578125" customWidth="1"/>
    <col min="4" max="4" width="26.7109375" customWidth="1"/>
    <col min="5" max="5" width="13.7109375" customWidth="1"/>
    <col min="6" max="6" width="22.28515625" customWidth="1"/>
    <col min="7" max="54" width="4.7109375" customWidth="1"/>
    <col min="55" max="55" width="21.7109375" customWidth="1"/>
    <col min="56" max="56" width="6.42578125" customWidth="1"/>
  </cols>
  <sheetData>
    <row r="1" spans="1:93" ht="30" customHeight="1"/>
    <row r="2" spans="1:93" ht="30" customHeight="1"/>
    <row r="3" spans="1:93" ht="146.25" customHeight="1">
      <c r="A3" s="539"/>
      <c r="B3" s="659" t="s">
        <v>435</v>
      </c>
      <c r="C3" s="659"/>
      <c r="D3" s="659"/>
      <c r="E3" s="659"/>
      <c r="F3" s="659"/>
      <c r="G3" s="659"/>
      <c r="H3" s="659"/>
      <c r="I3" s="659"/>
      <c r="J3" s="659"/>
      <c r="K3" s="659"/>
      <c r="L3" s="659"/>
      <c r="M3" s="659"/>
      <c r="N3" s="659"/>
      <c r="O3" s="659"/>
      <c r="P3" s="659"/>
      <c r="Q3" s="659"/>
      <c r="R3" s="659"/>
      <c r="S3" s="659"/>
      <c r="T3" s="659"/>
      <c r="U3" s="659"/>
      <c r="V3" s="659"/>
      <c r="W3" s="659"/>
      <c r="X3" s="659"/>
      <c r="Y3" s="659"/>
      <c r="Z3" s="659"/>
      <c r="AA3" s="659"/>
      <c r="AB3" s="659"/>
      <c r="AC3" s="659"/>
      <c r="AD3" s="659"/>
      <c r="AE3" s="659"/>
      <c r="AF3" s="659"/>
      <c r="AG3" s="659"/>
      <c r="AH3" s="659"/>
      <c r="AI3" s="659"/>
      <c r="AJ3" s="659"/>
      <c r="AK3" s="659"/>
      <c r="AL3" s="659"/>
      <c r="AM3" s="659"/>
      <c r="AN3" s="659"/>
      <c r="AO3" s="659"/>
      <c r="AP3" s="659"/>
      <c r="AQ3" s="659"/>
      <c r="AR3" s="659"/>
      <c r="AS3" s="659"/>
      <c r="AT3" s="659"/>
      <c r="AU3" s="659"/>
      <c r="AV3" s="659"/>
      <c r="AW3" s="659"/>
      <c r="AX3" s="659"/>
      <c r="AY3" s="659"/>
      <c r="AZ3" s="659"/>
      <c r="BA3" s="659"/>
      <c r="BB3" s="659"/>
      <c r="BC3" s="659"/>
      <c r="BD3" s="539"/>
    </row>
    <row r="4" spans="1:93" ht="30" customHeight="1">
      <c r="A4" s="539"/>
      <c r="B4" s="660" t="e">
        <f>#REF!</f>
        <v>#REF!</v>
      </c>
      <c r="C4" s="660"/>
      <c r="D4" s="660"/>
      <c r="E4" s="660"/>
      <c r="F4" s="660"/>
      <c r="G4" s="660"/>
      <c r="H4" s="660"/>
      <c r="I4" s="660"/>
      <c r="J4" s="660"/>
      <c r="K4" s="660"/>
      <c r="L4" s="660"/>
      <c r="M4" s="660"/>
      <c r="N4" s="660"/>
      <c r="O4" s="660"/>
      <c r="P4" s="660"/>
      <c r="Q4" s="660"/>
      <c r="R4" s="660"/>
      <c r="S4" s="660"/>
      <c r="T4" s="660"/>
      <c r="U4" s="660"/>
      <c r="V4" s="660"/>
      <c r="W4" s="660"/>
      <c r="X4" s="660"/>
      <c r="Y4" s="660"/>
      <c r="Z4" s="660"/>
      <c r="AA4" s="660"/>
      <c r="AB4" s="660"/>
      <c r="AC4" s="660"/>
      <c r="AD4" s="660"/>
      <c r="AE4" s="660"/>
      <c r="AF4" s="660"/>
      <c r="AG4" s="660"/>
      <c r="AH4" s="660"/>
      <c r="AI4" s="660"/>
      <c r="AJ4" s="660"/>
      <c r="AK4" s="660"/>
      <c r="AL4" s="660"/>
      <c r="AM4" s="660"/>
      <c r="AN4" s="660"/>
      <c r="AO4" s="660"/>
      <c r="AP4" s="660"/>
      <c r="AQ4" s="660"/>
      <c r="AR4" s="660"/>
      <c r="AS4" s="660"/>
      <c r="AT4" s="660"/>
      <c r="AU4" s="660"/>
      <c r="AV4" s="660"/>
      <c r="AW4" s="660"/>
      <c r="AX4" s="660"/>
      <c r="AY4" s="660"/>
      <c r="AZ4" s="660"/>
      <c r="BA4" s="660"/>
      <c r="BB4" s="660"/>
      <c r="BC4" s="660"/>
      <c r="BD4" s="539"/>
    </row>
    <row r="5" spans="1:93" ht="30" customHeight="1">
      <c r="A5" s="539"/>
      <c r="B5" s="538"/>
      <c r="C5" s="538"/>
      <c r="D5" s="538"/>
      <c r="E5" s="538"/>
      <c r="F5" s="538"/>
      <c r="G5" s="538"/>
      <c r="H5" s="538"/>
      <c r="I5" s="538"/>
      <c r="J5" s="538"/>
      <c r="K5" s="538"/>
      <c r="L5" s="538"/>
      <c r="M5" s="538"/>
      <c r="N5" s="538"/>
      <c r="O5" s="538"/>
      <c r="P5" s="538"/>
      <c r="Q5" s="538"/>
      <c r="R5" s="538"/>
      <c r="S5" s="538"/>
      <c r="T5" s="538"/>
      <c r="U5" s="538"/>
      <c r="V5" s="538"/>
      <c r="W5" s="538"/>
      <c r="X5" s="538"/>
      <c r="Y5" s="538"/>
      <c r="Z5" s="538"/>
      <c r="AA5" s="538"/>
      <c r="AB5" s="538"/>
      <c r="AC5" s="538"/>
      <c r="AD5" s="538"/>
      <c r="AE5" s="538"/>
      <c r="AF5" s="538"/>
      <c r="AG5" s="538"/>
      <c r="AH5" s="538"/>
      <c r="AI5" s="538"/>
      <c r="AJ5" s="538"/>
      <c r="AK5" s="538"/>
      <c r="AL5" s="538"/>
      <c r="AM5" s="538"/>
      <c r="AN5" s="538"/>
      <c r="AO5" s="538"/>
      <c r="AP5" s="538"/>
      <c r="AQ5" s="538"/>
      <c r="AR5" s="538"/>
      <c r="AS5" s="538"/>
      <c r="AT5" s="538"/>
      <c r="AU5" s="538"/>
      <c r="AV5" s="538"/>
      <c r="AW5" s="538"/>
      <c r="AX5" s="538"/>
      <c r="AY5" s="538"/>
      <c r="AZ5" s="538"/>
      <c r="BA5" s="538"/>
      <c r="BB5" s="538"/>
      <c r="BC5" s="539"/>
      <c r="BD5" s="539"/>
    </row>
    <row r="6" spans="1:93" ht="30" customHeight="1">
      <c r="A6" s="539"/>
      <c r="B6" s="661" t="s">
        <v>396</v>
      </c>
      <c r="C6" s="661"/>
      <c r="D6" s="661"/>
      <c r="E6" s="661"/>
      <c r="F6" s="661"/>
      <c r="G6" s="661"/>
      <c r="H6" s="661"/>
      <c r="I6" s="661"/>
      <c r="J6" s="661"/>
      <c r="K6" s="661"/>
      <c r="L6" s="661"/>
      <c r="M6" s="661"/>
      <c r="N6" s="661"/>
      <c r="O6" s="661"/>
      <c r="P6" s="661"/>
      <c r="Q6" s="661"/>
      <c r="R6" s="661"/>
      <c r="S6" s="661"/>
      <c r="T6" s="661"/>
      <c r="U6" s="661"/>
      <c r="V6" s="661"/>
      <c r="W6" s="661"/>
      <c r="X6" s="661"/>
      <c r="Y6" s="661"/>
      <c r="Z6" s="661"/>
      <c r="AA6" s="661"/>
      <c r="AB6" s="661"/>
      <c r="AC6" s="661"/>
      <c r="AD6" s="661"/>
      <c r="AE6" s="661"/>
      <c r="AF6" s="661"/>
      <c r="AG6" s="661"/>
      <c r="AH6" s="661"/>
      <c r="AI6" s="661"/>
      <c r="AJ6" s="661"/>
      <c r="AK6" s="661"/>
      <c r="AL6" s="661"/>
      <c r="AM6" s="661"/>
      <c r="AN6" s="661"/>
      <c r="AO6" s="661"/>
      <c r="AP6" s="661"/>
      <c r="AQ6" s="661"/>
      <c r="AR6" s="661"/>
      <c r="AS6" s="661"/>
      <c r="AT6" s="661"/>
      <c r="AU6" s="661"/>
      <c r="AV6" s="661"/>
      <c r="AW6" s="661"/>
      <c r="AX6" s="661"/>
      <c r="AY6" s="661"/>
      <c r="AZ6" s="661"/>
      <c r="BA6" s="661"/>
      <c r="BB6" s="661"/>
      <c r="BC6" s="661"/>
      <c r="BD6" s="539"/>
    </row>
    <row r="7" spans="1:93" ht="30" customHeight="1" thickBot="1">
      <c r="A7" s="539"/>
      <c r="B7" s="539"/>
      <c r="C7" s="539"/>
      <c r="D7" s="539"/>
      <c r="E7" s="539"/>
      <c r="F7" s="539"/>
      <c r="G7" s="539"/>
      <c r="H7" s="539"/>
      <c r="I7" s="539"/>
      <c r="J7" s="539"/>
      <c r="K7" s="539"/>
      <c r="L7" s="539"/>
      <c r="M7" s="539"/>
      <c r="N7" s="539"/>
      <c r="O7" s="539"/>
      <c r="P7" s="539"/>
      <c r="Q7" s="539"/>
      <c r="R7" s="539"/>
      <c r="S7" s="539"/>
      <c r="T7" s="539"/>
      <c r="U7" s="539"/>
      <c r="V7" s="539"/>
      <c r="W7" s="539"/>
      <c r="X7" s="539"/>
      <c r="Y7" s="539"/>
      <c r="Z7" s="539"/>
      <c r="AA7" s="539"/>
      <c r="AB7" s="539"/>
      <c r="AC7" s="539"/>
      <c r="AD7" s="539"/>
      <c r="AE7" s="539"/>
      <c r="AF7" s="539"/>
      <c r="AG7" s="539"/>
      <c r="AH7" s="539"/>
      <c r="AI7" s="539"/>
      <c r="AJ7" s="539"/>
      <c r="AK7" s="539"/>
      <c r="AL7" s="539"/>
      <c r="AM7" s="539"/>
      <c r="AN7" s="539"/>
      <c r="AO7" s="539"/>
      <c r="AP7" s="539"/>
      <c r="AQ7" s="539"/>
      <c r="AR7" s="539"/>
      <c r="AS7" s="539"/>
      <c r="AT7" s="539"/>
      <c r="AU7" s="539"/>
      <c r="AV7" s="539"/>
      <c r="AW7" s="539"/>
      <c r="AX7" s="539"/>
      <c r="AY7" s="539"/>
      <c r="AZ7" s="539"/>
      <c r="BA7" s="539"/>
      <c r="BB7" s="539"/>
      <c r="BC7" s="539"/>
      <c r="BD7" s="539"/>
    </row>
    <row r="8" spans="1:93" s="312" customFormat="1" ht="58.15" customHeight="1" thickBot="1">
      <c r="A8" s="545"/>
      <c r="B8" s="540"/>
      <c r="C8" s="540"/>
      <c r="D8" s="540"/>
      <c r="E8" s="540"/>
      <c r="F8" s="391" t="s">
        <v>397</v>
      </c>
      <c r="G8" s="315" t="s">
        <v>223</v>
      </c>
      <c r="H8" s="316"/>
      <c r="I8" s="316"/>
      <c r="J8" s="317"/>
      <c r="K8" s="315" t="s">
        <v>237</v>
      </c>
      <c r="L8" s="316"/>
      <c r="M8" s="316"/>
      <c r="N8" s="317"/>
      <c r="O8" s="315" t="s">
        <v>238</v>
      </c>
      <c r="P8" s="316"/>
      <c r="Q8" s="316"/>
      <c r="R8" s="317"/>
      <c r="S8" s="315" t="s">
        <v>239</v>
      </c>
      <c r="T8" s="316"/>
      <c r="U8" s="316"/>
      <c r="V8" s="317"/>
      <c r="W8" s="315" t="s">
        <v>240</v>
      </c>
      <c r="X8" s="316"/>
      <c r="Y8" s="316"/>
      <c r="Z8" s="317"/>
      <c r="AA8" s="315" t="s">
        <v>241</v>
      </c>
      <c r="AB8" s="316"/>
      <c r="AC8" s="316"/>
      <c r="AD8" s="317"/>
      <c r="AE8" s="315" t="s">
        <v>242</v>
      </c>
      <c r="AF8" s="316"/>
      <c r="AG8" s="316"/>
      <c r="AH8" s="317"/>
      <c r="AI8" s="315" t="s">
        <v>243</v>
      </c>
      <c r="AJ8" s="316"/>
      <c r="AK8" s="316"/>
      <c r="AL8" s="317"/>
      <c r="AM8" s="315" t="s">
        <v>244</v>
      </c>
      <c r="AN8" s="316"/>
      <c r="AO8" s="316"/>
      <c r="AP8" s="317"/>
      <c r="AQ8" s="315" t="s">
        <v>398</v>
      </c>
      <c r="AR8" s="316"/>
      <c r="AS8" s="316"/>
      <c r="AT8" s="317"/>
      <c r="AU8" s="315" t="s">
        <v>399</v>
      </c>
      <c r="AV8" s="316"/>
      <c r="AW8" s="316"/>
      <c r="AX8" s="317"/>
      <c r="AY8" s="315" t="s">
        <v>400</v>
      </c>
      <c r="AZ8" s="316"/>
      <c r="BA8" s="316"/>
      <c r="BB8" s="317"/>
      <c r="BC8" s="391" t="s">
        <v>401</v>
      </c>
      <c r="BD8" s="545"/>
    </row>
    <row r="9" spans="1:93" s="312" customFormat="1" ht="58.15" customHeight="1" thickBot="1">
      <c r="A9" s="545"/>
      <c r="B9" s="314" t="s">
        <v>403</v>
      </c>
      <c r="C9" s="314" t="s">
        <v>281</v>
      </c>
      <c r="D9" s="314" t="s">
        <v>284</v>
      </c>
      <c r="E9" s="392" t="s">
        <v>224</v>
      </c>
      <c r="F9" s="504"/>
      <c r="G9" s="319" t="s">
        <v>225</v>
      </c>
      <c r="H9" s="320" t="s">
        <v>226</v>
      </c>
      <c r="I9" s="320" t="s">
        <v>227</v>
      </c>
      <c r="J9" s="321" t="s">
        <v>228</v>
      </c>
      <c r="K9" s="319" t="s">
        <v>229</v>
      </c>
      <c r="L9" s="320" t="s">
        <v>230</v>
      </c>
      <c r="M9" s="320" t="s">
        <v>231</v>
      </c>
      <c r="N9" s="321" t="s">
        <v>232</v>
      </c>
      <c r="O9" s="319" t="s">
        <v>233</v>
      </c>
      <c r="P9" s="320" t="s">
        <v>234</v>
      </c>
      <c r="Q9" s="320" t="s">
        <v>235</v>
      </c>
      <c r="R9" s="321" t="s">
        <v>236</v>
      </c>
      <c r="S9" s="319" t="s">
        <v>245</v>
      </c>
      <c r="T9" s="320" t="s">
        <v>246</v>
      </c>
      <c r="U9" s="320" t="s">
        <v>247</v>
      </c>
      <c r="V9" s="321" t="s">
        <v>248</v>
      </c>
      <c r="W9" s="319" t="s">
        <v>249</v>
      </c>
      <c r="X9" s="320" t="s">
        <v>250</v>
      </c>
      <c r="Y9" s="320" t="s">
        <v>251</v>
      </c>
      <c r="Z9" s="321" t="s">
        <v>252</v>
      </c>
      <c r="AA9" s="319" t="s">
        <v>253</v>
      </c>
      <c r="AB9" s="320" t="s">
        <v>254</v>
      </c>
      <c r="AC9" s="320" t="s">
        <v>255</v>
      </c>
      <c r="AD9" s="321" t="s">
        <v>256</v>
      </c>
      <c r="AE9" s="319" t="s">
        <v>257</v>
      </c>
      <c r="AF9" s="320" t="s">
        <v>258</v>
      </c>
      <c r="AG9" s="320" t="s">
        <v>259</v>
      </c>
      <c r="AH9" s="396" t="s">
        <v>260</v>
      </c>
      <c r="AI9" s="319" t="s">
        <v>261</v>
      </c>
      <c r="AJ9" s="320" t="s">
        <v>262</v>
      </c>
      <c r="AK9" s="320" t="s">
        <v>263</v>
      </c>
      <c r="AL9" s="321" t="s">
        <v>264</v>
      </c>
      <c r="AM9" s="319" t="s">
        <v>265</v>
      </c>
      <c r="AN9" s="320" t="s">
        <v>266</v>
      </c>
      <c r="AO9" s="320" t="s">
        <v>267</v>
      </c>
      <c r="AP9" s="321" t="s">
        <v>268</v>
      </c>
      <c r="AQ9" s="397" t="s">
        <v>269</v>
      </c>
      <c r="AR9" s="320" t="s">
        <v>270</v>
      </c>
      <c r="AS9" s="320" t="s">
        <v>271</v>
      </c>
      <c r="AT9" s="396" t="s">
        <v>272</v>
      </c>
      <c r="AU9" s="319" t="s">
        <v>273</v>
      </c>
      <c r="AV9" s="320" t="s">
        <v>274</v>
      </c>
      <c r="AW9" s="320" t="s">
        <v>275</v>
      </c>
      <c r="AX9" s="321" t="s">
        <v>276</v>
      </c>
      <c r="AY9" s="319" t="s">
        <v>277</v>
      </c>
      <c r="AZ9" s="320" t="s">
        <v>278</v>
      </c>
      <c r="BA9" s="320" t="s">
        <v>279</v>
      </c>
      <c r="BB9" s="321" t="s">
        <v>280</v>
      </c>
      <c r="BC9" s="392"/>
      <c r="BD9" s="545"/>
    </row>
    <row r="10" spans="1:93" s="394" customFormat="1" ht="31.5" customHeight="1">
      <c r="A10" s="554"/>
      <c r="B10" s="395">
        <v>1</v>
      </c>
      <c r="C10" s="405" t="s">
        <v>402</v>
      </c>
      <c r="D10" s="393"/>
      <c r="E10" s="399">
        <v>90</v>
      </c>
      <c r="F10" s="505"/>
      <c r="G10" s="353"/>
      <c r="H10" s="353"/>
      <c r="I10" s="353"/>
      <c r="J10" s="354"/>
      <c r="K10" s="352"/>
      <c r="L10" s="353"/>
      <c r="M10" s="353"/>
      <c r="N10" s="354"/>
      <c r="O10" s="352"/>
      <c r="P10" s="353"/>
      <c r="Q10" s="353"/>
      <c r="R10" s="354"/>
      <c r="S10" s="352"/>
      <c r="T10" s="353"/>
      <c r="U10" s="353"/>
      <c r="V10" s="354"/>
      <c r="W10" s="352"/>
      <c r="X10" s="353"/>
      <c r="Y10" s="353"/>
      <c r="Z10" s="354"/>
      <c r="AA10" s="352"/>
      <c r="AB10" s="353"/>
      <c r="AC10" s="353"/>
      <c r="AD10" s="354"/>
      <c r="AE10" s="352"/>
      <c r="AF10" s="353"/>
      <c r="AG10" s="353"/>
      <c r="AH10" s="354"/>
      <c r="AI10" s="352"/>
      <c r="AJ10" s="353"/>
      <c r="AK10" s="353"/>
      <c r="AL10" s="354"/>
      <c r="AM10" s="352"/>
      <c r="AN10" s="353"/>
      <c r="AO10" s="353"/>
      <c r="AP10" s="354"/>
      <c r="AQ10" s="352"/>
      <c r="AR10" s="353"/>
      <c r="AS10" s="353"/>
      <c r="AT10" s="354"/>
      <c r="AU10" s="352"/>
      <c r="AV10" s="353"/>
      <c r="AW10" s="353"/>
      <c r="AX10" s="354"/>
      <c r="AY10" s="352"/>
      <c r="AZ10" s="353"/>
      <c r="BA10" s="353"/>
      <c r="BB10" s="354"/>
      <c r="BC10" s="548"/>
      <c r="BD10" s="545"/>
      <c r="BE10" s="312"/>
      <c r="BF10" s="312"/>
      <c r="BG10" s="312"/>
      <c r="BH10" s="312"/>
      <c r="BI10" s="312"/>
      <c r="BJ10" s="312"/>
      <c r="BK10" s="312"/>
      <c r="BL10" s="312"/>
      <c r="BM10" s="312"/>
      <c r="BN10" s="312"/>
      <c r="BO10" s="312"/>
      <c r="BP10" s="312"/>
      <c r="BQ10" s="312"/>
      <c r="BR10" s="312"/>
      <c r="BS10" s="312"/>
      <c r="BT10" s="312"/>
      <c r="BU10" s="312"/>
      <c r="BV10" s="312"/>
      <c r="BW10" s="312"/>
      <c r="BX10" s="312"/>
      <c r="BY10" s="312"/>
      <c r="BZ10" s="312"/>
      <c r="CA10" s="312"/>
      <c r="CB10" s="312"/>
      <c r="CC10" s="312"/>
      <c r="CD10" s="312"/>
      <c r="CE10" s="312"/>
      <c r="CF10" s="312"/>
      <c r="CG10" s="312"/>
      <c r="CH10" s="312"/>
      <c r="CI10" s="312"/>
      <c r="CJ10" s="312"/>
      <c r="CK10" s="312"/>
      <c r="CL10" s="312"/>
      <c r="CM10" s="312"/>
      <c r="CN10" s="312"/>
      <c r="CO10" s="312"/>
    </row>
    <row r="11" spans="1:93" s="312" customFormat="1" ht="28.15" customHeight="1">
      <c r="A11" s="545"/>
      <c r="B11" s="712">
        <v>2</v>
      </c>
      <c r="C11" s="713" t="s">
        <v>282</v>
      </c>
      <c r="D11" s="714">
        <f>109886796*1.25</f>
        <v>137358495</v>
      </c>
      <c r="E11" s="712">
        <v>330</v>
      </c>
      <c r="F11" s="506"/>
      <c r="G11" s="689"/>
      <c r="H11" s="689"/>
      <c r="I11" s="689"/>
      <c r="J11" s="690"/>
      <c r="K11" s="688"/>
      <c r="L11" s="689"/>
      <c r="M11" s="689"/>
      <c r="N11" s="690"/>
      <c r="O11" s="685"/>
      <c r="P11" s="686"/>
      <c r="Q11" s="686"/>
      <c r="R11" s="687"/>
      <c r="S11" s="669"/>
      <c r="T11" s="670"/>
      <c r="U11" s="670"/>
      <c r="V11" s="671"/>
      <c r="W11" s="669"/>
      <c r="X11" s="670"/>
      <c r="Y11" s="670"/>
      <c r="Z11" s="671"/>
      <c r="AA11" s="669"/>
      <c r="AB11" s="670"/>
      <c r="AC11" s="670"/>
      <c r="AD11" s="671"/>
      <c r="AE11" s="669"/>
      <c r="AF11" s="670"/>
      <c r="AG11" s="670"/>
      <c r="AH11" s="671"/>
      <c r="AI11" s="669"/>
      <c r="AJ11" s="670"/>
      <c r="AK11" s="670"/>
      <c r="AL11" s="671"/>
      <c r="AM11" s="685"/>
      <c r="AN11" s="686"/>
      <c r="AO11" s="686"/>
      <c r="AP11" s="687"/>
      <c r="AQ11" s="688"/>
      <c r="AR11" s="689"/>
      <c r="AS11" s="689"/>
      <c r="AT11" s="690"/>
      <c r="AU11" s="688"/>
      <c r="AV11" s="689"/>
      <c r="AW11" s="689"/>
      <c r="AX11" s="690"/>
      <c r="AY11" s="691"/>
      <c r="AZ11" s="692"/>
      <c r="BA11" s="692"/>
      <c r="BB11" s="693"/>
      <c r="BC11" s="549"/>
      <c r="BD11" s="545"/>
    </row>
    <row r="12" spans="1:93" s="313" customFormat="1" ht="28.15" customHeight="1">
      <c r="A12" s="546"/>
      <c r="B12" s="700"/>
      <c r="C12" s="709"/>
      <c r="D12" s="710"/>
      <c r="E12" s="700"/>
      <c r="F12" s="506"/>
      <c r="G12" s="665">
        <f>D11/11</f>
        <v>12487135.909090908</v>
      </c>
      <c r="H12" s="665"/>
      <c r="I12" s="665"/>
      <c r="J12" s="666"/>
      <c r="K12" s="694">
        <f>G12</f>
        <v>12487135.909090908</v>
      </c>
      <c r="L12" s="665"/>
      <c r="M12" s="665"/>
      <c r="N12" s="666"/>
      <c r="O12" s="695">
        <f>K12</f>
        <v>12487135.909090908</v>
      </c>
      <c r="P12" s="696"/>
      <c r="Q12" s="696"/>
      <c r="R12" s="697"/>
      <c r="S12" s="694">
        <f>O12</f>
        <v>12487135.909090908</v>
      </c>
      <c r="T12" s="665"/>
      <c r="U12" s="665"/>
      <c r="V12" s="666"/>
      <c r="W12" s="694">
        <f>S12</f>
        <v>12487135.909090908</v>
      </c>
      <c r="X12" s="665"/>
      <c r="Y12" s="665"/>
      <c r="Z12" s="666"/>
      <c r="AA12" s="694">
        <f>W12</f>
        <v>12487135.909090908</v>
      </c>
      <c r="AB12" s="665"/>
      <c r="AC12" s="665"/>
      <c r="AD12" s="666"/>
      <c r="AE12" s="694">
        <f>AA12</f>
        <v>12487135.909090908</v>
      </c>
      <c r="AF12" s="665"/>
      <c r="AG12" s="665"/>
      <c r="AH12" s="666"/>
      <c r="AI12" s="694">
        <f t="shared" ref="AI12" si="0">AE12</f>
        <v>12487135.909090908</v>
      </c>
      <c r="AJ12" s="665"/>
      <c r="AK12" s="665"/>
      <c r="AL12" s="666"/>
      <c r="AM12" s="694">
        <f t="shared" ref="AM12" si="1">AI12</f>
        <v>12487135.909090908</v>
      </c>
      <c r="AN12" s="665"/>
      <c r="AO12" s="665"/>
      <c r="AP12" s="666"/>
      <c r="AQ12" s="694">
        <f t="shared" ref="AQ12" si="2">AM12</f>
        <v>12487135.909090908</v>
      </c>
      <c r="AR12" s="665"/>
      <c r="AS12" s="665"/>
      <c r="AT12" s="666"/>
      <c r="AU12" s="694">
        <f t="shared" ref="AU12" si="3">AQ12</f>
        <v>12487135.909090908</v>
      </c>
      <c r="AV12" s="665"/>
      <c r="AW12" s="665"/>
      <c r="AX12" s="666"/>
      <c r="AY12" s="682"/>
      <c r="AZ12" s="683"/>
      <c r="BA12" s="683"/>
      <c r="BB12" s="684"/>
      <c r="BC12" s="550"/>
      <c r="BD12" s="546"/>
    </row>
    <row r="13" spans="1:93" s="313" customFormat="1" ht="28.15" customHeight="1">
      <c r="A13" s="546"/>
      <c r="B13" s="699">
        <v>3</v>
      </c>
      <c r="C13" s="708" t="s">
        <v>404</v>
      </c>
      <c r="D13" s="710">
        <f>ROUND(PRODUCT(11316411775*1.25),0)</f>
        <v>14145514719</v>
      </c>
      <c r="E13" s="699">
        <v>360</v>
      </c>
      <c r="F13" s="506"/>
      <c r="G13" s="698"/>
      <c r="H13" s="670"/>
      <c r="I13" s="670"/>
      <c r="J13" s="671"/>
      <c r="K13" s="667"/>
      <c r="L13" s="668"/>
      <c r="M13" s="668"/>
      <c r="N13" s="672"/>
      <c r="O13" s="669"/>
      <c r="P13" s="670"/>
      <c r="Q13" s="670"/>
      <c r="R13" s="671"/>
      <c r="S13" s="667"/>
      <c r="T13" s="668"/>
      <c r="U13" s="668"/>
      <c r="V13" s="672"/>
      <c r="W13" s="667"/>
      <c r="X13" s="668"/>
      <c r="Y13" s="668"/>
      <c r="Z13" s="672"/>
      <c r="AA13" s="667"/>
      <c r="AB13" s="668"/>
      <c r="AC13" s="668"/>
      <c r="AD13" s="672"/>
      <c r="AE13" s="676"/>
      <c r="AF13" s="677"/>
      <c r="AG13" s="677"/>
      <c r="AH13" s="678"/>
      <c r="AI13" s="676"/>
      <c r="AJ13" s="677"/>
      <c r="AK13" s="677"/>
      <c r="AL13" s="678"/>
      <c r="AM13" s="679"/>
      <c r="AN13" s="680"/>
      <c r="AO13" s="680"/>
      <c r="AP13" s="681"/>
      <c r="AQ13" s="676"/>
      <c r="AR13" s="677"/>
      <c r="AS13" s="677"/>
      <c r="AT13" s="678"/>
      <c r="AU13" s="676"/>
      <c r="AV13" s="677"/>
      <c r="AW13" s="677"/>
      <c r="AX13" s="678"/>
      <c r="AY13" s="676"/>
      <c r="AZ13" s="677"/>
      <c r="BA13" s="677"/>
      <c r="BB13" s="678"/>
      <c r="BC13" s="550"/>
      <c r="BD13" s="546"/>
    </row>
    <row r="14" spans="1:93" s="313" customFormat="1" ht="28.15" customHeight="1">
      <c r="A14" s="546"/>
      <c r="B14" s="700"/>
      <c r="C14" s="709"/>
      <c r="D14" s="710"/>
      <c r="E14" s="700"/>
      <c r="F14" s="506"/>
      <c r="G14" s="665">
        <f>D13/12</f>
        <v>1178792893.25</v>
      </c>
      <c r="H14" s="665"/>
      <c r="I14" s="665"/>
      <c r="J14" s="666"/>
      <c r="K14" s="665">
        <f>G14</f>
        <v>1178792893.25</v>
      </c>
      <c r="L14" s="665"/>
      <c r="M14" s="665"/>
      <c r="N14" s="666"/>
      <c r="O14" s="665">
        <f>K14</f>
        <v>1178792893.25</v>
      </c>
      <c r="P14" s="665"/>
      <c r="Q14" s="665"/>
      <c r="R14" s="666"/>
      <c r="S14" s="665">
        <f t="shared" ref="S14" si="4">O14</f>
        <v>1178792893.25</v>
      </c>
      <c r="T14" s="665"/>
      <c r="U14" s="665"/>
      <c r="V14" s="666"/>
      <c r="W14" s="665">
        <f t="shared" ref="W14" si="5">S14</f>
        <v>1178792893.25</v>
      </c>
      <c r="X14" s="665"/>
      <c r="Y14" s="665"/>
      <c r="Z14" s="666"/>
      <c r="AA14" s="665">
        <f t="shared" ref="AA14" si="6">W14</f>
        <v>1178792893.25</v>
      </c>
      <c r="AB14" s="665"/>
      <c r="AC14" s="665"/>
      <c r="AD14" s="666"/>
      <c r="AE14" s="665">
        <f t="shared" ref="AE14" si="7">AA14</f>
        <v>1178792893.25</v>
      </c>
      <c r="AF14" s="665"/>
      <c r="AG14" s="665"/>
      <c r="AH14" s="666"/>
      <c r="AI14" s="665">
        <f t="shared" ref="AI14" si="8">AE14</f>
        <v>1178792893.25</v>
      </c>
      <c r="AJ14" s="665"/>
      <c r="AK14" s="665"/>
      <c r="AL14" s="666"/>
      <c r="AM14" s="665">
        <f t="shared" ref="AM14" si="9">AI14</f>
        <v>1178792893.25</v>
      </c>
      <c r="AN14" s="665"/>
      <c r="AO14" s="665"/>
      <c r="AP14" s="666"/>
      <c r="AQ14" s="665">
        <f t="shared" ref="AQ14" si="10">AM14</f>
        <v>1178792893.25</v>
      </c>
      <c r="AR14" s="665"/>
      <c r="AS14" s="665"/>
      <c r="AT14" s="666"/>
      <c r="AU14" s="665">
        <f t="shared" ref="AU14" si="11">AQ14</f>
        <v>1178792893.25</v>
      </c>
      <c r="AV14" s="665"/>
      <c r="AW14" s="665"/>
      <c r="AX14" s="666"/>
      <c r="AY14" s="665">
        <f t="shared" ref="AY14" si="12">AU14</f>
        <v>1178792893.25</v>
      </c>
      <c r="AZ14" s="665"/>
      <c r="BA14" s="665"/>
      <c r="BB14" s="666"/>
      <c r="BC14" s="550"/>
      <c r="BD14" s="546"/>
    </row>
    <row r="15" spans="1:93" s="313" customFormat="1" ht="28.15" customHeight="1">
      <c r="A15" s="546"/>
      <c r="B15" s="699">
        <v>4</v>
      </c>
      <c r="C15" s="708" t="s">
        <v>405</v>
      </c>
      <c r="D15" s="710">
        <f>1072844442*1.25</f>
        <v>1341055552.5</v>
      </c>
      <c r="E15" s="699">
        <v>360</v>
      </c>
      <c r="F15" s="506"/>
      <c r="G15" s="698"/>
      <c r="H15" s="670"/>
      <c r="I15" s="670"/>
      <c r="J15" s="671"/>
      <c r="K15" s="667"/>
      <c r="L15" s="668"/>
      <c r="M15" s="668"/>
      <c r="N15" s="672"/>
      <c r="O15" s="667"/>
      <c r="P15" s="668"/>
      <c r="Q15" s="401"/>
      <c r="R15" s="402"/>
      <c r="S15" s="669"/>
      <c r="T15" s="670"/>
      <c r="U15" s="670"/>
      <c r="V15" s="671"/>
      <c r="W15" s="669"/>
      <c r="X15" s="670"/>
      <c r="Y15" s="670"/>
      <c r="Z15" s="671"/>
      <c r="AA15" s="669"/>
      <c r="AB15" s="670"/>
      <c r="AC15" s="670"/>
      <c r="AD15" s="671"/>
      <c r="AE15" s="669"/>
      <c r="AF15" s="670"/>
      <c r="AG15" s="670"/>
      <c r="AH15" s="671"/>
      <c r="AI15" s="667"/>
      <c r="AJ15" s="668"/>
      <c r="AK15" s="668"/>
      <c r="AL15" s="672"/>
      <c r="AM15" s="669"/>
      <c r="AN15" s="670"/>
      <c r="AO15" s="670"/>
      <c r="AP15" s="671"/>
      <c r="AQ15" s="669"/>
      <c r="AR15" s="670"/>
      <c r="AS15" s="670"/>
      <c r="AT15" s="671"/>
      <c r="AU15" s="669"/>
      <c r="AV15" s="670"/>
      <c r="AW15" s="670"/>
      <c r="AX15" s="671"/>
      <c r="AY15" s="676"/>
      <c r="AZ15" s="677"/>
      <c r="BA15" s="677"/>
      <c r="BB15" s="678"/>
      <c r="BC15" s="550"/>
      <c r="BD15" s="546"/>
    </row>
    <row r="16" spans="1:93" s="313" customFormat="1" ht="28.15" customHeight="1">
      <c r="A16" s="546"/>
      <c r="B16" s="700"/>
      <c r="C16" s="709"/>
      <c r="D16" s="710"/>
      <c r="E16" s="700"/>
      <c r="F16" s="506"/>
      <c r="G16" s="665">
        <f>D15/12</f>
        <v>111754629.375</v>
      </c>
      <c r="H16" s="665"/>
      <c r="I16" s="665"/>
      <c r="J16" s="666"/>
      <c r="K16" s="665">
        <f>G16</f>
        <v>111754629.375</v>
      </c>
      <c r="L16" s="665"/>
      <c r="M16" s="665"/>
      <c r="N16" s="666"/>
      <c r="O16" s="665">
        <f t="shared" ref="O16" si="13">K16</f>
        <v>111754629.375</v>
      </c>
      <c r="P16" s="665"/>
      <c r="Q16" s="665"/>
      <c r="R16" s="666"/>
      <c r="S16" s="665">
        <f t="shared" ref="S16" si="14">O16</f>
        <v>111754629.375</v>
      </c>
      <c r="T16" s="665"/>
      <c r="U16" s="665"/>
      <c r="V16" s="666"/>
      <c r="W16" s="665">
        <f t="shared" ref="W16" si="15">S16</f>
        <v>111754629.375</v>
      </c>
      <c r="X16" s="665"/>
      <c r="Y16" s="665"/>
      <c r="Z16" s="666"/>
      <c r="AA16" s="665">
        <f t="shared" ref="AA16" si="16">W16</f>
        <v>111754629.375</v>
      </c>
      <c r="AB16" s="665"/>
      <c r="AC16" s="665"/>
      <c r="AD16" s="666"/>
      <c r="AE16" s="665">
        <f t="shared" ref="AE16" si="17">AA16</f>
        <v>111754629.375</v>
      </c>
      <c r="AF16" s="665"/>
      <c r="AG16" s="665"/>
      <c r="AH16" s="666"/>
      <c r="AI16" s="665">
        <f t="shared" ref="AI16" si="18">AE16</f>
        <v>111754629.375</v>
      </c>
      <c r="AJ16" s="665"/>
      <c r="AK16" s="665"/>
      <c r="AL16" s="666"/>
      <c r="AM16" s="665">
        <f t="shared" ref="AM16" si="19">AI16</f>
        <v>111754629.375</v>
      </c>
      <c r="AN16" s="665"/>
      <c r="AO16" s="665"/>
      <c r="AP16" s="666"/>
      <c r="AQ16" s="665">
        <f t="shared" ref="AQ16" si="20">AM16</f>
        <v>111754629.375</v>
      </c>
      <c r="AR16" s="665"/>
      <c r="AS16" s="665"/>
      <c r="AT16" s="666"/>
      <c r="AU16" s="665">
        <f t="shared" ref="AU16" si="21">AQ16</f>
        <v>111754629.375</v>
      </c>
      <c r="AV16" s="665"/>
      <c r="AW16" s="665"/>
      <c r="AX16" s="666"/>
      <c r="AY16" s="665">
        <f t="shared" ref="AY16" si="22">AU16</f>
        <v>111754629.375</v>
      </c>
      <c r="AZ16" s="665"/>
      <c r="BA16" s="665"/>
      <c r="BB16" s="666"/>
      <c r="BC16" s="550"/>
      <c r="BD16" s="546"/>
    </row>
    <row r="17" spans="1:56" s="313" customFormat="1" ht="28.15" customHeight="1">
      <c r="A17" s="546"/>
      <c r="B17" s="699">
        <v>5</v>
      </c>
      <c r="C17" s="708" t="s">
        <v>285</v>
      </c>
      <c r="D17" s="710">
        <f>59865763.6*1.25</f>
        <v>74832204.5</v>
      </c>
      <c r="E17" s="699">
        <v>360</v>
      </c>
      <c r="F17" s="506"/>
      <c r="G17" s="698"/>
      <c r="H17" s="670"/>
      <c r="I17" s="670"/>
      <c r="J17" s="671"/>
      <c r="K17" s="667"/>
      <c r="L17" s="668"/>
      <c r="M17" s="668"/>
      <c r="N17" s="402"/>
      <c r="O17" s="669"/>
      <c r="P17" s="670"/>
      <c r="Q17" s="670"/>
      <c r="R17" s="671"/>
      <c r="S17" s="669"/>
      <c r="T17" s="670"/>
      <c r="U17" s="670"/>
      <c r="V17" s="671"/>
      <c r="W17" s="669"/>
      <c r="X17" s="670"/>
      <c r="Y17" s="670"/>
      <c r="Z17" s="671"/>
      <c r="AA17" s="669"/>
      <c r="AB17" s="670"/>
      <c r="AC17" s="670"/>
      <c r="AD17" s="671"/>
      <c r="AE17" s="669"/>
      <c r="AF17" s="670"/>
      <c r="AG17" s="670"/>
      <c r="AH17" s="671"/>
      <c r="AI17" s="667"/>
      <c r="AJ17" s="668"/>
      <c r="AK17" s="668"/>
      <c r="AL17" s="672"/>
      <c r="AM17" s="669"/>
      <c r="AN17" s="670"/>
      <c r="AO17" s="670"/>
      <c r="AP17" s="671"/>
      <c r="AQ17" s="669"/>
      <c r="AR17" s="670"/>
      <c r="AS17" s="670"/>
      <c r="AT17" s="671"/>
      <c r="AU17" s="669"/>
      <c r="AV17" s="670"/>
      <c r="AW17" s="670"/>
      <c r="AX17" s="671"/>
      <c r="AY17" s="676"/>
      <c r="AZ17" s="677"/>
      <c r="BA17" s="677"/>
      <c r="BB17" s="678"/>
      <c r="BC17" s="550"/>
      <c r="BD17" s="546"/>
    </row>
    <row r="18" spans="1:56" s="313" customFormat="1" ht="28.15" customHeight="1">
      <c r="A18" s="546"/>
      <c r="B18" s="700"/>
      <c r="C18" s="709"/>
      <c r="D18" s="710"/>
      <c r="E18" s="700"/>
      <c r="F18" s="506"/>
      <c r="G18" s="665">
        <f>D17/12</f>
        <v>6236017.041666667</v>
      </c>
      <c r="H18" s="665"/>
      <c r="I18" s="665"/>
      <c r="J18" s="666"/>
      <c r="K18" s="665">
        <f>G18</f>
        <v>6236017.041666667</v>
      </c>
      <c r="L18" s="665"/>
      <c r="M18" s="665"/>
      <c r="N18" s="666"/>
      <c r="O18" s="665">
        <f t="shared" ref="O18" si="23">K18</f>
        <v>6236017.041666667</v>
      </c>
      <c r="P18" s="665"/>
      <c r="Q18" s="665"/>
      <c r="R18" s="666"/>
      <c r="S18" s="665">
        <f t="shared" ref="S18" si="24">O18</f>
        <v>6236017.041666667</v>
      </c>
      <c r="T18" s="665"/>
      <c r="U18" s="665"/>
      <c r="V18" s="666"/>
      <c r="W18" s="665">
        <f t="shared" ref="W18" si="25">S18</f>
        <v>6236017.041666667</v>
      </c>
      <c r="X18" s="665"/>
      <c r="Y18" s="665"/>
      <c r="Z18" s="666"/>
      <c r="AA18" s="665">
        <f t="shared" ref="AA18" si="26">W18</f>
        <v>6236017.041666667</v>
      </c>
      <c r="AB18" s="665"/>
      <c r="AC18" s="665"/>
      <c r="AD18" s="666"/>
      <c r="AE18" s="665">
        <f t="shared" ref="AE18" si="27">AA18</f>
        <v>6236017.041666667</v>
      </c>
      <c r="AF18" s="665"/>
      <c r="AG18" s="665"/>
      <c r="AH18" s="666"/>
      <c r="AI18" s="665">
        <f t="shared" ref="AI18" si="28">AE18</f>
        <v>6236017.041666667</v>
      </c>
      <c r="AJ18" s="665"/>
      <c r="AK18" s="665"/>
      <c r="AL18" s="666"/>
      <c r="AM18" s="665">
        <f t="shared" ref="AM18" si="29">AI18</f>
        <v>6236017.041666667</v>
      </c>
      <c r="AN18" s="665"/>
      <c r="AO18" s="665"/>
      <c r="AP18" s="666"/>
      <c r="AQ18" s="665">
        <f t="shared" ref="AQ18" si="30">AM18</f>
        <v>6236017.041666667</v>
      </c>
      <c r="AR18" s="665"/>
      <c r="AS18" s="665"/>
      <c r="AT18" s="666"/>
      <c r="AU18" s="665">
        <f t="shared" ref="AU18" si="31">AQ18</f>
        <v>6236017.041666667</v>
      </c>
      <c r="AV18" s="665"/>
      <c r="AW18" s="665"/>
      <c r="AX18" s="666"/>
      <c r="AY18" s="665">
        <f t="shared" ref="AY18" si="32">AU18</f>
        <v>6236017.041666667</v>
      </c>
      <c r="AZ18" s="665"/>
      <c r="BA18" s="665"/>
      <c r="BB18" s="666"/>
      <c r="BC18" s="550"/>
      <c r="BD18" s="546"/>
    </row>
    <row r="19" spans="1:56" s="313" customFormat="1" ht="28.15" customHeight="1">
      <c r="A19" s="546"/>
      <c r="B19" s="699">
        <v>6</v>
      </c>
      <c r="C19" s="701" t="s">
        <v>498</v>
      </c>
      <c r="D19" s="703">
        <v>131203800</v>
      </c>
      <c r="E19" s="699">
        <v>90</v>
      </c>
      <c r="F19" s="506"/>
      <c r="G19" s="698"/>
      <c r="H19" s="670"/>
      <c r="I19" s="670"/>
      <c r="J19" s="671"/>
      <c r="K19" s="705"/>
      <c r="L19" s="706"/>
      <c r="M19" s="706"/>
      <c r="N19" s="707"/>
      <c r="O19" s="705"/>
      <c r="P19" s="706"/>
      <c r="Q19" s="706"/>
      <c r="R19" s="707"/>
      <c r="S19" s="673"/>
      <c r="T19" s="674"/>
      <c r="U19" s="674"/>
      <c r="V19" s="675"/>
      <c r="W19" s="673"/>
      <c r="X19" s="674"/>
      <c r="Y19" s="674"/>
      <c r="Z19" s="675"/>
      <c r="AA19" s="673"/>
      <c r="AB19" s="674"/>
      <c r="AC19" s="674"/>
      <c r="AD19" s="675"/>
      <c r="AE19" s="673"/>
      <c r="AF19" s="674"/>
      <c r="AG19" s="674"/>
      <c r="AH19" s="675"/>
      <c r="AI19" s="673"/>
      <c r="AJ19" s="674"/>
      <c r="AK19" s="674"/>
      <c r="AL19" s="675"/>
      <c r="AM19" s="717"/>
      <c r="AN19" s="718"/>
      <c r="AO19" s="718"/>
      <c r="AP19" s="719"/>
      <c r="AQ19" s="717"/>
      <c r="AR19" s="718"/>
      <c r="AS19" s="718"/>
      <c r="AT19" s="719"/>
      <c r="AU19" s="717"/>
      <c r="AV19" s="718"/>
      <c r="AW19" s="718"/>
      <c r="AX19" s="719"/>
      <c r="AY19" s="682"/>
      <c r="AZ19" s="683"/>
      <c r="BA19" s="683"/>
      <c r="BB19" s="684"/>
      <c r="BC19" s="550"/>
      <c r="BD19" s="546"/>
    </row>
    <row r="20" spans="1:56" s="313" customFormat="1" ht="28.15" customHeight="1">
      <c r="A20" s="546"/>
      <c r="B20" s="700"/>
      <c r="C20" s="702"/>
      <c r="D20" s="704"/>
      <c r="E20" s="700"/>
      <c r="F20" s="506"/>
      <c r="G20" s="665">
        <f>D19/3</f>
        <v>43734600</v>
      </c>
      <c r="H20" s="665"/>
      <c r="I20" s="665"/>
      <c r="J20" s="666"/>
      <c r="K20" s="665">
        <f>G20</f>
        <v>43734600</v>
      </c>
      <c r="L20" s="665"/>
      <c r="M20" s="665"/>
      <c r="N20" s="666"/>
      <c r="O20" s="665">
        <f>K20</f>
        <v>43734600</v>
      </c>
      <c r="P20" s="665"/>
      <c r="Q20" s="665"/>
      <c r="R20" s="666"/>
      <c r="S20" s="673"/>
      <c r="T20" s="674"/>
      <c r="U20" s="674"/>
      <c r="V20" s="675"/>
      <c r="W20" s="673"/>
      <c r="X20" s="674"/>
      <c r="Y20" s="674"/>
      <c r="Z20" s="675"/>
      <c r="AA20" s="673"/>
      <c r="AB20" s="674"/>
      <c r="AC20" s="674"/>
      <c r="AD20" s="675"/>
      <c r="AE20" s="673"/>
      <c r="AF20" s="674"/>
      <c r="AG20" s="674"/>
      <c r="AH20" s="675"/>
      <c r="AI20" s="673"/>
      <c r="AJ20" s="674"/>
      <c r="AK20" s="674"/>
      <c r="AL20" s="675"/>
      <c r="AM20" s="717"/>
      <c r="AN20" s="718"/>
      <c r="AO20" s="718"/>
      <c r="AP20" s="719"/>
      <c r="AQ20" s="717"/>
      <c r="AR20" s="718"/>
      <c r="AS20" s="718"/>
      <c r="AT20" s="719"/>
      <c r="AU20" s="717"/>
      <c r="AV20" s="718"/>
      <c r="AW20" s="718"/>
      <c r="AX20" s="719"/>
      <c r="AY20" s="682"/>
      <c r="AZ20" s="683"/>
      <c r="BA20" s="683"/>
      <c r="BB20" s="684"/>
      <c r="BC20" s="550"/>
      <c r="BD20" s="546"/>
    </row>
    <row r="21" spans="1:56" s="313" customFormat="1" ht="28.15" customHeight="1">
      <c r="A21" s="546"/>
      <c r="B21" s="699">
        <v>7</v>
      </c>
      <c r="C21" s="708" t="s">
        <v>283</v>
      </c>
      <c r="D21" s="710">
        <v>1108097534</v>
      </c>
      <c r="E21" s="699">
        <v>360</v>
      </c>
      <c r="F21" s="506"/>
      <c r="G21" s="698"/>
      <c r="H21" s="670"/>
      <c r="I21" s="670"/>
      <c r="J21" s="671"/>
      <c r="K21" s="667"/>
      <c r="L21" s="668"/>
      <c r="M21" s="668"/>
      <c r="N21" s="672"/>
      <c r="O21" s="669"/>
      <c r="P21" s="670"/>
      <c r="Q21" s="670"/>
      <c r="R21" s="671"/>
      <c r="S21" s="669"/>
      <c r="T21" s="670"/>
      <c r="U21" s="670"/>
      <c r="V21" s="671"/>
      <c r="W21" s="669"/>
      <c r="X21" s="670"/>
      <c r="Y21" s="670"/>
      <c r="Z21" s="671"/>
      <c r="AA21" s="669"/>
      <c r="AB21" s="670"/>
      <c r="AC21" s="670"/>
      <c r="AD21" s="671"/>
      <c r="AE21" s="669"/>
      <c r="AF21" s="670"/>
      <c r="AG21" s="670"/>
      <c r="AH21" s="671"/>
      <c r="AI21" s="667"/>
      <c r="AJ21" s="668"/>
      <c r="AK21" s="668"/>
      <c r="AL21" s="672"/>
      <c r="AM21" s="669"/>
      <c r="AN21" s="670"/>
      <c r="AO21" s="670"/>
      <c r="AP21" s="671"/>
      <c r="AQ21" s="669"/>
      <c r="AR21" s="670"/>
      <c r="AS21" s="670"/>
      <c r="AT21" s="671"/>
      <c r="AU21" s="669"/>
      <c r="AV21" s="670"/>
      <c r="AW21" s="670"/>
      <c r="AX21" s="671"/>
      <c r="AY21" s="676"/>
      <c r="AZ21" s="677"/>
      <c r="BA21" s="677"/>
      <c r="BB21" s="678"/>
      <c r="BC21" s="550"/>
      <c r="BD21" s="546"/>
    </row>
    <row r="22" spans="1:56" s="313" customFormat="1" ht="28.15" customHeight="1">
      <c r="A22" s="546"/>
      <c r="B22" s="712"/>
      <c r="C22" s="713"/>
      <c r="D22" s="715"/>
      <c r="E22" s="700"/>
      <c r="F22" s="506"/>
      <c r="G22" s="665">
        <f>D21/12</f>
        <v>92341461.166666672</v>
      </c>
      <c r="H22" s="665"/>
      <c r="I22" s="665"/>
      <c r="J22" s="666"/>
      <c r="K22" s="665">
        <f>G22</f>
        <v>92341461.166666672</v>
      </c>
      <c r="L22" s="665"/>
      <c r="M22" s="665"/>
      <c r="N22" s="666"/>
      <c r="O22" s="665">
        <f t="shared" ref="O22" si="33">K22</f>
        <v>92341461.166666672</v>
      </c>
      <c r="P22" s="665"/>
      <c r="Q22" s="665"/>
      <c r="R22" s="666"/>
      <c r="S22" s="665">
        <f t="shared" ref="S22" si="34">O22</f>
        <v>92341461.166666672</v>
      </c>
      <c r="T22" s="665"/>
      <c r="U22" s="665"/>
      <c r="V22" s="666"/>
      <c r="W22" s="665">
        <f t="shared" ref="W22" si="35">S22</f>
        <v>92341461.166666672</v>
      </c>
      <c r="X22" s="665"/>
      <c r="Y22" s="665"/>
      <c r="Z22" s="666"/>
      <c r="AA22" s="665">
        <f t="shared" ref="AA22" si="36">W22</f>
        <v>92341461.166666672</v>
      </c>
      <c r="AB22" s="665"/>
      <c r="AC22" s="665"/>
      <c r="AD22" s="666"/>
      <c r="AE22" s="665">
        <f t="shared" ref="AE22" si="37">AA22</f>
        <v>92341461.166666672</v>
      </c>
      <c r="AF22" s="665"/>
      <c r="AG22" s="665"/>
      <c r="AH22" s="666"/>
      <c r="AI22" s="665">
        <f t="shared" ref="AI22" si="38">AE22</f>
        <v>92341461.166666672</v>
      </c>
      <c r="AJ22" s="665"/>
      <c r="AK22" s="665"/>
      <c r="AL22" s="666"/>
      <c r="AM22" s="665">
        <f t="shared" ref="AM22" si="39">AI22</f>
        <v>92341461.166666672</v>
      </c>
      <c r="AN22" s="665"/>
      <c r="AO22" s="665"/>
      <c r="AP22" s="666"/>
      <c r="AQ22" s="665">
        <f t="shared" ref="AQ22" si="40">AM22</f>
        <v>92341461.166666672</v>
      </c>
      <c r="AR22" s="665"/>
      <c r="AS22" s="665"/>
      <c r="AT22" s="666"/>
      <c r="AU22" s="665">
        <f t="shared" ref="AU22" si="41">AQ22</f>
        <v>92341461.166666672</v>
      </c>
      <c r="AV22" s="665"/>
      <c r="AW22" s="665"/>
      <c r="AX22" s="666"/>
      <c r="AY22" s="665">
        <f t="shared" ref="AY22" si="42">AU22</f>
        <v>92341461.166666672</v>
      </c>
      <c r="AZ22" s="665"/>
      <c r="BA22" s="665"/>
      <c r="BB22" s="666"/>
      <c r="BC22" s="550"/>
      <c r="BD22" s="546"/>
    </row>
    <row r="23" spans="1:56" ht="30.75" customHeight="1" thickBot="1">
      <c r="A23" s="539"/>
      <c r="B23" s="400">
        <v>8</v>
      </c>
      <c r="C23" s="356" t="s">
        <v>406</v>
      </c>
      <c r="D23" s="398"/>
      <c r="E23" s="355">
        <v>60</v>
      </c>
      <c r="F23" s="398"/>
      <c r="G23" s="721"/>
      <c r="H23" s="721"/>
      <c r="I23" s="721"/>
      <c r="J23" s="722"/>
      <c r="K23" s="720"/>
      <c r="L23" s="721"/>
      <c r="M23" s="721"/>
      <c r="N23" s="722"/>
      <c r="O23" s="720"/>
      <c r="P23" s="721"/>
      <c r="Q23" s="721"/>
      <c r="R23" s="722"/>
      <c r="S23" s="720"/>
      <c r="T23" s="721"/>
      <c r="U23" s="721"/>
      <c r="V23" s="722"/>
      <c r="W23" s="720"/>
      <c r="X23" s="721"/>
      <c r="Y23" s="721"/>
      <c r="Z23" s="722"/>
      <c r="AA23" s="720"/>
      <c r="AB23" s="721"/>
      <c r="AC23" s="721"/>
      <c r="AD23" s="722"/>
      <c r="AE23" s="720"/>
      <c r="AF23" s="721"/>
      <c r="AG23" s="721"/>
      <c r="AH23" s="722"/>
      <c r="AI23" s="720"/>
      <c r="AJ23" s="721"/>
      <c r="AK23" s="721"/>
      <c r="AL23" s="722"/>
      <c r="AM23" s="720"/>
      <c r="AN23" s="721"/>
      <c r="AO23" s="721"/>
      <c r="AP23" s="722"/>
      <c r="AQ23" s="720"/>
      <c r="AR23" s="721"/>
      <c r="AS23" s="721"/>
      <c r="AT23" s="722"/>
      <c r="AU23" s="720"/>
      <c r="AV23" s="721"/>
      <c r="AW23" s="721"/>
      <c r="AX23" s="722"/>
      <c r="AY23" s="720"/>
      <c r="AZ23" s="721"/>
      <c r="BA23" s="721"/>
      <c r="BB23" s="722"/>
      <c r="BC23" s="403"/>
      <c r="BD23" s="539"/>
    </row>
    <row r="24" spans="1:56" ht="37.5" customHeight="1" thickBot="1">
      <c r="A24" s="539"/>
      <c r="B24" s="662" t="s">
        <v>407</v>
      </c>
      <c r="C24" s="663"/>
      <c r="D24" s="508">
        <f>ROUND(SUM(D10:D22),0)</f>
        <v>16938062305</v>
      </c>
      <c r="E24" s="404"/>
      <c r="F24" s="507"/>
      <c r="G24" s="664">
        <f>SUM(G11:J23)</f>
        <v>1445346736.7424245</v>
      </c>
      <c r="H24" s="664"/>
      <c r="I24" s="664"/>
      <c r="J24" s="664"/>
      <c r="K24" s="664">
        <f>SUM(K11:N23)</f>
        <v>1445346736.7424245</v>
      </c>
      <c r="L24" s="664"/>
      <c r="M24" s="664"/>
      <c r="N24" s="664"/>
      <c r="O24" s="664">
        <f>SUM(O11:R22)</f>
        <v>1445346736.7424245</v>
      </c>
      <c r="P24" s="664"/>
      <c r="Q24" s="664"/>
      <c r="R24" s="664"/>
      <c r="S24" s="664">
        <f>SUM(S11:V22)</f>
        <v>1401612136.7424245</v>
      </c>
      <c r="T24" s="664"/>
      <c r="U24" s="664"/>
      <c r="V24" s="664"/>
      <c r="W24" s="664">
        <f>SUM(W11:Z23)</f>
        <v>1401612136.7424245</v>
      </c>
      <c r="X24" s="664"/>
      <c r="Y24" s="664"/>
      <c r="Z24" s="664"/>
      <c r="AA24" s="664">
        <f>SUM(AA11:AD23)</f>
        <v>1401612136.7424245</v>
      </c>
      <c r="AB24" s="664"/>
      <c r="AC24" s="664"/>
      <c r="AD24" s="664"/>
      <c r="AE24" s="664">
        <f>SUM(AE11:AH22)</f>
        <v>1401612136.7424245</v>
      </c>
      <c r="AF24" s="664"/>
      <c r="AG24" s="664"/>
      <c r="AH24" s="664"/>
      <c r="AI24" s="664">
        <f>SUM(AI11:AL22)</f>
        <v>1401612136.7424245</v>
      </c>
      <c r="AJ24" s="664"/>
      <c r="AK24" s="664"/>
      <c r="AL24" s="664"/>
      <c r="AM24" s="664">
        <f>SUM(AM11:AP22)</f>
        <v>1401612136.7424245</v>
      </c>
      <c r="AN24" s="664"/>
      <c r="AO24" s="664"/>
      <c r="AP24" s="664"/>
      <c r="AQ24" s="664">
        <f>SUM(AQ11:AT22)</f>
        <v>1401612136.7424245</v>
      </c>
      <c r="AR24" s="664"/>
      <c r="AS24" s="664"/>
      <c r="AT24" s="664"/>
      <c r="AU24" s="664">
        <f>SUM(AU11:AX22)</f>
        <v>1401612136.7424245</v>
      </c>
      <c r="AV24" s="664"/>
      <c r="AW24" s="664"/>
      <c r="AX24" s="664"/>
      <c r="AY24" s="664">
        <f>SUM(AY11:BB23)</f>
        <v>1389125000.8333335</v>
      </c>
      <c r="AZ24" s="664"/>
      <c r="BA24" s="664"/>
      <c r="BB24" s="664"/>
      <c r="BC24" s="507"/>
      <c r="BD24" s="547"/>
    </row>
    <row r="25" spans="1:56">
      <c r="A25" s="539"/>
      <c r="B25" s="539"/>
      <c r="C25" s="539"/>
      <c r="D25" s="539"/>
      <c r="E25" s="539"/>
      <c r="F25" s="539"/>
      <c r="G25" s="539"/>
      <c r="H25" s="539"/>
      <c r="I25" s="539"/>
      <c r="J25" s="539"/>
      <c r="K25" s="539"/>
      <c r="L25" s="539"/>
      <c r="M25" s="539"/>
      <c r="N25" s="539"/>
      <c r="O25" s="539"/>
      <c r="P25" s="539"/>
      <c r="Q25" s="539"/>
      <c r="R25" s="539"/>
      <c r="S25" s="539"/>
      <c r="T25" s="539"/>
      <c r="U25" s="539"/>
      <c r="V25" s="539"/>
      <c r="W25" s="539"/>
      <c r="X25" s="539"/>
      <c r="Y25" s="539"/>
      <c r="Z25" s="539"/>
      <c r="AA25" s="539"/>
      <c r="AB25" s="539"/>
      <c r="AC25" s="539"/>
      <c r="AD25" s="539"/>
      <c r="AE25" s="539"/>
      <c r="AF25" s="539"/>
      <c r="AG25" s="539"/>
      <c r="AH25" s="539"/>
      <c r="AI25" s="539"/>
      <c r="AJ25" s="539"/>
      <c r="AK25" s="539"/>
      <c r="AL25" s="539"/>
      <c r="AM25" s="539"/>
      <c r="AN25" s="539"/>
      <c r="AO25" s="539"/>
      <c r="AP25" s="539"/>
      <c r="AQ25" s="539"/>
      <c r="AR25" s="539"/>
      <c r="AS25" s="539"/>
      <c r="AT25" s="539"/>
      <c r="AU25" s="539"/>
      <c r="AV25" s="539"/>
      <c r="AW25" s="539"/>
      <c r="AX25" s="539"/>
      <c r="AY25" s="539"/>
      <c r="AZ25" s="539"/>
      <c r="BA25" s="539"/>
      <c r="BB25" s="539"/>
      <c r="BC25" s="539"/>
    </row>
    <row r="26" spans="1:56" ht="27.75" customHeight="1">
      <c r="A26" s="539"/>
      <c r="B26" s="711" t="s">
        <v>499</v>
      </c>
      <c r="C26" s="711"/>
      <c r="D26" s="711"/>
      <c r="E26" s="711"/>
      <c r="F26" s="711"/>
      <c r="G26" s="539"/>
      <c r="H26" s="539"/>
      <c r="I26" s="539"/>
      <c r="J26" s="539"/>
      <c r="K26" s="539"/>
      <c r="L26" s="539"/>
      <c r="M26" s="539"/>
      <c r="N26" s="539"/>
      <c r="O26" s="539"/>
      <c r="P26" s="539"/>
      <c r="Q26" s="539"/>
      <c r="R26" s="539"/>
      <c r="S26" s="539"/>
      <c r="T26" s="539"/>
      <c r="U26" s="539"/>
      <c r="V26" s="539"/>
      <c r="W26" s="539"/>
      <c r="X26" s="539"/>
      <c r="Y26" s="539"/>
      <c r="Z26" s="539"/>
      <c r="AA26" s="539"/>
      <c r="AB26" s="539"/>
      <c r="AC26" s="539"/>
      <c r="AD26" s="539"/>
      <c r="AE26" s="539"/>
      <c r="AF26" s="539"/>
      <c r="AG26" s="539"/>
      <c r="AH26" s="539"/>
      <c r="AI26" s="539"/>
      <c r="AJ26" s="539"/>
      <c r="AK26" s="539"/>
      <c r="AL26" s="539"/>
      <c r="AM26" s="539"/>
      <c r="AN26" s="539"/>
      <c r="AO26" s="539"/>
      <c r="AP26" s="539"/>
      <c r="AQ26" s="539"/>
      <c r="AR26" s="539"/>
      <c r="AS26" s="539"/>
      <c r="AT26" s="539"/>
      <c r="AU26" s="539"/>
      <c r="AV26" s="539"/>
      <c r="AW26" s="539"/>
      <c r="AX26" s="539"/>
      <c r="AY26" s="539"/>
      <c r="AZ26" s="539"/>
      <c r="BA26" s="539"/>
      <c r="BB26" s="539"/>
      <c r="BC26" s="539"/>
      <c r="BD26" s="539"/>
    </row>
    <row r="27" spans="1:56" ht="22.5" customHeight="1">
      <c r="A27" s="539"/>
      <c r="B27" s="539"/>
      <c r="C27" s="539"/>
      <c r="D27" s="539"/>
      <c r="E27" s="539"/>
      <c r="F27" s="539"/>
      <c r="G27" s="539"/>
      <c r="H27" s="539"/>
      <c r="I27" s="539"/>
      <c r="J27" s="539"/>
      <c r="K27" s="539"/>
      <c r="L27" s="539"/>
      <c r="M27" s="539"/>
      <c r="N27" s="539"/>
      <c r="O27" s="539"/>
      <c r="P27" s="539"/>
      <c r="Q27" s="539"/>
      <c r="R27" s="539"/>
      <c r="S27" s="539"/>
      <c r="T27" s="539"/>
      <c r="U27" s="539"/>
      <c r="V27" s="539"/>
      <c r="W27" s="539"/>
      <c r="X27" s="539"/>
      <c r="Y27" s="539"/>
      <c r="Z27" s="539"/>
      <c r="AA27" s="539"/>
      <c r="AB27" s="539"/>
      <c r="AC27" s="539"/>
      <c r="AD27" s="539"/>
      <c r="AE27" s="539"/>
      <c r="AF27" s="539"/>
      <c r="AG27" s="539"/>
      <c r="AH27" s="539"/>
      <c r="AI27" s="539"/>
      <c r="AJ27" s="539"/>
      <c r="AK27" s="539"/>
      <c r="AL27" s="539"/>
      <c r="AM27" s="539"/>
      <c r="AN27" s="539"/>
      <c r="AO27" s="539"/>
      <c r="AP27" s="539"/>
      <c r="AQ27" s="539"/>
      <c r="AR27" s="539"/>
      <c r="AS27" s="539"/>
      <c r="AT27" s="539"/>
      <c r="AU27" s="539"/>
      <c r="AV27" s="539"/>
      <c r="AW27" s="539"/>
      <c r="AX27" s="539"/>
      <c r="AY27" s="539"/>
      <c r="AZ27" s="539"/>
      <c r="BA27" s="539"/>
      <c r="BB27" s="539"/>
      <c r="BC27" s="539"/>
      <c r="BD27" s="539"/>
    </row>
    <row r="28" spans="1:56" ht="22.5" customHeight="1">
      <c r="A28" s="539"/>
      <c r="B28" s="539"/>
      <c r="C28" s="539"/>
      <c r="D28" s="539"/>
      <c r="E28" s="539"/>
      <c r="F28" s="539"/>
      <c r="G28" s="539"/>
      <c r="H28" s="539"/>
      <c r="I28" s="539"/>
      <c r="J28" s="539"/>
      <c r="K28" s="539"/>
      <c r="L28" s="539"/>
      <c r="M28" s="539"/>
      <c r="N28" s="539"/>
      <c r="O28" s="539"/>
      <c r="P28" s="539"/>
      <c r="Q28" s="539"/>
      <c r="R28" s="539"/>
      <c r="S28" s="539"/>
      <c r="T28" s="539"/>
      <c r="U28" s="539"/>
      <c r="V28" s="539"/>
      <c r="W28" s="539"/>
      <c r="X28" s="539"/>
      <c r="Y28" s="539"/>
      <c r="Z28" s="539"/>
      <c r="AA28" s="539"/>
      <c r="AB28" s="539"/>
      <c r="AC28" s="539"/>
      <c r="AD28" s="539"/>
      <c r="AE28" s="539"/>
      <c r="AF28" s="539"/>
      <c r="AG28" s="539"/>
      <c r="AH28" s="539"/>
      <c r="AI28" s="539"/>
      <c r="AJ28" s="539"/>
      <c r="AK28" s="539"/>
      <c r="AL28" s="539"/>
      <c r="AM28" s="539"/>
      <c r="AN28" s="539"/>
      <c r="AO28" s="539"/>
      <c r="AP28" s="539"/>
      <c r="AQ28" s="539"/>
      <c r="AR28" s="539"/>
      <c r="AS28" s="539"/>
      <c r="AT28" s="539"/>
      <c r="AU28" s="539"/>
      <c r="AV28" s="539"/>
      <c r="AW28" s="539"/>
      <c r="AX28" s="539"/>
      <c r="AY28" s="539"/>
      <c r="AZ28" s="539"/>
      <c r="BA28" s="539"/>
      <c r="BB28" s="539"/>
      <c r="BC28" s="539"/>
      <c r="BD28" s="539"/>
    </row>
    <row r="29" spans="1:56" ht="22.5" customHeight="1">
      <c r="A29" s="539"/>
      <c r="B29" s="539"/>
      <c r="C29" s="539"/>
      <c r="D29" s="539"/>
      <c r="E29" s="539"/>
      <c r="F29" s="539"/>
      <c r="G29" s="539"/>
      <c r="H29" s="539"/>
      <c r="I29" s="539"/>
      <c r="J29" s="539"/>
      <c r="K29" s="539"/>
      <c r="L29" s="539"/>
      <c r="M29" s="539"/>
      <c r="N29" s="539"/>
      <c r="O29" s="539"/>
      <c r="P29" s="539"/>
      <c r="Q29" s="539"/>
      <c r="R29" s="539"/>
      <c r="S29" s="539"/>
      <c r="T29" s="539"/>
      <c r="U29" s="539"/>
      <c r="V29" s="539"/>
      <c r="W29" s="539"/>
      <c r="X29" s="539"/>
      <c r="Y29" s="539"/>
      <c r="Z29" s="539"/>
      <c r="AA29" s="539"/>
      <c r="AB29" s="539"/>
      <c r="AC29" s="539"/>
      <c r="AD29" s="539"/>
      <c r="AE29" s="539"/>
      <c r="AF29" s="539"/>
      <c r="AG29" s="539"/>
      <c r="AH29" s="539"/>
      <c r="AI29" s="539"/>
      <c r="AJ29" s="539"/>
      <c r="AK29" s="539"/>
      <c r="AL29" s="539"/>
      <c r="AM29" s="539"/>
      <c r="AN29" s="539"/>
      <c r="AO29" s="539"/>
      <c r="AP29" s="539"/>
      <c r="AQ29" s="539"/>
      <c r="AR29" s="539"/>
      <c r="AS29" s="539"/>
      <c r="AT29" s="539"/>
      <c r="AU29" s="539"/>
      <c r="AV29" s="539"/>
      <c r="AW29" s="539"/>
      <c r="AX29" s="539"/>
      <c r="AY29" s="539"/>
      <c r="AZ29" s="539"/>
      <c r="BA29" s="539"/>
      <c r="BB29" s="539"/>
      <c r="BC29" s="539"/>
      <c r="BD29" s="539"/>
    </row>
    <row r="30" spans="1:56" ht="15.75">
      <c r="A30" s="539"/>
      <c r="B30" s="539"/>
      <c r="C30" s="539"/>
      <c r="D30" s="541"/>
      <c r="E30" s="541"/>
      <c r="F30" s="539"/>
      <c r="G30" s="539"/>
      <c r="H30" s="539"/>
      <c r="I30" s="539"/>
      <c r="J30" s="539"/>
      <c r="K30" s="539"/>
      <c r="L30" s="539"/>
      <c r="M30" s="539"/>
      <c r="N30" s="539"/>
      <c r="O30" s="539"/>
      <c r="P30" s="539"/>
      <c r="Q30" s="539"/>
      <c r="R30" s="539"/>
      <c r="S30" s="539"/>
      <c r="T30" s="539"/>
      <c r="U30" s="539"/>
      <c r="V30" s="539"/>
      <c r="W30" s="539"/>
      <c r="X30" s="539"/>
      <c r="Y30" s="539"/>
      <c r="Z30" s="539"/>
      <c r="AA30" s="539"/>
      <c r="AB30" s="539"/>
      <c r="AC30" s="539"/>
      <c r="AD30" s="539"/>
      <c r="AE30" s="539"/>
      <c r="AF30" s="539"/>
      <c r="AG30" s="539"/>
      <c r="AH30" s="539"/>
      <c r="AI30" s="539"/>
      <c r="AJ30" s="539"/>
      <c r="AK30" s="539"/>
      <c r="AL30" s="539"/>
      <c r="AM30" s="539"/>
      <c r="AN30" s="539"/>
      <c r="AO30" s="539"/>
      <c r="AP30" s="539"/>
      <c r="AQ30" s="539"/>
      <c r="AR30" s="539"/>
      <c r="AS30" s="539"/>
      <c r="AT30" s="539"/>
      <c r="AU30" s="539"/>
      <c r="AV30" s="539"/>
      <c r="AW30" s="539"/>
      <c r="AX30" s="539"/>
      <c r="AY30" s="539"/>
      <c r="AZ30" s="539"/>
      <c r="BA30" s="539"/>
      <c r="BB30" s="539"/>
      <c r="BC30" s="539"/>
      <c r="BD30" s="539"/>
    </row>
    <row r="31" spans="1:56" ht="15.75">
      <c r="A31" s="539"/>
      <c r="B31" s="539"/>
      <c r="C31" s="539"/>
      <c r="D31" s="541"/>
      <c r="E31" s="541"/>
      <c r="F31" s="539"/>
      <c r="G31" s="539"/>
      <c r="H31" s="539"/>
      <c r="I31" s="539"/>
      <c r="J31" s="539"/>
      <c r="K31" s="539"/>
      <c r="L31" s="539"/>
      <c r="M31" s="539"/>
      <c r="N31" s="539"/>
      <c r="O31" s="539"/>
      <c r="P31" s="539"/>
      <c r="Q31" s="539"/>
      <c r="R31" s="539"/>
      <c r="S31" s="539"/>
      <c r="T31" s="539"/>
      <c r="U31" s="539"/>
      <c r="V31" s="539"/>
      <c r="W31" s="539"/>
      <c r="X31" s="539"/>
      <c r="Y31" s="539"/>
      <c r="Z31" s="539"/>
      <c r="AA31" s="539"/>
      <c r="AB31" s="539"/>
      <c r="AC31" s="539"/>
      <c r="AD31" s="539"/>
      <c r="AE31" s="539"/>
      <c r="AF31" s="539"/>
      <c r="AG31" s="539"/>
      <c r="AH31" s="539"/>
      <c r="AI31" s="539"/>
      <c r="AJ31" s="539"/>
      <c r="AK31" s="539"/>
      <c r="AL31" s="539"/>
      <c r="AM31" s="539"/>
      <c r="AN31" s="539"/>
      <c r="AO31" s="539"/>
      <c r="AP31" s="539"/>
      <c r="AQ31" s="539"/>
      <c r="AR31" s="539"/>
      <c r="AS31" s="539"/>
      <c r="AT31" s="539"/>
      <c r="AU31" s="539"/>
      <c r="AV31" s="539"/>
      <c r="AW31" s="539"/>
      <c r="AX31" s="539"/>
      <c r="AY31" s="539"/>
      <c r="AZ31" s="539"/>
      <c r="BA31" s="539"/>
      <c r="BB31" s="539"/>
      <c r="BC31" s="539"/>
      <c r="BD31" s="539"/>
    </row>
    <row r="32" spans="1:56">
      <c r="A32" s="539"/>
      <c r="B32" s="539"/>
      <c r="C32" s="539"/>
      <c r="D32" s="539"/>
      <c r="E32" s="539"/>
      <c r="F32" s="539"/>
      <c r="G32" s="539"/>
      <c r="H32" s="539"/>
      <c r="I32" s="539"/>
      <c r="J32" s="539"/>
      <c r="K32" s="539"/>
      <c r="L32" s="539"/>
      <c r="M32" s="539"/>
      <c r="N32" s="539"/>
      <c r="O32" s="539"/>
      <c r="P32" s="539"/>
      <c r="Q32" s="539"/>
      <c r="R32" s="539"/>
      <c r="S32" s="539"/>
      <c r="T32" s="539"/>
      <c r="U32" s="539"/>
      <c r="V32" s="539"/>
      <c r="W32" s="539"/>
      <c r="X32" s="539"/>
      <c r="Y32" s="539"/>
      <c r="Z32" s="539"/>
      <c r="AA32" s="539"/>
      <c r="AB32" s="539"/>
      <c r="AC32" s="539"/>
      <c r="AD32" s="539"/>
      <c r="AE32" s="539"/>
      <c r="AF32" s="539"/>
      <c r="AG32" s="539"/>
      <c r="AH32" s="539"/>
      <c r="AI32" s="539"/>
      <c r="AJ32" s="539"/>
      <c r="AK32" s="539"/>
      <c r="AL32" s="539"/>
      <c r="AM32" s="539"/>
      <c r="AN32" s="539"/>
      <c r="AO32" s="539"/>
      <c r="AP32" s="539"/>
      <c r="AQ32" s="539"/>
      <c r="AR32" s="539"/>
      <c r="AS32" s="539"/>
      <c r="AT32" s="539"/>
      <c r="AU32" s="539"/>
      <c r="AV32" s="539"/>
      <c r="AW32" s="539"/>
      <c r="AX32" s="539"/>
      <c r="AY32" s="539"/>
      <c r="AZ32" s="539"/>
      <c r="BA32" s="539"/>
      <c r="BB32" s="539"/>
      <c r="BC32" s="539"/>
      <c r="BD32" s="539"/>
    </row>
    <row r="33" spans="1:56">
      <c r="A33" s="539"/>
      <c r="B33" s="539"/>
      <c r="C33" s="539"/>
      <c r="D33" s="539"/>
      <c r="E33" s="539"/>
      <c r="F33" s="539"/>
      <c r="G33" s="539"/>
      <c r="H33" s="539"/>
      <c r="I33" s="539"/>
      <c r="J33" s="539"/>
      <c r="K33" s="539"/>
      <c r="L33" s="539"/>
      <c r="M33" s="539"/>
      <c r="N33" s="539"/>
      <c r="O33" s="539"/>
      <c r="P33" s="539"/>
      <c r="Q33" s="539"/>
      <c r="R33" s="539"/>
      <c r="S33" s="539"/>
      <c r="T33" s="539"/>
      <c r="U33" s="539"/>
      <c r="V33" s="539"/>
      <c r="W33" s="539"/>
      <c r="X33" s="539"/>
      <c r="Y33" s="539"/>
      <c r="Z33" s="539"/>
      <c r="AA33" s="539"/>
      <c r="AB33" s="539"/>
      <c r="AC33" s="539"/>
      <c r="AD33" s="539"/>
      <c r="AE33" s="539"/>
      <c r="AF33" s="539"/>
      <c r="AG33" s="539"/>
      <c r="AH33" s="539"/>
      <c r="AI33" s="539"/>
      <c r="AJ33" s="539"/>
      <c r="AK33" s="539"/>
      <c r="AL33" s="539"/>
      <c r="AM33" s="539"/>
      <c r="AN33" s="539"/>
      <c r="AO33" s="539"/>
      <c r="AP33" s="539"/>
      <c r="AQ33" s="539"/>
      <c r="AR33" s="539"/>
      <c r="AS33" s="539"/>
      <c r="AT33" s="539"/>
      <c r="AU33" s="539"/>
      <c r="AV33" s="539"/>
      <c r="AW33" s="539"/>
      <c r="AX33" s="539"/>
      <c r="AY33" s="539"/>
      <c r="AZ33" s="539"/>
      <c r="BA33" s="539"/>
      <c r="BB33" s="539"/>
      <c r="BC33" s="539"/>
      <c r="BD33" s="539"/>
    </row>
    <row r="34" spans="1:56" s="198" customFormat="1" ht="24.75" customHeight="1">
      <c r="A34" s="544"/>
      <c r="B34" s="542" t="s">
        <v>193</v>
      </c>
      <c r="C34" s="542"/>
      <c r="D34" s="543"/>
      <c r="E34" s="723"/>
      <c r="F34" s="723"/>
      <c r="G34" s="723"/>
      <c r="H34" s="723"/>
      <c r="I34" s="544"/>
      <c r="J34" s="544"/>
      <c r="K34" s="544"/>
      <c r="L34" s="544"/>
      <c r="M34" s="544"/>
      <c r="N34" s="544"/>
      <c r="O34" s="544"/>
      <c r="P34" s="544"/>
      <c r="Q34" s="544"/>
      <c r="R34" s="544"/>
      <c r="S34" s="544"/>
      <c r="T34" s="544"/>
      <c r="U34" s="544"/>
      <c r="V34" s="544"/>
      <c r="W34" s="544"/>
      <c r="X34" s="544"/>
      <c r="Y34" s="544"/>
      <c r="Z34" s="544"/>
      <c r="AA34" s="544"/>
      <c r="AB34" s="544"/>
      <c r="AC34" s="544"/>
      <c r="AD34" s="544"/>
      <c r="AE34" s="544"/>
      <c r="AF34" s="544"/>
      <c r="AG34" s="544"/>
      <c r="AH34" s="544"/>
      <c r="AI34" s="544"/>
      <c r="AJ34" s="544"/>
      <c r="AK34" s="544"/>
      <c r="AL34" s="544"/>
      <c r="AM34" s="544"/>
      <c r="AN34" s="544"/>
      <c r="AO34" s="544"/>
      <c r="AP34" s="544"/>
      <c r="AQ34" s="544"/>
      <c r="AR34" s="544"/>
      <c r="AS34" s="544"/>
      <c r="AT34" s="544"/>
      <c r="AU34" s="544"/>
      <c r="AV34" s="544"/>
      <c r="AW34" s="544"/>
      <c r="AX34" s="544"/>
      <c r="AY34" s="544"/>
      <c r="AZ34" s="544"/>
      <c r="BA34" s="544"/>
      <c r="BB34" s="544"/>
      <c r="BC34" s="544"/>
      <c r="BD34" s="544"/>
    </row>
    <row r="35" spans="1:56" s="198" customFormat="1" ht="21" customHeight="1">
      <c r="A35" s="544"/>
      <c r="B35" s="542" t="s">
        <v>194</v>
      </c>
      <c r="C35" s="542"/>
      <c r="D35" s="716"/>
      <c r="E35" s="716"/>
      <c r="F35" s="716"/>
      <c r="G35" s="716"/>
      <c r="H35" s="716"/>
      <c r="I35" s="544"/>
      <c r="J35" s="544"/>
      <c r="K35" s="544"/>
      <c r="L35" s="544"/>
      <c r="M35" s="544"/>
      <c r="N35" s="544"/>
      <c r="O35" s="544"/>
      <c r="P35" s="544"/>
      <c r="Q35" s="544"/>
      <c r="R35" s="544"/>
      <c r="S35" s="544"/>
      <c r="T35" s="544"/>
      <c r="U35" s="544"/>
      <c r="V35" s="544"/>
      <c r="W35" s="544"/>
      <c r="X35" s="544"/>
      <c r="Y35" s="544"/>
      <c r="Z35" s="544"/>
      <c r="AA35" s="544"/>
      <c r="AB35" s="544"/>
      <c r="AC35" s="544"/>
      <c r="AD35" s="544"/>
      <c r="AE35" s="544"/>
      <c r="AF35" s="544"/>
      <c r="AG35" s="544"/>
      <c r="AH35" s="544"/>
      <c r="AI35" s="544"/>
      <c r="AJ35" s="544"/>
      <c r="AK35" s="544"/>
      <c r="AL35" s="544"/>
      <c r="AM35" s="544"/>
      <c r="AN35" s="544"/>
      <c r="AO35" s="544"/>
      <c r="AP35" s="544"/>
      <c r="AQ35" s="544"/>
      <c r="AR35" s="544"/>
      <c r="AS35" s="544"/>
      <c r="AT35" s="544"/>
      <c r="AU35" s="544"/>
      <c r="AV35" s="544"/>
      <c r="AW35" s="544"/>
      <c r="AX35" s="544"/>
      <c r="AY35" s="544"/>
      <c r="AZ35" s="544"/>
      <c r="BA35" s="544"/>
      <c r="BB35" s="544"/>
      <c r="BC35" s="544"/>
      <c r="BD35" s="544"/>
    </row>
    <row r="36" spans="1:56" ht="23.25">
      <c r="A36" s="539"/>
      <c r="B36" s="551"/>
      <c r="C36" s="552"/>
      <c r="D36" s="553"/>
      <c r="E36" s="539"/>
      <c r="F36" s="553"/>
      <c r="G36" s="539"/>
      <c r="H36" s="539"/>
      <c r="I36" s="539"/>
      <c r="J36" s="539"/>
      <c r="K36" s="539"/>
      <c r="L36" s="539"/>
      <c r="M36" s="539"/>
      <c r="N36" s="539"/>
      <c r="O36" s="539"/>
      <c r="P36" s="539"/>
      <c r="Q36" s="539"/>
      <c r="R36" s="539"/>
      <c r="S36" s="539"/>
      <c r="T36" s="539"/>
      <c r="U36" s="539"/>
      <c r="V36" s="539"/>
      <c r="W36" s="539"/>
      <c r="X36" s="539"/>
      <c r="Y36" s="539"/>
      <c r="Z36" s="539"/>
      <c r="AA36" s="539"/>
      <c r="AB36" s="539"/>
      <c r="AC36" s="539"/>
      <c r="AD36" s="539"/>
      <c r="AE36" s="539"/>
      <c r="AF36" s="539"/>
      <c r="AG36" s="539"/>
      <c r="AH36" s="539"/>
      <c r="AI36" s="539"/>
      <c r="AJ36" s="539"/>
      <c r="AK36" s="539"/>
      <c r="AL36" s="539"/>
      <c r="AM36" s="539"/>
      <c r="AN36" s="539"/>
      <c r="AO36" s="539"/>
      <c r="AP36" s="539"/>
      <c r="AQ36" s="539"/>
      <c r="AR36" s="539"/>
      <c r="AS36" s="539"/>
      <c r="AT36" s="539"/>
      <c r="AU36" s="539"/>
      <c r="AV36" s="539"/>
      <c r="AW36" s="539"/>
      <c r="AX36" s="539"/>
      <c r="AY36" s="539"/>
      <c r="AZ36" s="539"/>
      <c r="BA36" s="539"/>
      <c r="BB36" s="539"/>
      <c r="BC36" s="539"/>
      <c r="BD36" s="539"/>
    </row>
    <row r="37" spans="1:56" ht="23.25">
      <c r="C37" s="509"/>
      <c r="D37" s="254"/>
    </row>
    <row r="38" spans="1:56" ht="23.25">
      <c r="C38" s="509"/>
      <c r="D38" s="254"/>
    </row>
    <row r="39" spans="1:56" ht="23.25">
      <c r="C39" s="509"/>
      <c r="D39" s="254"/>
    </row>
    <row r="40" spans="1:56" ht="23.25">
      <c r="C40" s="509"/>
      <c r="D40" s="254"/>
    </row>
    <row r="42" spans="1:56">
      <c r="D42" s="254"/>
    </row>
    <row r="48" spans="1:56" ht="23.25">
      <c r="C48" s="318"/>
      <c r="D48" s="658"/>
      <c r="E48" s="658"/>
      <c r="F48" s="658"/>
      <c r="G48" s="658"/>
      <c r="H48" s="658"/>
    </row>
    <row r="49" spans="3:8" ht="23.25">
      <c r="C49" s="509"/>
      <c r="D49" s="254"/>
      <c r="F49" s="254"/>
    </row>
    <row r="50" spans="3:8" ht="23.25">
      <c r="C50" s="509"/>
      <c r="D50" s="254"/>
    </row>
    <row r="51" spans="3:8" ht="23.25">
      <c r="C51" s="509"/>
      <c r="D51" s="254"/>
    </row>
    <row r="52" spans="3:8" ht="23.25">
      <c r="C52" s="509"/>
      <c r="D52" s="254"/>
    </row>
    <row r="53" spans="3:8" ht="23.25">
      <c r="C53" s="509"/>
      <c r="D53" s="254"/>
    </row>
    <row r="55" spans="3:8">
      <c r="D55" s="254"/>
    </row>
    <row r="58" spans="3:8" ht="23.25">
      <c r="C58" s="318"/>
      <c r="D58" s="658"/>
      <c r="E58" s="658"/>
      <c r="F58" s="658"/>
      <c r="G58" s="658"/>
      <c r="H58" s="658"/>
    </row>
    <row r="59" spans="3:8" ht="23.25">
      <c r="C59" s="509"/>
      <c r="D59" s="254"/>
      <c r="F59" s="254"/>
    </row>
    <row r="60" spans="3:8" ht="23.25">
      <c r="C60" s="509"/>
      <c r="D60" s="254"/>
    </row>
    <row r="61" spans="3:8" ht="23.25">
      <c r="C61" s="509"/>
      <c r="D61" s="254"/>
    </row>
    <row r="62" spans="3:8" ht="23.25">
      <c r="C62" s="509"/>
      <c r="D62" s="254"/>
    </row>
    <row r="63" spans="3:8" ht="23.25">
      <c r="C63" s="509"/>
      <c r="D63" s="254"/>
    </row>
    <row r="65" spans="3:8">
      <c r="D65" s="254"/>
    </row>
    <row r="67" spans="3:8" ht="23.25">
      <c r="C67" s="318"/>
      <c r="D67" s="658"/>
      <c r="E67" s="658"/>
      <c r="F67" s="658"/>
      <c r="G67" s="658"/>
      <c r="H67" s="658"/>
    </row>
    <row r="68" spans="3:8" ht="23.25">
      <c r="C68" s="509"/>
      <c r="D68" s="254"/>
      <c r="F68" s="254"/>
    </row>
    <row r="69" spans="3:8" ht="23.25">
      <c r="C69" s="509"/>
      <c r="D69" s="254"/>
    </row>
    <row r="70" spans="3:8" ht="23.25">
      <c r="C70" s="509"/>
      <c r="D70" s="254"/>
    </row>
    <row r="71" spans="3:8" ht="23.25">
      <c r="C71" s="509"/>
      <c r="D71" s="254"/>
    </row>
    <row r="72" spans="3:8" ht="23.25">
      <c r="C72" s="509"/>
      <c r="D72" s="254"/>
    </row>
    <row r="74" spans="3:8">
      <c r="D74" s="254"/>
    </row>
    <row r="77" spans="3:8" ht="23.25">
      <c r="C77" s="318"/>
      <c r="D77" s="658"/>
      <c r="E77" s="658"/>
      <c r="F77" s="658"/>
      <c r="G77" s="658"/>
      <c r="H77" s="658"/>
    </row>
    <row r="78" spans="3:8" ht="23.25">
      <c r="C78" s="509"/>
      <c r="D78" s="254"/>
      <c r="F78" s="254"/>
    </row>
    <row r="79" spans="3:8" ht="23.25">
      <c r="C79" s="509"/>
      <c r="D79" s="254"/>
    </row>
    <row r="80" spans="3:8" ht="23.25">
      <c r="C80" s="509"/>
      <c r="D80" s="254"/>
    </row>
    <row r="81" spans="3:8" ht="23.25">
      <c r="C81" s="509"/>
      <c r="D81" s="254"/>
    </row>
    <row r="82" spans="3:8" ht="23.25">
      <c r="C82" s="509"/>
      <c r="D82" s="254"/>
    </row>
    <row r="84" spans="3:8">
      <c r="D84" s="254"/>
    </row>
    <row r="87" spans="3:8" ht="23.25">
      <c r="C87" s="318"/>
      <c r="D87" s="658"/>
      <c r="E87" s="658"/>
      <c r="F87" s="658"/>
      <c r="G87" s="658"/>
      <c r="H87" s="658"/>
    </row>
    <row r="88" spans="3:8" ht="23.25">
      <c r="C88" s="509"/>
      <c r="D88" s="254"/>
      <c r="F88" s="254"/>
    </row>
    <row r="89" spans="3:8" ht="23.25">
      <c r="C89" s="509"/>
      <c r="D89" s="254"/>
    </row>
    <row r="90" spans="3:8" ht="23.25">
      <c r="C90" s="509"/>
      <c r="D90" s="254"/>
    </row>
    <row r="91" spans="3:8" ht="23.25">
      <c r="C91" s="509"/>
      <c r="D91" s="254"/>
    </row>
    <row r="92" spans="3:8" ht="23.25">
      <c r="C92" s="509"/>
      <c r="D92" s="254"/>
    </row>
    <row r="94" spans="3:8">
      <c r="D94" s="254"/>
    </row>
  </sheetData>
  <mergeCells count="204">
    <mergeCell ref="AY23:BB23"/>
    <mergeCell ref="S23:V23"/>
    <mergeCell ref="K23:N23"/>
    <mergeCell ref="O23:R23"/>
    <mergeCell ref="W23:Z23"/>
    <mergeCell ref="AA23:AD23"/>
    <mergeCell ref="AE23:AH23"/>
    <mergeCell ref="AI23:AL23"/>
    <mergeCell ref="AM23:AP23"/>
    <mergeCell ref="AQ23:AT23"/>
    <mergeCell ref="D35:H35"/>
    <mergeCell ref="AE20:AH20"/>
    <mergeCell ref="AI19:AL19"/>
    <mergeCell ref="AI20:AL20"/>
    <mergeCell ref="AM19:AP19"/>
    <mergeCell ref="AM20:AP20"/>
    <mergeCell ref="AQ19:AT19"/>
    <mergeCell ref="AQ20:AT20"/>
    <mergeCell ref="AU19:AX19"/>
    <mergeCell ref="AU20:AX20"/>
    <mergeCell ref="AU23:AX23"/>
    <mergeCell ref="G23:J23"/>
    <mergeCell ref="E34:H34"/>
    <mergeCell ref="K21:N21"/>
    <mergeCell ref="K22:N22"/>
    <mergeCell ref="O21:R21"/>
    <mergeCell ref="W22:Z22"/>
    <mergeCell ref="O22:R22"/>
    <mergeCell ref="S21:V21"/>
    <mergeCell ref="S22:V22"/>
    <mergeCell ref="AQ21:AT21"/>
    <mergeCell ref="AU22:AX22"/>
    <mergeCell ref="AQ22:AT22"/>
    <mergeCell ref="AM22:AP22"/>
    <mergeCell ref="B26:F26"/>
    <mergeCell ref="B11:B12"/>
    <mergeCell ref="C11:C12"/>
    <mergeCell ref="D11:D12"/>
    <mergeCell ref="E11:E12"/>
    <mergeCell ref="G11:J11"/>
    <mergeCell ref="B15:B16"/>
    <mergeCell ref="C15:C16"/>
    <mergeCell ref="D15:D16"/>
    <mergeCell ref="E15:E16"/>
    <mergeCell ref="C13:C14"/>
    <mergeCell ref="B13:B14"/>
    <mergeCell ref="D13:D14"/>
    <mergeCell ref="E13:E14"/>
    <mergeCell ref="B21:B22"/>
    <mergeCell ref="C21:C22"/>
    <mergeCell ref="D21:D22"/>
    <mergeCell ref="E21:E22"/>
    <mergeCell ref="G21:J21"/>
    <mergeCell ref="G22:J22"/>
    <mergeCell ref="G18:J18"/>
    <mergeCell ref="G15:J15"/>
    <mergeCell ref="G16:J16"/>
    <mergeCell ref="K11:N11"/>
    <mergeCell ref="O14:R14"/>
    <mergeCell ref="O11:R11"/>
    <mergeCell ref="B19:B20"/>
    <mergeCell ref="C19:C20"/>
    <mergeCell ref="D19:D20"/>
    <mergeCell ref="E19:E20"/>
    <mergeCell ref="G19:J19"/>
    <mergeCell ref="G20:J20"/>
    <mergeCell ref="K15:N15"/>
    <mergeCell ref="K16:N16"/>
    <mergeCell ref="K19:N19"/>
    <mergeCell ref="K20:N20"/>
    <mergeCell ref="O19:R19"/>
    <mergeCell ref="O20:R20"/>
    <mergeCell ref="O18:R18"/>
    <mergeCell ref="K18:N18"/>
    <mergeCell ref="B17:B18"/>
    <mergeCell ref="C17:C18"/>
    <mergeCell ref="D17:D18"/>
    <mergeCell ref="E17:E18"/>
    <mergeCell ref="O16:R16"/>
    <mergeCell ref="O17:R17"/>
    <mergeCell ref="G17:J17"/>
    <mergeCell ref="W15:Z15"/>
    <mergeCell ref="G12:J12"/>
    <mergeCell ref="K12:N12"/>
    <mergeCell ref="O12:R12"/>
    <mergeCell ref="K14:N14"/>
    <mergeCell ref="W12:Z12"/>
    <mergeCell ref="W13:Z13"/>
    <mergeCell ref="O13:R13"/>
    <mergeCell ref="S14:V14"/>
    <mergeCell ref="W14:Z14"/>
    <mergeCell ref="G13:J13"/>
    <mergeCell ref="G14:J14"/>
    <mergeCell ref="K13:N13"/>
    <mergeCell ref="S12:V12"/>
    <mergeCell ref="W18:Z18"/>
    <mergeCell ref="W21:Z21"/>
    <mergeCell ref="W16:Z16"/>
    <mergeCell ref="W17:Z17"/>
    <mergeCell ref="S19:V19"/>
    <mergeCell ref="S20:V20"/>
    <mergeCell ref="W19:Z19"/>
    <mergeCell ref="W20:Z20"/>
    <mergeCell ref="AI11:AL11"/>
    <mergeCell ref="S13:V13"/>
    <mergeCell ref="S11:V11"/>
    <mergeCell ref="W11:Z11"/>
    <mergeCell ref="AA11:AD11"/>
    <mergeCell ref="AE11:AH11"/>
    <mergeCell ref="AA14:AD14"/>
    <mergeCell ref="AE14:AH14"/>
    <mergeCell ref="AA12:AD12"/>
    <mergeCell ref="AA13:AD13"/>
    <mergeCell ref="AE12:AH12"/>
    <mergeCell ref="AE13:AH13"/>
    <mergeCell ref="S17:V17"/>
    <mergeCell ref="S18:V18"/>
    <mergeCell ref="S15:V15"/>
    <mergeCell ref="S16:V16"/>
    <mergeCell ref="AM11:AP11"/>
    <mergeCell ref="AQ11:AT11"/>
    <mergeCell ref="AU11:AX11"/>
    <mergeCell ref="AY11:BB11"/>
    <mergeCell ref="AI12:AL12"/>
    <mergeCell ref="AM12:AP12"/>
    <mergeCell ref="AI13:AL13"/>
    <mergeCell ref="AI15:AL15"/>
    <mergeCell ref="AM14:AP14"/>
    <mergeCell ref="AQ14:AT14"/>
    <mergeCell ref="AU14:AX14"/>
    <mergeCell ref="AI14:AL14"/>
    <mergeCell ref="AU12:AX12"/>
    <mergeCell ref="AY12:BB12"/>
    <mergeCell ref="AY13:BB13"/>
    <mergeCell ref="AY14:BB14"/>
    <mergeCell ref="AY15:BB15"/>
    <mergeCell ref="AQ12:AT12"/>
    <mergeCell ref="AQ13:AT13"/>
    <mergeCell ref="AM15:AP15"/>
    <mergeCell ref="AU13:AX13"/>
    <mergeCell ref="AU15:AX15"/>
    <mergeCell ref="AY16:BB16"/>
    <mergeCell ref="AQ18:AT18"/>
    <mergeCell ref="AY17:BB17"/>
    <mergeCell ref="AY18:BB18"/>
    <mergeCell ref="AY21:BB21"/>
    <mergeCell ref="AM13:AP13"/>
    <mergeCell ref="AY19:BB19"/>
    <mergeCell ref="AY20:BB20"/>
    <mergeCell ref="AU18:AX18"/>
    <mergeCell ref="AU21:AX21"/>
    <mergeCell ref="AU16:AX16"/>
    <mergeCell ref="AU17:AX17"/>
    <mergeCell ref="AQ15:AT15"/>
    <mergeCell ref="AQ16:AT16"/>
    <mergeCell ref="AQ17:AT17"/>
    <mergeCell ref="AM21:AP21"/>
    <mergeCell ref="AM16:AP16"/>
    <mergeCell ref="AA22:AD22"/>
    <mergeCell ref="AI22:AL22"/>
    <mergeCell ref="AE21:AH21"/>
    <mergeCell ref="AE22:AH22"/>
    <mergeCell ref="AE15:AH15"/>
    <mergeCell ref="AE16:AH16"/>
    <mergeCell ref="AE17:AH17"/>
    <mergeCell ref="AE18:AH18"/>
    <mergeCell ref="AM17:AP17"/>
    <mergeCell ref="AM18:AP18"/>
    <mergeCell ref="AI16:AL16"/>
    <mergeCell ref="AI17:AL17"/>
    <mergeCell ref="AI18:AL18"/>
    <mergeCell ref="AI21:AL21"/>
    <mergeCell ref="AA19:AD19"/>
    <mergeCell ref="AA20:AD20"/>
    <mergeCell ref="AE19:AH19"/>
    <mergeCell ref="AA15:AD15"/>
    <mergeCell ref="AA16:AD16"/>
    <mergeCell ref="AA17:AD17"/>
    <mergeCell ref="AA18:AD18"/>
    <mergeCell ref="AA21:AD21"/>
    <mergeCell ref="D48:H48"/>
    <mergeCell ref="D58:H58"/>
    <mergeCell ref="D67:H67"/>
    <mergeCell ref="D77:H77"/>
    <mergeCell ref="D87:H87"/>
    <mergeCell ref="B3:BC3"/>
    <mergeCell ref="B4:BC4"/>
    <mergeCell ref="B6:BC6"/>
    <mergeCell ref="B24:C24"/>
    <mergeCell ref="G24:J24"/>
    <mergeCell ref="K24:N24"/>
    <mergeCell ref="O24:R24"/>
    <mergeCell ref="S24:V24"/>
    <mergeCell ref="W24:Z24"/>
    <mergeCell ref="AA24:AD24"/>
    <mergeCell ref="AE24:AH24"/>
    <mergeCell ref="AI24:AL24"/>
    <mergeCell ref="AM24:AP24"/>
    <mergeCell ref="AQ24:AT24"/>
    <mergeCell ref="AU24:AX24"/>
    <mergeCell ref="AY24:BB24"/>
    <mergeCell ref="AY22:BB22"/>
    <mergeCell ref="O15:P15"/>
    <mergeCell ref="K17:M17"/>
  </mergeCells>
  <printOptions horizontalCentered="1" verticalCentered="1"/>
  <pageMargins left="0.19685039370078741" right="0.19685039370078741" top="0.55118110236220474" bottom="0.15748031496062992" header="0.31496062992125984" footer="0.31496062992125984"/>
  <pageSetup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K229"/>
  <sheetViews>
    <sheetView view="pageBreakPreview" topLeftCell="A12" zoomScaleSheetLayoutView="100" workbookViewId="0">
      <selection activeCell="C21" sqref="C21"/>
    </sheetView>
  </sheetViews>
  <sheetFormatPr baseColWidth="10" defaultRowHeight="15"/>
  <cols>
    <col min="1" max="1" width="8.42578125" style="236" customWidth="1"/>
    <col min="2" max="2" width="49.42578125" style="236" customWidth="1"/>
    <col min="3" max="3" width="12.42578125" style="236" customWidth="1"/>
    <col min="4" max="4" width="17.28515625" style="236" customWidth="1"/>
    <col min="5" max="5" width="11.7109375" style="236" customWidth="1"/>
    <col min="6" max="6" width="12.7109375" style="236" customWidth="1"/>
    <col min="7" max="7" width="13" style="236" customWidth="1"/>
    <col min="8" max="8" width="18.28515625" style="236" customWidth="1"/>
    <col min="9" max="9" width="24.42578125" customWidth="1"/>
    <col min="10" max="10" width="15.42578125" bestFit="1" customWidth="1"/>
    <col min="11" max="11" width="12.28515625" bestFit="1" customWidth="1"/>
    <col min="259" max="259" width="8.42578125" customWidth="1"/>
    <col min="260" max="260" width="41.28515625" customWidth="1"/>
    <col min="261" max="261" width="8.28515625" customWidth="1"/>
    <col min="262" max="262" width="13.42578125" customWidth="1"/>
    <col min="263" max="263" width="22.28515625" customWidth="1"/>
    <col min="264" max="264" width="24.42578125" customWidth="1"/>
    <col min="265" max="265" width="12.7109375" bestFit="1" customWidth="1"/>
    <col min="266" max="266" width="14.42578125" bestFit="1" customWidth="1"/>
    <col min="267" max="267" width="12.28515625" bestFit="1" customWidth="1"/>
    <col min="515" max="515" width="8.42578125" customWidth="1"/>
    <col min="516" max="516" width="41.28515625" customWidth="1"/>
    <col min="517" max="517" width="8.28515625" customWidth="1"/>
    <col min="518" max="518" width="13.42578125" customWidth="1"/>
    <col min="519" max="519" width="22.28515625" customWidth="1"/>
    <col min="520" max="520" width="24.42578125" customWidth="1"/>
    <col min="521" max="521" width="12.7109375" bestFit="1" customWidth="1"/>
    <col min="522" max="522" width="14.42578125" bestFit="1" customWidth="1"/>
    <col min="523" max="523" width="12.28515625" bestFit="1" customWidth="1"/>
    <col min="771" max="771" width="8.42578125" customWidth="1"/>
    <col min="772" max="772" width="41.28515625" customWidth="1"/>
    <col min="773" max="773" width="8.28515625" customWidth="1"/>
    <col min="774" max="774" width="13.42578125" customWidth="1"/>
    <col min="775" max="775" width="22.28515625" customWidth="1"/>
    <col min="776" max="776" width="24.42578125" customWidth="1"/>
    <col min="777" max="777" width="12.7109375" bestFit="1" customWidth="1"/>
    <col min="778" max="778" width="14.42578125" bestFit="1" customWidth="1"/>
    <col min="779" max="779" width="12.28515625" bestFit="1" customWidth="1"/>
    <col min="1027" max="1027" width="8.42578125" customWidth="1"/>
    <col min="1028" max="1028" width="41.28515625" customWidth="1"/>
    <col min="1029" max="1029" width="8.28515625" customWidth="1"/>
    <col min="1030" max="1030" width="13.42578125" customWidth="1"/>
    <col min="1031" max="1031" width="22.28515625" customWidth="1"/>
    <col min="1032" max="1032" width="24.42578125" customWidth="1"/>
    <col min="1033" max="1033" width="12.7109375" bestFit="1" customWidth="1"/>
    <col min="1034" max="1034" width="14.42578125" bestFit="1" customWidth="1"/>
    <col min="1035" max="1035" width="12.28515625" bestFit="1" customWidth="1"/>
    <col min="1283" max="1283" width="8.42578125" customWidth="1"/>
    <col min="1284" max="1284" width="41.28515625" customWidth="1"/>
    <col min="1285" max="1285" width="8.28515625" customWidth="1"/>
    <col min="1286" max="1286" width="13.42578125" customWidth="1"/>
    <col min="1287" max="1287" width="22.28515625" customWidth="1"/>
    <col min="1288" max="1288" width="24.42578125" customWidth="1"/>
    <col min="1289" max="1289" width="12.7109375" bestFit="1" customWidth="1"/>
    <col min="1290" max="1290" width="14.42578125" bestFit="1" customWidth="1"/>
    <col min="1291" max="1291" width="12.28515625" bestFit="1" customWidth="1"/>
    <col min="1539" max="1539" width="8.42578125" customWidth="1"/>
    <col min="1540" max="1540" width="41.28515625" customWidth="1"/>
    <col min="1541" max="1541" width="8.28515625" customWidth="1"/>
    <col min="1542" max="1542" width="13.42578125" customWidth="1"/>
    <col min="1543" max="1543" width="22.28515625" customWidth="1"/>
    <col min="1544" max="1544" width="24.42578125" customWidth="1"/>
    <col min="1545" max="1545" width="12.7109375" bestFit="1" customWidth="1"/>
    <col min="1546" max="1546" width="14.42578125" bestFit="1" customWidth="1"/>
    <col min="1547" max="1547" width="12.28515625" bestFit="1" customWidth="1"/>
    <col min="1795" max="1795" width="8.42578125" customWidth="1"/>
    <col min="1796" max="1796" width="41.28515625" customWidth="1"/>
    <col min="1797" max="1797" width="8.28515625" customWidth="1"/>
    <col min="1798" max="1798" width="13.42578125" customWidth="1"/>
    <col min="1799" max="1799" width="22.28515625" customWidth="1"/>
    <col min="1800" max="1800" width="24.42578125" customWidth="1"/>
    <col min="1801" max="1801" width="12.7109375" bestFit="1" customWidth="1"/>
    <col min="1802" max="1802" width="14.42578125" bestFit="1" customWidth="1"/>
    <col min="1803" max="1803" width="12.28515625" bestFit="1" customWidth="1"/>
    <col min="2051" max="2051" width="8.42578125" customWidth="1"/>
    <col min="2052" max="2052" width="41.28515625" customWidth="1"/>
    <col min="2053" max="2053" width="8.28515625" customWidth="1"/>
    <col min="2054" max="2054" width="13.42578125" customWidth="1"/>
    <col min="2055" max="2055" width="22.28515625" customWidth="1"/>
    <col min="2056" max="2056" width="24.42578125" customWidth="1"/>
    <col min="2057" max="2057" width="12.7109375" bestFit="1" customWidth="1"/>
    <col min="2058" max="2058" width="14.42578125" bestFit="1" customWidth="1"/>
    <col min="2059" max="2059" width="12.28515625" bestFit="1" customWidth="1"/>
    <col min="2307" max="2307" width="8.42578125" customWidth="1"/>
    <col min="2308" max="2308" width="41.28515625" customWidth="1"/>
    <col min="2309" max="2309" width="8.28515625" customWidth="1"/>
    <col min="2310" max="2310" width="13.42578125" customWidth="1"/>
    <col min="2311" max="2311" width="22.28515625" customWidth="1"/>
    <col min="2312" max="2312" width="24.42578125" customWidth="1"/>
    <col min="2313" max="2313" width="12.7109375" bestFit="1" customWidth="1"/>
    <col min="2314" max="2314" width="14.42578125" bestFit="1" customWidth="1"/>
    <col min="2315" max="2315" width="12.28515625" bestFit="1" customWidth="1"/>
    <col min="2563" max="2563" width="8.42578125" customWidth="1"/>
    <col min="2564" max="2564" width="41.28515625" customWidth="1"/>
    <col min="2565" max="2565" width="8.28515625" customWidth="1"/>
    <col min="2566" max="2566" width="13.42578125" customWidth="1"/>
    <col min="2567" max="2567" width="22.28515625" customWidth="1"/>
    <col min="2568" max="2568" width="24.42578125" customWidth="1"/>
    <col min="2569" max="2569" width="12.7109375" bestFit="1" customWidth="1"/>
    <col min="2570" max="2570" width="14.42578125" bestFit="1" customWidth="1"/>
    <col min="2571" max="2571" width="12.28515625" bestFit="1" customWidth="1"/>
    <col min="2819" max="2819" width="8.42578125" customWidth="1"/>
    <col min="2820" max="2820" width="41.28515625" customWidth="1"/>
    <col min="2821" max="2821" width="8.28515625" customWidth="1"/>
    <col min="2822" max="2822" width="13.42578125" customWidth="1"/>
    <col min="2823" max="2823" width="22.28515625" customWidth="1"/>
    <col min="2824" max="2824" width="24.42578125" customWidth="1"/>
    <col min="2825" max="2825" width="12.7109375" bestFit="1" customWidth="1"/>
    <col min="2826" max="2826" width="14.42578125" bestFit="1" customWidth="1"/>
    <col min="2827" max="2827" width="12.28515625" bestFit="1" customWidth="1"/>
    <col min="3075" max="3075" width="8.42578125" customWidth="1"/>
    <col min="3076" max="3076" width="41.28515625" customWidth="1"/>
    <col min="3077" max="3077" width="8.28515625" customWidth="1"/>
    <col min="3078" max="3078" width="13.42578125" customWidth="1"/>
    <col min="3079" max="3079" width="22.28515625" customWidth="1"/>
    <col min="3080" max="3080" width="24.42578125" customWidth="1"/>
    <col min="3081" max="3081" width="12.7109375" bestFit="1" customWidth="1"/>
    <col min="3082" max="3082" width="14.42578125" bestFit="1" customWidth="1"/>
    <col min="3083" max="3083" width="12.28515625" bestFit="1" customWidth="1"/>
    <col min="3331" max="3331" width="8.42578125" customWidth="1"/>
    <col min="3332" max="3332" width="41.28515625" customWidth="1"/>
    <col min="3333" max="3333" width="8.28515625" customWidth="1"/>
    <col min="3334" max="3334" width="13.42578125" customWidth="1"/>
    <col min="3335" max="3335" width="22.28515625" customWidth="1"/>
    <col min="3336" max="3336" width="24.42578125" customWidth="1"/>
    <col min="3337" max="3337" width="12.7109375" bestFit="1" customWidth="1"/>
    <col min="3338" max="3338" width="14.42578125" bestFit="1" customWidth="1"/>
    <col min="3339" max="3339" width="12.28515625" bestFit="1" customWidth="1"/>
    <col min="3587" max="3587" width="8.42578125" customWidth="1"/>
    <col min="3588" max="3588" width="41.28515625" customWidth="1"/>
    <col min="3589" max="3589" width="8.28515625" customWidth="1"/>
    <col min="3590" max="3590" width="13.42578125" customWidth="1"/>
    <col min="3591" max="3591" width="22.28515625" customWidth="1"/>
    <col min="3592" max="3592" width="24.42578125" customWidth="1"/>
    <col min="3593" max="3593" width="12.7109375" bestFit="1" customWidth="1"/>
    <col min="3594" max="3594" width="14.42578125" bestFit="1" customWidth="1"/>
    <col min="3595" max="3595" width="12.28515625" bestFit="1" customWidth="1"/>
    <col min="3843" max="3843" width="8.42578125" customWidth="1"/>
    <col min="3844" max="3844" width="41.28515625" customWidth="1"/>
    <col min="3845" max="3845" width="8.28515625" customWidth="1"/>
    <col min="3846" max="3846" width="13.42578125" customWidth="1"/>
    <col min="3847" max="3847" width="22.28515625" customWidth="1"/>
    <col min="3848" max="3848" width="24.42578125" customWidth="1"/>
    <col min="3849" max="3849" width="12.7109375" bestFit="1" customWidth="1"/>
    <col min="3850" max="3850" width="14.42578125" bestFit="1" customWidth="1"/>
    <col min="3851" max="3851" width="12.28515625" bestFit="1" customWidth="1"/>
    <col min="4099" max="4099" width="8.42578125" customWidth="1"/>
    <col min="4100" max="4100" width="41.28515625" customWidth="1"/>
    <col min="4101" max="4101" width="8.28515625" customWidth="1"/>
    <col min="4102" max="4102" width="13.42578125" customWidth="1"/>
    <col min="4103" max="4103" width="22.28515625" customWidth="1"/>
    <col min="4104" max="4104" width="24.42578125" customWidth="1"/>
    <col min="4105" max="4105" width="12.7109375" bestFit="1" customWidth="1"/>
    <col min="4106" max="4106" width="14.42578125" bestFit="1" customWidth="1"/>
    <col min="4107" max="4107" width="12.28515625" bestFit="1" customWidth="1"/>
    <col min="4355" max="4355" width="8.42578125" customWidth="1"/>
    <col min="4356" max="4356" width="41.28515625" customWidth="1"/>
    <col min="4357" max="4357" width="8.28515625" customWidth="1"/>
    <col min="4358" max="4358" width="13.42578125" customWidth="1"/>
    <col min="4359" max="4359" width="22.28515625" customWidth="1"/>
    <col min="4360" max="4360" width="24.42578125" customWidth="1"/>
    <col min="4361" max="4361" width="12.7109375" bestFit="1" customWidth="1"/>
    <col min="4362" max="4362" width="14.42578125" bestFit="1" customWidth="1"/>
    <col min="4363" max="4363" width="12.28515625" bestFit="1" customWidth="1"/>
    <col min="4611" max="4611" width="8.42578125" customWidth="1"/>
    <col min="4612" max="4612" width="41.28515625" customWidth="1"/>
    <col min="4613" max="4613" width="8.28515625" customWidth="1"/>
    <col min="4614" max="4614" width="13.42578125" customWidth="1"/>
    <col min="4615" max="4615" width="22.28515625" customWidth="1"/>
    <col min="4616" max="4616" width="24.42578125" customWidth="1"/>
    <col min="4617" max="4617" width="12.7109375" bestFit="1" customWidth="1"/>
    <col min="4618" max="4618" width="14.42578125" bestFit="1" customWidth="1"/>
    <col min="4619" max="4619" width="12.28515625" bestFit="1" customWidth="1"/>
    <col min="4867" max="4867" width="8.42578125" customWidth="1"/>
    <col min="4868" max="4868" width="41.28515625" customWidth="1"/>
    <col min="4869" max="4869" width="8.28515625" customWidth="1"/>
    <col min="4870" max="4870" width="13.42578125" customWidth="1"/>
    <col min="4871" max="4871" width="22.28515625" customWidth="1"/>
    <col min="4872" max="4872" width="24.42578125" customWidth="1"/>
    <col min="4873" max="4873" width="12.7109375" bestFit="1" customWidth="1"/>
    <col min="4874" max="4874" width="14.42578125" bestFit="1" customWidth="1"/>
    <col min="4875" max="4875" width="12.28515625" bestFit="1" customWidth="1"/>
    <col min="5123" max="5123" width="8.42578125" customWidth="1"/>
    <col min="5124" max="5124" width="41.28515625" customWidth="1"/>
    <col min="5125" max="5125" width="8.28515625" customWidth="1"/>
    <col min="5126" max="5126" width="13.42578125" customWidth="1"/>
    <col min="5127" max="5127" width="22.28515625" customWidth="1"/>
    <col min="5128" max="5128" width="24.42578125" customWidth="1"/>
    <col min="5129" max="5129" width="12.7109375" bestFit="1" customWidth="1"/>
    <col min="5130" max="5130" width="14.42578125" bestFit="1" customWidth="1"/>
    <col min="5131" max="5131" width="12.28515625" bestFit="1" customWidth="1"/>
    <col min="5379" max="5379" width="8.42578125" customWidth="1"/>
    <col min="5380" max="5380" width="41.28515625" customWidth="1"/>
    <col min="5381" max="5381" width="8.28515625" customWidth="1"/>
    <col min="5382" max="5382" width="13.42578125" customWidth="1"/>
    <col min="5383" max="5383" width="22.28515625" customWidth="1"/>
    <col min="5384" max="5384" width="24.42578125" customWidth="1"/>
    <col min="5385" max="5385" width="12.7109375" bestFit="1" customWidth="1"/>
    <col min="5386" max="5386" width="14.42578125" bestFit="1" customWidth="1"/>
    <col min="5387" max="5387" width="12.28515625" bestFit="1" customWidth="1"/>
    <col min="5635" max="5635" width="8.42578125" customWidth="1"/>
    <col min="5636" max="5636" width="41.28515625" customWidth="1"/>
    <col min="5637" max="5637" width="8.28515625" customWidth="1"/>
    <col min="5638" max="5638" width="13.42578125" customWidth="1"/>
    <col min="5639" max="5639" width="22.28515625" customWidth="1"/>
    <col min="5640" max="5640" width="24.42578125" customWidth="1"/>
    <col min="5641" max="5641" width="12.7109375" bestFit="1" customWidth="1"/>
    <col min="5642" max="5642" width="14.42578125" bestFit="1" customWidth="1"/>
    <col min="5643" max="5643" width="12.28515625" bestFit="1" customWidth="1"/>
    <col min="5891" max="5891" width="8.42578125" customWidth="1"/>
    <col min="5892" max="5892" width="41.28515625" customWidth="1"/>
    <col min="5893" max="5893" width="8.28515625" customWidth="1"/>
    <col min="5894" max="5894" width="13.42578125" customWidth="1"/>
    <col min="5895" max="5895" width="22.28515625" customWidth="1"/>
    <col min="5896" max="5896" width="24.42578125" customWidth="1"/>
    <col min="5897" max="5897" width="12.7109375" bestFit="1" customWidth="1"/>
    <col min="5898" max="5898" width="14.42578125" bestFit="1" customWidth="1"/>
    <col min="5899" max="5899" width="12.28515625" bestFit="1" customWidth="1"/>
    <col min="6147" max="6147" width="8.42578125" customWidth="1"/>
    <col min="6148" max="6148" width="41.28515625" customWidth="1"/>
    <col min="6149" max="6149" width="8.28515625" customWidth="1"/>
    <col min="6150" max="6150" width="13.42578125" customWidth="1"/>
    <col min="6151" max="6151" width="22.28515625" customWidth="1"/>
    <col min="6152" max="6152" width="24.42578125" customWidth="1"/>
    <col min="6153" max="6153" width="12.7109375" bestFit="1" customWidth="1"/>
    <col min="6154" max="6154" width="14.42578125" bestFit="1" customWidth="1"/>
    <col min="6155" max="6155" width="12.28515625" bestFit="1" customWidth="1"/>
    <col min="6403" max="6403" width="8.42578125" customWidth="1"/>
    <col min="6404" max="6404" width="41.28515625" customWidth="1"/>
    <col min="6405" max="6405" width="8.28515625" customWidth="1"/>
    <col min="6406" max="6406" width="13.42578125" customWidth="1"/>
    <col min="6407" max="6407" width="22.28515625" customWidth="1"/>
    <col min="6408" max="6408" width="24.42578125" customWidth="1"/>
    <col min="6409" max="6409" width="12.7109375" bestFit="1" customWidth="1"/>
    <col min="6410" max="6410" width="14.42578125" bestFit="1" customWidth="1"/>
    <col min="6411" max="6411" width="12.28515625" bestFit="1" customWidth="1"/>
    <col min="6659" max="6659" width="8.42578125" customWidth="1"/>
    <col min="6660" max="6660" width="41.28515625" customWidth="1"/>
    <col min="6661" max="6661" width="8.28515625" customWidth="1"/>
    <col min="6662" max="6662" width="13.42578125" customWidth="1"/>
    <col min="6663" max="6663" width="22.28515625" customWidth="1"/>
    <col min="6664" max="6664" width="24.42578125" customWidth="1"/>
    <col min="6665" max="6665" width="12.7109375" bestFit="1" customWidth="1"/>
    <col min="6666" max="6666" width="14.42578125" bestFit="1" customWidth="1"/>
    <col min="6667" max="6667" width="12.28515625" bestFit="1" customWidth="1"/>
    <col min="6915" max="6915" width="8.42578125" customWidth="1"/>
    <col min="6916" max="6916" width="41.28515625" customWidth="1"/>
    <col min="6917" max="6917" width="8.28515625" customWidth="1"/>
    <col min="6918" max="6918" width="13.42578125" customWidth="1"/>
    <col min="6919" max="6919" width="22.28515625" customWidth="1"/>
    <col min="6920" max="6920" width="24.42578125" customWidth="1"/>
    <col min="6921" max="6921" width="12.7109375" bestFit="1" customWidth="1"/>
    <col min="6922" max="6922" width="14.42578125" bestFit="1" customWidth="1"/>
    <col min="6923" max="6923" width="12.28515625" bestFit="1" customWidth="1"/>
    <col min="7171" max="7171" width="8.42578125" customWidth="1"/>
    <col min="7172" max="7172" width="41.28515625" customWidth="1"/>
    <col min="7173" max="7173" width="8.28515625" customWidth="1"/>
    <col min="7174" max="7174" width="13.42578125" customWidth="1"/>
    <col min="7175" max="7175" width="22.28515625" customWidth="1"/>
    <col min="7176" max="7176" width="24.42578125" customWidth="1"/>
    <col min="7177" max="7177" width="12.7109375" bestFit="1" customWidth="1"/>
    <col min="7178" max="7178" width="14.42578125" bestFit="1" customWidth="1"/>
    <col min="7179" max="7179" width="12.28515625" bestFit="1" customWidth="1"/>
    <col min="7427" max="7427" width="8.42578125" customWidth="1"/>
    <col min="7428" max="7428" width="41.28515625" customWidth="1"/>
    <col min="7429" max="7429" width="8.28515625" customWidth="1"/>
    <col min="7430" max="7430" width="13.42578125" customWidth="1"/>
    <col min="7431" max="7431" width="22.28515625" customWidth="1"/>
    <col min="7432" max="7432" width="24.42578125" customWidth="1"/>
    <col min="7433" max="7433" width="12.7109375" bestFit="1" customWidth="1"/>
    <col min="7434" max="7434" width="14.42578125" bestFit="1" customWidth="1"/>
    <col min="7435" max="7435" width="12.28515625" bestFit="1" customWidth="1"/>
    <col min="7683" max="7683" width="8.42578125" customWidth="1"/>
    <col min="7684" max="7684" width="41.28515625" customWidth="1"/>
    <col min="7685" max="7685" width="8.28515625" customWidth="1"/>
    <col min="7686" max="7686" width="13.42578125" customWidth="1"/>
    <col min="7687" max="7687" width="22.28515625" customWidth="1"/>
    <col min="7688" max="7688" width="24.42578125" customWidth="1"/>
    <col min="7689" max="7689" width="12.7109375" bestFit="1" customWidth="1"/>
    <col min="7690" max="7690" width="14.42578125" bestFit="1" customWidth="1"/>
    <col min="7691" max="7691" width="12.28515625" bestFit="1" customWidth="1"/>
    <col min="7939" max="7939" width="8.42578125" customWidth="1"/>
    <col min="7940" max="7940" width="41.28515625" customWidth="1"/>
    <col min="7941" max="7941" width="8.28515625" customWidth="1"/>
    <col min="7942" max="7942" width="13.42578125" customWidth="1"/>
    <col min="7943" max="7943" width="22.28515625" customWidth="1"/>
    <col min="7944" max="7944" width="24.42578125" customWidth="1"/>
    <col min="7945" max="7945" width="12.7109375" bestFit="1" customWidth="1"/>
    <col min="7946" max="7946" width="14.42578125" bestFit="1" customWidth="1"/>
    <col min="7947" max="7947" width="12.28515625" bestFit="1" customWidth="1"/>
    <col min="8195" max="8195" width="8.42578125" customWidth="1"/>
    <col min="8196" max="8196" width="41.28515625" customWidth="1"/>
    <col min="8197" max="8197" width="8.28515625" customWidth="1"/>
    <col min="8198" max="8198" width="13.42578125" customWidth="1"/>
    <col min="8199" max="8199" width="22.28515625" customWidth="1"/>
    <col min="8200" max="8200" width="24.42578125" customWidth="1"/>
    <col min="8201" max="8201" width="12.7109375" bestFit="1" customWidth="1"/>
    <col min="8202" max="8202" width="14.42578125" bestFit="1" customWidth="1"/>
    <col min="8203" max="8203" width="12.28515625" bestFit="1" customWidth="1"/>
    <col min="8451" max="8451" width="8.42578125" customWidth="1"/>
    <col min="8452" max="8452" width="41.28515625" customWidth="1"/>
    <col min="8453" max="8453" width="8.28515625" customWidth="1"/>
    <col min="8454" max="8454" width="13.42578125" customWidth="1"/>
    <col min="8455" max="8455" width="22.28515625" customWidth="1"/>
    <col min="8456" max="8456" width="24.42578125" customWidth="1"/>
    <col min="8457" max="8457" width="12.7109375" bestFit="1" customWidth="1"/>
    <col min="8458" max="8458" width="14.42578125" bestFit="1" customWidth="1"/>
    <col min="8459" max="8459" width="12.28515625" bestFit="1" customWidth="1"/>
    <col min="8707" max="8707" width="8.42578125" customWidth="1"/>
    <col min="8708" max="8708" width="41.28515625" customWidth="1"/>
    <col min="8709" max="8709" width="8.28515625" customWidth="1"/>
    <col min="8710" max="8710" width="13.42578125" customWidth="1"/>
    <col min="8711" max="8711" width="22.28515625" customWidth="1"/>
    <col min="8712" max="8712" width="24.42578125" customWidth="1"/>
    <col min="8713" max="8713" width="12.7109375" bestFit="1" customWidth="1"/>
    <col min="8714" max="8714" width="14.42578125" bestFit="1" customWidth="1"/>
    <col min="8715" max="8715" width="12.28515625" bestFit="1" customWidth="1"/>
    <col min="8963" max="8963" width="8.42578125" customWidth="1"/>
    <col min="8964" max="8964" width="41.28515625" customWidth="1"/>
    <col min="8965" max="8965" width="8.28515625" customWidth="1"/>
    <col min="8966" max="8966" width="13.42578125" customWidth="1"/>
    <col min="8967" max="8967" width="22.28515625" customWidth="1"/>
    <col min="8968" max="8968" width="24.42578125" customWidth="1"/>
    <col min="8969" max="8969" width="12.7109375" bestFit="1" customWidth="1"/>
    <col min="8970" max="8970" width="14.42578125" bestFit="1" customWidth="1"/>
    <col min="8971" max="8971" width="12.28515625" bestFit="1" customWidth="1"/>
    <col min="9219" max="9219" width="8.42578125" customWidth="1"/>
    <col min="9220" max="9220" width="41.28515625" customWidth="1"/>
    <col min="9221" max="9221" width="8.28515625" customWidth="1"/>
    <col min="9222" max="9222" width="13.42578125" customWidth="1"/>
    <col min="9223" max="9223" width="22.28515625" customWidth="1"/>
    <col min="9224" max="9224" width="24.42578125" customWidth="1"/>
    <col min="9225" max="9225" width="12.7109375" bestFit="1" customWidth="1"/>
    <col min="9226" max="9226" width="14.42578125" bestFit="1" customWidth="1"/>
    <col min="9227" max="9227" width="12.28515625" bestFit="1" customWidth="1"/>
    <col min="9475" max="9475" width="8.42578125" customWidth="1"/>
    <col min="9476" max="9476" width="41.28515625" customWidth="1"/>
    <col min="9477" max="9477" width="8.28515625" customWidth="1"/>
    <col min="9478" max="9478" width="13.42578125" customWidth="1"/>
    <col min="9479" max="9479" width="22.28515625" customWidth="1"/>
    <col min="9480" max="9480" width="24.42578125" customWidth="1"/>
    <col min="9481" max="9481" width="12.7109375" bestFit="1" customWidth="1"/>
    <col min="9482" max="9482" width="14.42578125" bestFit="1" customWidth="1"/>
    <col min="9483" max="9483" width="12.28515625" bestFit="1" customWidth="1"/>
    <col min="9731" max="9731" width="8.42578125" customWidth="1"/>
    <col min="9732" max="9732" width="41.28515625" customWidth="1"/>
    <col min="9733" max="9733" width="8.28515625" customWidth="1"/>
    <col min="9734" max="9734" width="13.42578125" customWidth="1"/>
    <col min="9735" max="9735" width="22.28515625" customWidth="1"/>
    <col min="9736" max="9736" width="24.42578125" customWidth="1"/>
    <col min="9737" max="9737" width="12.7109375" bestFit="1" customWidth="1"/>
    <col min="9738" max="9738" width="14.42578125" bestFit="1" customWidth="1"/>
    <col min="9739" max="9739" width="12.28515625" bestFit="1" customWidth="1"/>
    <col min="9987" max="9987" width="8.42578125" customWidth="1"/>
    <col min="9988" max="9988" width="41.28515625" customWidth="1"/>
    <col min="9989" max="9989" width="8.28515625" customWidth="1"/>
    <col min="9990" max="9990" width="13.42578125" customWidth="1"/>
    <col min="9991" max="9991" width="22.28515625" customWidth="1"/>
    <col min="9992" max="9992" width="24.42578125" customWidth="1"/>
    <col min="9993" max="9993" width="12.7109375" bestFit="1" customWidth="1"/>
    <col min="9994" max="9994" width="14.42578125" bestFit="1" customWidth="1"/>
    <col min="9995" max="9995" width="12.28515625" bestFit="1" customWidth="1"/>
    <col min="10243" max="10243" width="8.42578125" customWidth="1"/>
    <col min="10244" max="10244" width="41.28515625" customWidth="1"/>
    <col min="10245" max="10245" width="8.28515625" customWidth="1"/>
    <col min="10246" max="10246" width="13.42578125" customWidth="1"/>
    <col min="10247" max="10247" width="22.28515625" customWidth="1"/>
    <col min="10248" max="10248" width="24.42578125" customWidth="1"/>
    <col min="10249" max="10249" width="12.7109375" bestFit="1" customWidth="1"/>
    <col min="10250" max="10250" width="14.42578125" bestFit="1" customWidth="1"/>
    <col min="10251" max="10251" width="12.28515625" bestFit="1" customWidth="1"/>
    <col min="10499" max="10499" width="8.42578125" customWidth="1"/>
    <col min="10500" max="10500" width="41.28515625" customWidth="1"/>
    <col min="10501" max="10501" width="8.28515625" customWidth="1"/>
    <col min="10502" max="10502" width="13.42578125" customWidth="1"/>
    <col min="10503" max="10503" width="22.28515625" customWidth="1"/>
    <col min="10504" max="10504" width="24.42578125" customWidth="1"/>
    <col min="10505" max="10505" width="12.7109375" bestFit="1" customWidth="1"/>
    <col min="10506" max="10506" width="14.42578125" bestFit="1" customWidth="1"/>
    <col min="10507" max="10507" width="12.28515625" bestFit="1" customWidth="1"/>
    <col min="10755" max="10755" width="8.42578125" customWidth="1"/>
    <col min="10756" max="10756" width="41.28515625" customWidth="1"/>
    <col min="10757" max="10757" width="8.28515625" customWidth="1"/>
    <col min="10758" max="10758" width="13.42578125" customWidth="1"/>
    <col min="10759" max="10759" width="22.28515625" customWidth="1"/>
    <col min="10760" max="10760" width="24.42578125" customWidth="1"/>
    <col min="10761" max="10761" width="12.7109375" bestFit="1" customWidth="1"/>
    <col min="10762" max="10762" width="14.42578125" bestFit="1" customWidth="1"/>
    <col min="10763" max="10763" width="12.28515625" bestFit="1" customWidth="1"/>
    <col min="11011" max="11011" width="8.42578125" customWidth="1"/>
    <col min="11012" max="11012" width="41.28515625" customWidth="1"/>
    <col min="11013" max="11013" width="8.28515625" customWidth="1"/>
    <col min="11014" max="11014" width="13.42578125" customWidth="1"/>
    <col min="11015" max="11015" width="22.28515625" customWidth="1"/>
    <col min="11016" max="11016" width="24.42578125" customWidth="1"/>
    <col min="11017" max="11017" width="12.7109375" bestFit="1" customWidth="1"/>
    <col min="11018" max="11018" width="14.42578125" bestFit="1" customWidth="1"/>
    <col min="11019" max="11019" width="12.28515625" bestFit="1" customWidth="1"/>
    <col min="11267" max="11267" width="8.42578125" customWidth="1"/>
    <col min="11268" max="11268" width="41.28515625" customWidth="1"/>
    <col min="11269" max="11269" width="8.28515625" customWidth="1"/>
    <col min="11270" max="11270" width="13.42578125" customWidth="1"/>
    <col min="11271" max="11271" width="22.28515625" customWidth="1"/>
    <col min="11272" max="11272" width="24.42578125" customWidth="1"/>
    <col min="11273" max="11273" width="12.7109375" bestFit="1" customWidth="1"/>
    <col min="11274" max="11274" width="14.42578125" bestFit="1" customWidth="1"/>
    <col min="11275" max="11275" width="12.28515625" bestFit="1" customWidth="1"/>
    <col min="11523" max="11523" width="8.42578125" customWidth="1"/>
    <col min="11524" max="11524" width="41.28515625" customWidth="1"/>
    <col min="11525" max="11525" width="8.28515625" customWidth="1"/>
    <col min="11526" max="11526" width="13.42578125" customWidth="1"/>
    <col min="11527" max="11527" width="22.28515625" customWidth="1"/>
    <col min="11528" max="11528" width="24.42578125" customWidth="1"/>
    <col min="11529" max="11529" width="12.7109375" bestFit="1" customWidth="1"/>
    <col min="11530" max="11530" width="14.42578125" bestFit="1" customWidth="1"/>
    <col min="11531" max="11531" width="12.28515625" bestFit="1" customWidth="1"/>
    <col min="11779" max="11779" width="8.42578125" customWidth="1"/>
    <col min="11780" max="11780" width="41.28515625" customWidth="1"/>
    <col min="11781" max="11781" width="8.28515625" customWidth="1"/>
    <col min="11782" max="11782" width="13.42578125" customWidth="1"/>
    <col min="11783" max="11783" width="22.28515625" customWidth="1"/>
    <col min="11784" max="11784" width="24.42578125" customWidth="1"/>
    <col min="11785" max="11785" width="12.7109375" bestFit="1" customWidth="1"/>
    <col min="11786" max="11786" width="14.42578125" bestFit="1" customWidth="1"/>
    <col min="11787" max="11787" width="12.28515625" bestFit="1" customWidth="1"/>
    <col min="12035" max="12035" width="8.42578125" customWidth="1"/>
    <col min="12036" max="12036" width="41.28515625" customWidth="1"/>
    <col min="12037" max="12037" width="8.28515625" customWidth="1"/>
    <col min="12038" max="12038" width="13.42578125" customWidth="1"/>
    <col min="12039" max="12039" width="22.28515625" customWidth="1"/>
    <col min="12040" max="12040" width="24.42578125" customWidth="1"/>
    <col min="12041" max="12041" width="12.7109375" bestFit="1" customWidth="1"/>
    <col min="12042" max="12042" width="14.42578125" bestFit="1" customWidth="1"/>
    <col min="12043" max="12043" width="12.28515625" bestFit="1" customWidth="1"/>
    <col min="12291" max="12291" width="8.42578125" customWidth="1"/>
    <col min="12292" max="12292" width="41.28515625" customWidth="1"/>
    <col min="12293" max="12293" width="8.28515625" customWidth="1"/>
    <col min="12294" max="12294" width="13.42578125" customWidth="1"/>
    <col min="12295" max="12295" width="22.28515625" customWidth="1"/>
    <col min="12296" max="12296" width="24.42578125" customWidth="1"/>
    <col min="12297" max="12297" width="12.7109375" bestFit="1" customWidth="1"/>
    <col min="12298" max="12298" width="14.42578125" bestFit="1" customWidth="1"/>
    <col min="12299" max="12299" width="12.28515625" bestFit="1" customWidth="1"/>
    <col min="12547" max="12547" width="8.42578125" customWidth="1"/>
    <col min="12548" max="12548" width="41.28515625" customWidth="1"/>
    <col min="12549" max="12549" width="8.28515625" customWidth="1"/>
    <col min="12550" max="12550" width="13.42578125" customWidth="1"/>
    <col min="12551" max="12551" width="22.28515625" customWidth="1"/>
    <col min="12552" max="12552" width="24.42578125" customWidth="1"/>
    <col min="12553" max="12553" width="12.7109375" bestFit="1" customWidth="1"/>
    <col min="12554" max="12554" width="14.42578125" bestFit="1" customWidth="1"/>
    <col min="12555" max="12555" width="12.28515625" bestFit="1" customWidth="1"/>
    <col min="12803" max="12803" width="8.42578125" customWidth="1"/>
    <col min="12804" max="12804" width="41.28515625" customWidth="1"/>
    <col min="12805" max="12805" width="8.28515625" customWidth="1"/>
    <col min="12806" max="12806" width="13.42578125" customWidth="1"/>
    <col min="12807" max="12807" width="22.28515625" customWidth="1"/>
    <col min="12808" max="12808" width="24.42578125" customWidth="1"/>
    <col min="12809" max="12809" width="12.7109375" bestFit="1" customWidth="1"/>
    <col min="12810" max="12810" width="14.42578125" bestFit="1" customWidth="1"/>
    <col min="12811" max="12811" width="12.28515625" bestFit="1" customWidth="1"/>
    <col min="13059" max="13059" width="8.42578125" customWidth="1"/>
    <col min="13060" max="13060" width="41.28515625" customWidth="1"/>
    <col min="13061" max="13061" width="8.28515625" customWidth="1"/>
    <col min="13062" max="13062" width="13.42578125" customWidth="1"/>
    <col min="13063" max="13063" width="22.28515625" customWidth="1"/>
    <col min="13064" max="13064" width="24.42578125" customWidth="1"/>
    <col min="13065" max="13065" width="12.7109375" bestFit="1" customWidth="1"/>
    <col min="13066" max="13066" width="14.42578125" bestFit="1" customWidth="1"/>
    <col min="13067" max="13067" width="12.28515625" bestFit="1" customWidth="1"/>
    <col min="13315" max="13315" width="8.42578125" customWidth="1"/>
    <col min="13316" max="13316" width="41.28515625" customWidth="1"/>
    <col min="13317" max="13317" width="8.28515625" customWidth="1"/>
    <col min="13318" max="13318" width="13.42578125" customWidth="1"/>
    <col min="13319" max="13319" width="22.28515625" customWidth="1"/>
    <col min="13320" max="13320" width="24.42578125" customWidth="1"/>
    <col min="13321" max="13321" width="12.7109375" bestFit="1" customWidth="1"/>
    <col min="13322" max="13322" width="14.42578125" bestFit="1" customWidth="1"/>
    <col min="13323" max="13323" width="12.28515625" bestFit="1" customWidth="1"/>
    <col min="13571" max="13571" width="8.42578125" customWidth="1"/>
    <col min="13572" max="13572" width="41.28515625" customWidth="1"/>
    <col min="13573" max="13573" width="8.28515625" customWidth="1"/>
    <col min="13574" max="13574" width="13.42578125" customWidth="1"/>
    <col min="13575" max="13575" width="22.28515625" customWidth="1"/>
    <col min="13576" max="13576" width="24.42578125" customWidth="1"/>
    <col min="13577" max="13577" width="12.7109375" bestFit="1" customWidth="1"/>
    <col min="13578" max="13578" width="14.42578125" bestFit="1" customWidth="1"/>
    <col min="13579" max="13579" width="12.28515625" bestFit="1" customWidth="1"/>
    <col min="13827" max="13827" width="8.42578125" customWidth="1"/>
    <col min="13828" max="13828" width="41.28515625" customWidth="1"/>
    <col min="13829" max="13829" width="8.28515625" customWidth="1"/>
    <col min="13830" max="13830" width="13.42578125" customWidth="1"/>
    <col min="13831" max="13831" width="22.28515625" customWidth="1"/>
    <col min="13832" max="13832" width="24.42578125" customWidth="1"/>
    <col min="13833" max="13833" width="12.7109375" bestFit="1" customWidth="1"/>
    <col min="13834" max="13834" width="14.42578125" bestFit="1" customWidth="1"/>
    <col min="13835" max="13835" width="12.28515625" bestFit="1" customWidth="1"/>
    <col min="14083" max="14083" width="8.42578125" customWidth="1"/>
    <col min="14084" max="14084" width="41.28515625" customWidth="1"/>
    <col min="14085" max="14085" width="8.28515625" customWidth="1"/>
    <col min="14086" max="14086" width="13.42578125" customWidth="1"/>
    <col min="14087" max="14087" width="22.28515625" customWidth="1"/>
    <col min="14088" max="14088" width="24.42578125" customWidth="1"/>
    <col min="14089" max="14089" width="12.7109375" bestFit="1" customWidth="1"/>
    <col min="14090" max="14090" width="14.42578125" bestFit="1" customWidth="1"/>
    <col min="14091" max="14091" width="12.28515625" bestFit="1" customWidth="1"/>
    <col min="14339" max="14339" width="8.42578125" customWidth="1"/>
    <col min="14340" max="14340" width="41.28515625" customWidth="1"/>
    <col min="14341" max="14341" width="8.28515625" customWidth="1"/>
    <col min="14342" max="14342" width="13.42578125" customWidth="1"/>
    <col min="14343" max="14343" width="22.28515625" customWidth="1"/>
    <col min="14344" max="14344" width="24.42578125" customWidth="1"/>
    <col min="14345" max="14345" width="12.7109375" bestFit="1" customWidth="1"/>
    <col min="14346" max="14346" width="14.42578125" bestFit="1" customWidth="1"/>
    <col min="14347" max="14347" width="12.28515625" bestFit="1" customWidth="1"/>
    <col min="14595" max="14595" width="8.42578125" customWidth="1"/>
    <col min="14596" max="14596" width="41.28515625" customWidth="1"/>
    <col min="14597" max="14597" width="8.28515625" customWidth="1"/>
    <col min="14598" max="14598" width="13.42578125" customWidth="1"/>
    <col min="14599" max="14599" width="22.28515625" customWidth="1"/>
    <col min="14600" max="14600" width="24.42578125" customWidth="1"/>
    <col min="14601" max="14601" width="12.7109375" bestFit="1" customWidth="1"/>
    <col min="14602" max="14602" width="14.42578125" bestFit="1" customWidth="1"/>
    <col min="14603" max="14603" width="12.28515625" bestFit="1" customWidth="1"/>
    <col min="14851" max="14851" width="8.42578125" customWidth="1"/>
    <col min="14852" max="14852" width="41.28515625" customWidth="1"/>
    <col min="14853" max="14853" width="8.28515625" customWidth="1"/>
    <col min="14854" max="14854" width="13.42578125" customWidth="1"/>
    <col min="14855" max="14855" width="22.28515625" customWidth="1"/>
    <col min="14856" max="14856" width="24.42578125" customWidth="1"/>
    <col min="14857" max="14857" width="12.7109375" bestFit="1" customWidth="1"/>
    <col min="14858" max="14858" width="14.42578125" bestFit="1" customWidth="1"/>
    <col min="14859" max="14859" width="12.28515625" bestFit="1" customWidth="1"/>
    <col min="15107" max="15107" width="8.42578125" customWidth="1"/>
    <col min="15108" max="15108" width="41.28515625" customWidth="1"/>
    <col min="15109" max="15109" width="8.28515625" customWidth="1"/>
    <col min="15110" max="15110" width="13.42578125" customWidth="1"/>
    <col min="15111" max="15111" width="22.28515625" customWidth="1"/>
    <col min="15112" max="15112" width="24.42578125" customWidth="1"/>
    <col min="15113" max="15113" width="12.7109375" bestFit="1" customWidth="1"/>
    <col min="15114" max="15114" width="14.42578125" bestFit="1" customWidth="1"/>
    <col min="15115" max="15115" width="12.28515625" bestFit="1" customWidth="1"/>
    <col min="15363" max="15363" width="8.42578125" customWidth="1"/>
    <col min="15364" max="15364" width="41.28515625" customWidth="1"/>
    <col min="15365" max="15365" width="8.28515625" customWidth="1"/>
    <col min="15366" max="15366" width="13.42578125" customWidth="1"/>
    <col min="15367" max="15367" width="22.28515625" customWidth="1"/>
    <col min="15368" max="15368" width="24.42578125" customWidth="1"/>
    <col min="15369" max="15369" width="12.7109375" bestFit="1" customWidth="1"/>
    <col min="15370" max="15370" width="14.42578125" bestFit="1" customWidth="1"/>
    <col min="15371" max="15371" width="12.28515625" bestFit="1" customWidth="1"/>
    <col min="15619" max="15619" width="8.42578125" customWidth="1"/>
    <col min="15620" max="15620" width="41.28515625" customWidth="1"/>
    <col min="15621" max="15621" width="8.28515625" customWidth="1"/>
    <col min="15622" max="15622" width="13.42578125" customWidth="1"/>
    <col min="15623" max="15623" width="22.28515625" customWidth="1"/>
    <col min="15624" max="15624" width="24.42578125" customWidth="1"/>
    <col min="15625" max="15625" width="12.7109375" bestFit="1" customWidth="1"/>
    <col min="15626" max="15626" width="14.42578125" bestFit="1" customWidth="1"/>
    <col min="15627" max="15627" width="12.28515625" bestFit="1" customWidth="1"/>
    <col min="15875" max="15875" width="8.42578125" customWidth="1"/>
    <col min="15876" max="15876" width="41.28515625" customWidth="1"/>
    <col min="15877" max="15877" width="8.28515625" customWidth="1"/>
    <col min="15878" max="15878" width="13.42578125" customWidth="1"/>
    <col min="15879" max="15879" width="22.28515625" customWidth="1"/>
    <col min="15880" max="15880" width="24.42578125" customWidth="1"/>
    <col min="15881" max="15881" width="12.7109375" bestFit="1" customWidth="1"/>
    <col min="15882" max="15882" width="14.42578125" bestFit="1" customWidth="1"/>
    <col min="15883" max="15883" width="12.28515625" bestFit="1" customWidth="1"/>
    <col min="16131" max="16131" width="8.42578125" customWidth="1"/>
    <col min="16132" max="16132" width="41.28515625" customWidth="1"/>
    <col min="16133" max="16133" width="8.28515625" customWidth="1"/>
    <col min="16134" max="16134" width="13.42578125" customWidth="1"/>
    <col min="16135" max="16135" width="22.28515625" customWidth="1"/>
    <col min="16136" max="16136" width="24.42578125" customWidth="1"/>
    <col min="16137" max="16137" width="12.7109375" bestFit="1" customWidth="1"/>
    <col min="16138" max="16138" width="14.42578125" bestFit="1" customWidth="1"/>
    <col min="16139" max="16139" width="12.28515625" bestFit="1" customWidth="1"/>
  </cols>
  <sheetData>
    <row r="1" spans="1:8" ht="78" customHeight="1">
      <c r="A1" s="725" t="s">
        <v>195</v>
      </c>
      <c r="B1" s="726"/>
      <c r="C1" s="726"/>
      <c r="D1" s="726"/>
      <c r="E1" s="726"/>
      <c r="F1" s="726"/>
      <c r="G1" s="726"/>
      <c r="H1" s="727"/>
    </row>
    <row r="2" spans="1:8" ht="21.75" customHeight="1">
      <c r="A2" s="728" t="s">
        <v>147</v>
      </c>
      <c r="B2" s="729"/>
      <c r="C2" s="729"/>
      <c r="D2" s="729"/>
      <c r="E2" s="729"/>
      <c r="F2" s="729"/>
      <c r="G2" s="729"/>
      <c r="H2" s="730"/>
    </row>
    <row r="3" spans="1:8" ht="12.75" customHeight="1">
      <c r="A3" s="237"/>
      <c r="B3" s="284"/>
      <c r="C3" s="284"/>
      <c r="D3" s="284"/>
      <c r="E3" s="284"/>
      <c r="F3" s="284"/>
      <c r="G3" s="284"/>
      <c r="H3" s="238"/>
    </row>
    <row r="4" spans="1:8" ht="15.75">
      <c r="A4" s="237"/>
      <c r="B4" s="284"/>
      <c r="C4" s="737" t="s">
        <v>220</v>
      </c>
      <c r="D4" s="737"/>
      <c r="E4" s="737"/>
      <c r="F4" s="737"/>
      <c r="G4" s="737"/>
      <c r="H4" s="309">
        <v>5300000000</v>
      </c>
    </row>
    <row r="5" spans="1:8" ht="16.5">
      <c r="A5" s="237"/>
      <c r="B5" s="284"/>
      <c r="C5" s="736" t="s">
        <v>219</v>
      </c>
      <c r="D5" s="736"/>
      <c r="E5" s="736"/>
      <c r="F5" s="736"/>
      <c r="G5" s="736"/>
      <c r="H5" s="305">
        <f>H4*1.3</f>
        <v>6890000000</v>
      </c>
    </row>
    <row r="6" spans="1:8" ht="17.25" customHeight="1">
      <c r="A6" s="731" t="e">
        <f>'DISCRIMINACION INTER'!A3:G3</f>
        <v>#REF!</v>
      </c>
      <c r="B6" s="732"/>
      <c r="C6" s="732"/>
      <c r="D6" s="732"/>
      <c r="E6" s="732"/>
      <c r="F6" s="732"/>
      <c r="G6" s="732"/>
      <c r="H6" s="733"/>
    </row>
    <row r="7" spans="1:8" ht="16.5" customHeight="1">
      <c r="A7" s="731"/>
      <c r="B7" s="732"/>
      <c r="C7" s="732"/>
      <c r="D7" s="732"/>
      <c r="E7" s="732"/>
      <c r="F7" s="732"/>
      <c r="G7" s="732"/>
      <c r="H7" s="733"/>
    </row>
    <row r="8" spans="1:8" ht="33.75" customHeight="1">
      <c r="A8" s="301" t="s">
        <v>48</v>
      </c>
      <c r="B8" s="302" t="s">
        <v>132</v>
      </c>
      <c r="C8" s="303" t="s">
        <v>205</v>
      </c>
      <c r="D8" s="302" t="s">
        <v>319</v>
      </c>
      <c r="E8" s="303" t="s">
        <v>320</v>
      </c>
      <c r="F8" s="303" t="s">
        <v>321</v>
      </c>
      <c r="G8" s="303" t="s">
        <v>322</v>
      </c>
      <c r="H8" s="304" t="s">
        <v>204</v>
      </c>
    </row>
    <row r="9" spans="1:8" ht="18" customHeight="1">
      <c r="A9" s="239">
        <v>1</v>
      </c>
      <c r="B9" s="240" t="s">
        <v>214</v>
      </c>
      <c r="C9" s="240"/>
      <c r="D9" s="240"/>
      <c r="E9" s="240"/>
      <c r="F9" s="250"/>
      <c r="G9" s="250"/>
      <c r="H9" s="241"/>
    </row>
    <row r="10" spans="1:8" ht="18" customHeight="1">
      <c r="A10" s="239"/>
      <c r="B10" s="240" t="s">
        <v>336</v>
      </c>
      <c r="C10" s="240"/>
      <c r="D10" s="240"/>
      <c r="E10" s="240"/>
      <c r="F10" s="250"/>
      <c r="G10" s="250"/>
      <c r="H10" s="241"/>
    </row>
    <row r="11" spans="1:8" ht="18" customHeight="1">
      <c r="A11" s="291">
        <v>1.1000000000000001</v>
      </c>
      <c r="B11" s="285" t="s">
        <v>196</v>
      </c>
      <c r="C11" s="287">
        <v>1</v>
      </c>
      <c r="D11" s="288">
        <v>4000000</v>
      </c>
      <c r="E11" s="339">
        <v>0.6</v>
      </c>
      <c r="F11" s="339">
        <v>0.5</v>
      </c>
      <c r="G11" s="286">
        <v>12</v>
      </c>
      <c r="H11" s="292">
        <f>D11*(E11+1)*F11*G11</f>
        <v>38400000</v>
      </c>
    </row>
    <row r="12" spans="1:8" ht="18" customHeight="1">
      <c r="A12" s="291">
        <v>1.2</v>
      </c>
      <c r="B12" s="285" t="s">
        <v>206</v>
      </c>
      <c r="C12" s="287">
        <v>2</v>
      </c>
      <c r="D12" s="288">
        <v>2700000</v>
      </c>
      <c r="E12" s="339">
        <v>0.6</v>
      </c>
      <c r="F12" s="339">
        <v>1</v>
      </c>
      <c r="G12" s="286">
        <v>12</v>
      </c>
      <c r="H12" s="292">
        <f>D12*(E12+1)*F12*G12*C12</f>
        <v>103680000</v>
      </c>
    </row>
    <row r="13" spans="1:8" ht="18" customHeight="1">
      <c r="A13" s="291">
        <v>1.3</v>
      </c>
      <c r="B13" s="285" t="s">
        <v>207</v>
      </c>
      <c r="C13" s="287">
        <v>2</v>
      </c>
      <c r="D13" s="288">
        <v>900000</v>
      </c>
      <c r="E13" s="339">
        <v>0.6</v>
      </c>
      <c r="F13" s="339">
        <v>1</v>
      </c>
      <c r="G13" s="286">
        <v>12</v>
      </c>
      <c r="H13" s="292">
        <f>D13*(E13+1)*F13*G13*C13</f>
        <v>34560000</v>
      </c>
    </row>
    <row r="14" spans="1:8" ht="18" customHeight="1">
      <c r="A14" s="291">
        <v>1.4</v>
      </c>
      <c r="B14" s="285" t="s">
        <v>208</v>
      </c>
      <c r="C14" s="287">
        <v>1</v>
      </c>
      <c r="D14" s="288">
        <v>1000000</v>
      </c>
      <c r="E14" s="339">
        <v>0.6</v>
      </c>
      <c r="F14" s="339">
        <v>1</v>
      </c>
      <c r="G14" s="286">
        <v>12</v>
      </c>
      <c r="H14" s="292">
        <f>D14*(E14+1)*F14*G14</f>
        <v>19200000</v>
      </c>
    </row>
    <row r="15" spans="1:8" ht="18" customHeight="1">
      <c r="A15" s="291">
        <v>1.5</v>
      </c>
      <c r="B15" s="285" t="s">
        <v>197</v>
      </c>
      <c r="C15" s="287">
        <v>1</v>
      </c>
      <c r="D15" s="288">
        <v>800000</v>
      </c>
      <c r="E15" s="339">
        <v>0.6</v>
      </c>
      <c r="F15" s="339">
        <v>1</v>
      </c>
      <c r="G15" s="286">
        <v>12</v>
      </c>
      <c r="H15" s="292">
        <f t="shared" ref="H15:H23" si="0">D15*(E15+1)*F15*G15</f>
        <v>15360000</v>
      </c>
    </row>
    <row r="16" spans="1:8" ht="18" customHeight="1">
      <c r="A16" s="291">
        <v>1.6</v>
      </c>
      <c r="B16" s="285" t="s">
        <v>198</v>
      </c>
      <c r="C16" s="287">
        <v>1</v>
      </c>
      <c r="D16" s="288">
        <v>2500000</v>
      </c>
      <c r="E16" s="339">
        <v>0.6</v>
      </c>
      <c r="F16" s="339">
        <v>0.3</v>
      </c>
      <c r="G16" s="286">
        <v>12</v>
      </c>
      <c r="H16" s="292">
        <f>D16*(E16+1)*F16*G16</f>
        <v>14400000</v>
      </c>
    </row>
    <row r="17" spans="1:11" ht="18" customHeight="1">
      <c r="A17" s="291">
        <v>1.7</v>
      </c>
      <c r="B17" s="285" t="s">
        <v>199</v>
      </c>
      <c r="C17" s="287">
        <v>1</v>
      </c>
      <c r="D17" s="288">
        <v>2500000</v>
      </c>
      <c r="E17" s="339">
        <v>0.6</v>
      </c>
      <c r="F17" s="339">
        <v>0.3</v>
      </c>
      <c r="G17" s="286">
        <v>12</v>
      </c>
      <c r="H17" s="292">
        <f t="shared" si="0"/>
        <v>14400000</v>
      </c>
    </row>
    <row r="18" spans="1:11" ht="18" customHeight="1">
      <c r="A18" s="291">
        <v>1.8</v>
      </c>
      <c r="B18" s="343" t="s">
        <v>318</v>
      </c>
      <c r="C18" s="342">
        <v>1</v>
      </c>
      <c r="D18" s="344">
        <v>2500000</v>
      </c>
      <c r="E18" s="345">
        <v>0.6</v>
      </c>
      <c r="F18" s="345">
        <v>0.4</v>
      </c>
      <c r="G18" s="341">
        <v>12</v>
      </c>
      <c r="H18" s="340">
        <f t="shared" si="0"/>
        <v>19200000</v>
      </c>
    </row>
    <row r="19" spans="1:11" ht="18" customHeight="1">
      <c r="A19" s="291">
        <v>1.9</v>
      </c>
      <c r="B19" s="285" t="s">
        <v>200</v>
      </c>
      <c r="C19" s="287">
        <v>1</v>
      </c>
      <c r="D19" s="288">
        <v>900000</v>
      </c>
      <c r="E19" s="339">
        <v>0.6</v>
      </c>
      <c r="F19" s="339">
        <v>0.3</v>
      </c>
      <c r="G19" s="286">
        <v>12</v>
      </c>
      <c r="H19" s="292">
        <f t="shared" si="0"/>
        <v>5184000</v>
      </c>
    </row>
    <row r="20" spans="1:11" ht="18" customHeight="1">
      <c r="A20" s="293">
        <v>1.1000000000000001</v>
      </c>
      <c r="B20" s="285" t="s">
        <v>201</v>
      </c>
      <c r="C20" s="287">
        <v>1</v>
      </c>
      <c r="D20" s="288">
        <v>800000</v>
      </c>
      <c r="E20" s="339">
        <v>0.6</v>
      </c>
      <c r="F20" s="339">
        <v>1</v>
      </c>
      <c r="G20" s="286">
        <v>12</v>
      </c>
      <c r="H20" s="292">
        <f t="shared" si="0"/>
        <v>15360000</v>
      </c>
    </row>
    <row r="21" spans="1:11" ht="18" customHeight="1">
      <c r="A21" s="293">
        <v>1.1100000000000001</v>
      </c>
      <c r="B21" s="285" t="s">
        <v>337</v>
      </c>
      <c r="C21" s="287">
        <v>1</v>
      </c>
      <c r="D21" s="288">
        <v>800000</v>
      </c>
      <c r="E21" s="339">
        <v>0.6</v>
      </c>
      <c r="F21" s="339">
        <v>1</v>
      </c>
      <c r="G21" s="286">
        <v>12</v>
      </c>
      <c r="H21" s="292">
        <f t="shared" si="0"/>
        <v>15360000</v>
      </c>
    </row>
    <row r="22" spans="1:11" ht="18" customHeight="1">
      <c r="A22" s="293">
        <v>1.1200000000000001</v>
      </c>
      <c r="B22" s="285" t="s">
        <v>354</v>
      </c>
      <c r="C22" s="287">
        <v>1</v>
      </c>
      <c r="D22" s="288">
        <v>3500000</v>
      </c>
      <c r="E22" s="339">
        <v>0.6</v>
      </c>
      <c r="F22" s="339">
        <v>0.4</v>
      </c>
      <c r="G22" s="286">
        <v>12</v>
      </c>
      <c r="H22" s="292">
        <f t="shared" si="0"/>
        <v>26880000</v>
      </c>
    </row>
    <row r="23" spans="1:11" ht="18" customHeight="1">
      <c r="A23" s="293">
        <v>1.1299999999999999</v>
      </c>
      <c r="B23" s="285" t="s">
        <v>209</v>
      </c>
      <c r="C23" s="287">
        <v>1</v>
      </c>
      <c r="D23" s="288">
        <v>1200000</v>
      </c>
      <c r="E23" s="339">
        <v>0.6</v>
      </c>
      <c r="F23" s="339">
        <v>0.6</v>
      </c>
      <c r="G23" s="286">
        <v>12</v>
      </c>
      <c r="H23" s="292">
        <f t="shared" si="0"/>
        <v>13824000</v>
      </c>
    </row>
    <row r="24" spans="1:11" ht="18" customHeight="1">
      <c r="A24" s="294"/>
      <c r="B24" s="240" t="s">
        <v>210</v>
      </c>
      <c r="C24" s="240"/>
      <c r="D24" s="240"/>
      <c r="E24" s="240"/>
      <c r="F24" s="240"/>
      <c r="G24" s="240"/>
      <c r="H24" s="308">
        <f>SUM(H11:H23)</f>
        <v>335808000</v>
      </c>
    </row>
    <row r="25" spans="1:11" ht="18" customHeight="1">
      <c r="A25" s="239"/>
      <c r="B25" s="240" t="s">
        <v>323</v>
      </c>
      <c r="C25" s="240"/>
      <c r="D25" s="240"/>
      <c r="E25" s="240"/>
      <c r="F25" s="240"/>
      <c r="G25" s="240"/>
      <c r="H25" s="241"/>
    </row>
    <row r="26" spans="1:11" ht="18" customHeight="1">
      <c r="A26" s="293">
        <v>1.1499999999999999</v>
      </c>
      <c r="B26" s="285" t="s">
        <v>324</v>
      </c>
      <c r="C26" s="287">
        <v>1</v>
      </c>
      <c r="D26" s="288">
        <v>1000000</v>
      </c>
      <c r="E26" s="287"/>
      <c r="F26" s="339">
        <v>1</v>
      </c>
      <c r="G26" s="286">
        <v>12</v>
      </c>
      <c r="H26" s="292">
        <f>D26*F26*G26</f>
        <v>12000000</v>
      </c>
    </row>
    <row r="27" spans="1:11" ht="18" customHeight="1">
      <c r="A27" s="293">
        <v>1.1599999999999999</v>
      </c>
      <c r="B27" s="285" t="s">
        <v>325</v>
      </c>
      <c r="C27" s="287">
        <v>1</v>
      </c>
      <c r="D27" s="288">
        <v>1000000</v>
      </c>
      <c r="E27" s="287"/>
      <c r="F27" s="339">
        <v>1</v>
      </c>
      <c r="G27" s="286">
        <v>12</v>
      </c>
      <c r="H27" s="292">
        <f t="shared" ref="H27:H38" si="1">D27*F27*G27</f>
        <v>12000000</v>
      </c>
    </row>
    <row r="28" spans="1:11" ht="18" customHeight="1">
      <c r="A28" s="293">
        <v>1.17</v>
      </c>
      <c r="B28" s="285" t="s">
        <v>326</v>
      </c>
      <c r="C28" s="287">
        <v>1</v>
      </c>
      <c r="D28" s="288">
        <v>2500000</v>
      </c>
      <c r="E28" s="287"/>
      <c r="F28" s="339">
        <v>1</v>
      </c>
      <c r="G28" s="286">
        <v>12</v>
      </c>
      <c r="H28" s="292">
        <f t="shared" si="1"/>
        <v>30000000</v>
      </c>
    </row>
    <row r="29" spans="1:11" ht="18" customHeight="1">
      <c r="A29" s="293">
        <v>1.18</v>
      </c>
      <c r="B29" s="285" t="s">
        <v>327</v>
      </c>
      <c r="C29" s="287">
        <v>1</v>
      </c>
      <c r="D29" s="288">
        <v>4000000</v>
      </c>
      <c r="E29" s="287"/>
      <c r="F29" s="339">
        <v>1</v>
      </c>
      <c r="G29" s="286">
        <v>12</v>
      </c>
      <c r="H29" s="292">
        <f t="shared" si="1"/>
        <v>48000000</v>
      </c>
    </row>
    <row r="30" spans="1:11" ht="18" customHeight="1">
      <c r="A30" s="293">
        <v>1.19</v>
      </c>
      <c r="B30" s="285" t="s">
        <v>328</v>
      </c>
      <c r="C30" s="287">
        <v>1</v>
      </c>
      <c r="D30" s="288">
        <v>1000000</v>
      </c>
      <c r="E30" s="287"/>
      <c r="F30" s="339">
        <v>1</v>
      </c>
      <c r="G30" s="286">
        <v>12</v>
      </c>
      <c r="H30" s="292">
        <f t="shared" si="1"/>
        <v>12000000</v>
      </c>
    </row>
    <row r="31" spans="1:11" s="244" customFormat="1" ht="18" customHeight="1">
      <c r="A31" s="293">
        <v>1.2</v>
      </c>
      <c r="B31" s="285" t="s">
        <v>329</v>
      </c>
      <c r="C31" s="287">
        <v>1</v>
      </c>
      <c r="D31" s="288">
        <v>1500000</v>
      </c>
      <c r="E31" s="287"/>
      <c r="F31" s="339">
        <v>1</v>
      </c>
      <c r="G31" s="286">
        <v>12</v>
      </c>
      <c r="H31" s="292">
        <f t="shared" si="1"/>
        <v>18000000</v>
      </c>
      <c r="J31" s="245"/>
      <c r="K31" s="245"/>
    </row>
    <row r="32" spans="1:11" ht="18" customHeight="1">
      <c r="A32" s="293">
        <v>1.21</v>
      </c>
      <c r="B32" s="285" t="s">
        <v>330</v>
      </c>
      <c r="C32" s="287">
        <v>1</v>
      </c>
      <c r="D32" s="288">
        <v>1000000</v>
      </c>
      <c r="E32" s="287"/>
      <c r="F32" s="339">
        <v>1</v>
      </c>
      <c r="G32" s="286">
        <v>12</v>
      </c>
      <c r="H32" s="292">
        <f t="shared" si="1"/>
        <v>12000000</v>
      </c>
    </row>
    <row r="33" spans="1:9" s="244" customFormat="1" ht="18" customHeight="1">
      <c r="A33" s="293">
        <v>1.22</v>
      </c>
      <c r="B33" s="285" t="s">
        <v>155</v>
      </c>
      <c r="C33" s="287">
        <v>1</v>
      </c>
      <c r="D33" s="288">
        <v>1000000</v>
      </c>
      <c r="E33" s="287"/>
      <c r="F33" s="339">
        <v>1</v>
      </c>
      <c r="G33" s="286">
        <v>12</v>
      </c>
      <c r="H33" s="292">
        <f t="shared" si="1"/>
        <v>12000000</v>
      </c>
    </row>
    <row r="34" spans="1:9" s="244" customFormat="1" ht="18" customHeight="1">
      <c r="A34" s="293">
        <v>1.23</v>
      </c>
      <c r="B34" s="285" t="s">
        <v>331</v>
      </c>
      <c r="C34" s="287">
        <v>1</v>
      </c>
      <c r="D34" s="288">
        <v>1000000</v>
      </c>
      <c r="E34" s="287"/>
      <c r="F34" s="339">
        <v>1</v>
      </c>
      <c r="G34" s="286">
        <v>12</v>
      </c>
      <c r="H34" s="292">
        <f t="shared" si="1"/>
        <v>12000000</v>
      </c>
    </row>
    <row r="35" spans="1:9" s="244" customFormat="1" ht="18" customHeight="1">
      <c r="A35" s="293">
        <v>1.24</v>
      </c>
      <c r="B35" s="285" t="s">
        <v>332</v>
      </c>
      <c r="C35" s="287">
        <v>1</v>
      </c>
      <c r="D35" s="288">
        <v>2000000</v>
      </c>
      <c r="E35" s="287"/>
      <c r="F35" s="339">
        <v>1</v>
      </c>
      <c r="G35" s="286">
        <v>12</v>
      </c>
      <c r="H35" s="292">
        <f t="shared" si="1"/>
        <v>24000000</v>
      </c>
    </row>
    <row r="36" spans="1:9" s="244" customFormat="1" ht="18" customHeight="1">
      <c r="A36" s="293">
        <v>1.25</v>
      </c>
      <c r="B36" s="285" t="s">
        <v>334</v>
      </c>
      <c r="C36" s="287">
        <v>1</v>
      </c>
      <c r="D36" s="344">
        <v>3000000</v>
      </c>
      <c r="E36" s="287"/>
      <c r="F36" s="339">
        <v>1</v>
      </c>
      <c r="G36" s="286">
        <v>12</v>
      </c>
      <c r="H36" s="292">
        <f t="shared" si="1"/>
        <v>36000000</v>
      </c>
    </row>
    <row r="37" spans="1:9" s="244" customFormat="1" ht="18" customHeight="1">
      <c r="A37" s="293">
        <v>1.26</v>
      </c>
      <c r="B37" s="285" t="s">
        <v>333</v>
      </c>
      <c r="C37" s="287">
        <v>1</v>
      </c>
      <c r="D37" s="288">
        <v>1500000</v>
      </c>
      <c r="E37" s="287"/>
      <c r="F37" s="339">
        <v>1</v>
      </c>
      <c r="G37" s="286">
        <v>1</v>
      </c>
      <c r="H37" s="292">
        <f t="shared" si="1"/>
        <v>1500000</v>
      </c>
    </row>
    <row r="38" spans="1:9" ht="18" customHeight="1">
      <c r="A38" s="293">
        <v>1.27</v>
      </c>
      <c r="B38" s="285" t="s">
        <v>335</v>
      </c>
      <c r="C38" s="287">
        <v>1</v>
      </c>
      <c r="D38" s="288">
        <v>2000000</v>
      </c>
      <c r="E38" s="240"/>
      <c r="F38" s="339">
        <v>1</v>
      </c>
      <c r="G38" s="286">
        <v>1</v>
      </c>
      <c r="H38" s="292">
        <f t="shared" si="1"/>
        <v>2000000</v>
      </c>
    </row>
    <row r="39" spans="1:9" ht="18" customHeight="1">
      <c r="A39" s="294"/>
      <c r="B39" s="240" t="s">
        <v>210</v>
      </c>
      <c r="C39" s="240"/>
      <c r="D39" s="240"/>
      <c r="E39" s="240"/>
      <c r="F39" s="240"/>
      <c r="G39" s="240"/>
      <c r="H39" s="295">
        <f>SUM(H26:H38)</f>
        <v>231500000</v>
      </c>
    </row>
    <row r="40" spans="1:9" ht="21" customHeight="1">
      <c r="A40" s="239"/>
      <c r="B40" s="240" t="s">
        <v>211</v>
      </c>
      <c r="C40" s="240"/>
      <c r="D40" s="310"/>
      <c r="E40" s="240"/>
      <c r="F40" s="240"/>
      <c r="G40" s="240"/>
      <c r="H40" s="241"/>
    </row>
    <row r="41" spans="1:9" ht="18" customHeight="1">
      <c r="A41" s="293">
        <v>1.28</v>
      </c>
      <c r="B41" s="285" t="s">
        <v>213</v>
      </c>
      <c r="C41" s="287"/>
      <c r="D41" s="348">
        <f>H5</f>
        <v>6890000000</v>
      </c>
      <c r="E41" s="287"/>
      <c r="F41" s="350">
        <v>7.0000000000000001E-3</v>
      </c>
      <c r="G41" s="306"/>
      <c r="H41" s="292">
        <f>D41*F41</f>
        <v>48230000</v>
      </c>
    </row>
    <row r="42" spans="1:9" ht="18" customHeight="1">
      <c r="A42" s="293">
        <v>1.29</v>
      </c>
      <c r="B42" s="285" t="s">
        <v>212</v>
      </c>
      <c r="C42" s="287"/>
      <c r="D42" s="348"/>
      <c r="E42" s="287"/>
      <c r="F42" s="339"/>
      <c r="G42" s="307"/>
      <c r="H42" s="292"/>
      <c r="I42" s="351"/>
    </row>
    <row r="43" spans="1:9" ht="18" customHeight="1">
      <c r="A43" s="293" t="s">
        <v>338</v>
      </c>
      <c r="B43" s="285" t="s">
        <v>343</v>
      </c>
      <c r="C43" s="287"/>
      <c r="D43" s="348">
        <f>H5</f>
        <v>6890000000</v>
      </c>
      <c r="E43" s="287"/>
      <c r="F43" s="350">
        <v>0.01</v>
      </c>
      <c r="G43" s="306"/>
      <c r="H43" s="292">
        <f t="shared" ref="H43:H48" si="2">D43*F43</f>
        <v>68900000</v>
      </c>
      <c r="I43" s="351"/>
    </row>
    <row r="44" spans="1:9" ht="18" customHeight="1">
      <c r="A44" s="293" t="s">
        <v>339</v>
      </c>
      <c r="B44" s="285" t="s">
        <v>344</v>
      </c>
      <c r="C44" s="287"/>
      <c r="D44" s="348">
        <f>H5</f>
        <v>6890000000</v>
      </c>
      <c r="E44" s="287"/>
      <c r="F44" s="350">
        <v>1.4999999999999999E-2</v>
      </c>
      <c r="G44" s="306"/>
      <c r="H44" s="292">
        <f t="shared" si="2"/>
        <v>103350000</v>
      </c>
      <c r="I44" s="351"/>
    </row>
    <row r="45" spans="1:9" ht="18" customHeight="1">
      <c r="A45" s="293" t="s">
        <v>340</v>
      </c>
      <c r="B45" s="285" t="s">
        <v>345</v>
      </c>
      <c r="C45" s="287"/>
      <c r="D45" s="348">
        <f>H5</f>
        <v>6890000000</v>
      </c>
      <c r="E45" s="287"/>
      <c r="F45" s="350">
        <v>7.0000000000000001E-3</v>
      </c>
      <c r="G45" s="286"/>
      <c r="H45" s="292">
        <f t="shared" si="2"/>
        <v>48230000</v>
      </c>
      <c r="I45" s="351"/>
    </row>
    <row r="46" spans="1:9" ht="18" customHeight="1">
      <c r="A46" s="293" t="s">
        <v>341</v>
      </c>
      <c r="B46" s="285" t="s">
        <v>346</v>
      </c>
      <c r="C46" s="287"/>
      <c r="D46" s="348">
        <f>H5</f>
        <v>6890000000</v>
      </c>
      <c r="E46" s="287"/>
      <c r="F46" s="350">
        <v>5.0000000000000001E-3</v>
      </c>
      <c r="G46" s="286"/>
      <c r="H46" s="292">
        <f t="shared" si="2"/>
        <v>34450000</v>
      </c>
    </row>
    <row r="47" spans="1:9" ht="18" customHeight="1">
      <c r="A47" s="293">
        <v>1.3</v>
      </c>
      <c r="B47" s="285" t="s">
        <v>202</v>
      </c>
      <c r="C47" s="287"/>
      <c r="D47" s="349"/>
      <c r="E47" s="287"/>
      <c r="F47" s="350"/>
      <c r="G47" s="307"/>
      <c r="H47" s="292"/>
    </row>
    <row r="48" spans="1:9" ht="18" customHeight="1">
      <c r="A48" s="293" t="s">
        <v>342</v>
      </c>
      <c r="B48" s="285" t="s">
        <v>203</v>
      </c>
      <c r="C48" s="287"/>
      <c r="D48" s="348">
        <f>H5</f>
        <v>6890000000</v>
      </c>
      <c r="E48" s="287"/>
      <c r="F48" s="339">
        <v>0.05</v>
      </c>
      <c r="G48" s="286"/>
      <c r="H48" s="292">
        <f t="shared" si="2"/>
        <v>344500000</v>
      </c>
    </row>
    <row r="49" spans="1:11" ht="18" customHeight="1">
      <c r="A49" s="294"/>
      <c r="B49" s="240" t="s">
        <v>210</v>
      </c>
      <c r="C49" s="240"/>
      <c r="D49" s="347"/>
      <c r="E49" s="240"/>
      <c r="F49" s="339"/>
      <c r="G49" s="240"/>
      <c r="H49" s="308">
        <f>SUM(H41:H48)</f>
        <v>647660000</v>
      </c>
    </row>
    <row r="50" spans="1:11" ht="18" customHeight="1">
      <c r="A50" s="296"/>
      <c r="B50" s="240" t="s">
        <v>215</v>
      </c>
      <c r="C50" s="287"/>
      <c r="D50" s="346"/>
      <c r="E50" s="287"/>
      <c r="F50" s="339"/>
      <c r="G50" s="286"/>
      <c r="H50" s="295">
        <f>H24+H39+H49</f>
        <v>1214968000</v>
      </c>
      <c r="J50" s="289"/>
    </row>
    <row r="51" spans="1:11" ht="18" customHeight="1">
      <c r="A51" s="239">
        <v>2</v>
      </c>
      <c r="B51" s="240" t="s">
        <v>216</v>
      </c>
      <c r="C51" s="240"/>
      <c r="D51" s="347"/>
      <c r="E51" s="240"/>
      <c r="F51" s="339"/>
      <c r="G51" s="286"/>
      <c r="H51" s="247"/>
      <c r="I51" s="251"/>
    </row>
    <row r="52" spans="1:11" ht="18" customHeight="1">
      <c r="A52" s="242">
        <v>2.1</v>
      </c>
      <c r="B52" s="243" t="s">
        <v>149</v>
      </c>
      <c r="C52" s="243"/>
      <c r="D52" s="348">
        <f>H4</f>
        <v>5300000000</v>
      </c>
      <c r="E52" s="243"/>
      <c r="F52" s="345">
        <v>0.05</v>
      </c>
      <c r="G52" s="286"/>
      <c r="H52" s="292">
        <f>D52*F52</f>
        <v>265000000</v>
      </c>
      <c r="I52" s="251"/>
      <c r="J52" s="251"/>
    </row>
    <row r="53" spans="1:11" ht="18" customHeight="1">
      <c r="A53" s="239" t="s">
        <v>141</v>
      </c>
      <c r="B53" s="240" t="s">
        <v>221</v>
      </c>
      <c r="C53" s="240"/>
      <c r="D53" s="348"/>
      <c r="E53" s="240"/>
      <c r="F53" s="345"/>
      <c r="G53" s="246"/>
      <c r="H53" s="308">
        <f>H52</f>
        <v>265000000</v>
      </c>
      <c r="I53" s="252"/>
      <c r="J53" s="253"/>
      <c r="K53" s="236"/>
    </row>
    <row r="54" spans="1:11" ht="18" customHeight="1">
      <c r="A54" s="239">
        <v>3</v>
      </c>
      <c r="B54" s="240" t="s">
        <v>217</v>
      </c>
      <c r="C54" s="240"/>
      <c r="D54" s="348"/>
      <c r="E54" s="240"/>
      <c r="F54" s="345"/>
      <c r="G54" s="286"/>
      <c r="H54" s="292"/>
      <c r="I54" s="252"/>
      <c r="J54" s="254"/>
    </row>
    <row r="55" spans="1:11" ht="18" customHeight="1">
      <c r="A55" s="242">
        <v>3.1</v>
      </c>
      <c r="B55" s="243" t="s">
        <v>150</v>
      </c>
      <c r="C55" s="243"/>
      <c r="D55" s="348">
        <f>H4</f>
        <v>5300000000</v>
      </c>
      <c r="E55" s="243"/>
      <c r="F55" s="345">
        <v>0.05</v>
      </c>
      <c r="G55" s="286"/>
      <c r="H55" s="292">
        <f>D55*F55</f>
        <v>265000000</v>
      </c>
      <c r="I55" s="252"/>
      <c r="J55" s="254"/>
    </row>
    <row r="56" spans="1:11" ht="18" customHeight="1">
      <c r="A56" s="239" t="s">
        <v>141</v>
      </c>
      <c r="B56" s="240" t="s">
        <v>222</v>
      </c>
      <c r="C56" s="240"/>
      <c r="D56" s="240"/>
      <c r="E56" s="240"/>
      <c r="F56" s="345"/>
      <c r="G56" s="246"/>
      <c r="H56" s="247">
        <f>H55</f>
        <v>265000000</v>
      </c>
      <c r="I56" s="252"/>
      <c r="J56" s="254"/>
      <c r="K56" s="249"/>
    </row>
    <row r="57" spans="1:11" ht="18" customHeight="1" thickBot="1">
      <c r="A57" s="297" t="s">
        <v>141</v>
      </c>
      <c r="B57" s="298" t="s">
        <v>218</v>
      </c>
      <c r="C57" s="298"/>
      <c r="D57" s="298"/>
      <c r="E57" s="298"/>
      <c r="F57" s="339"/>
      <c r="G57" s="299"/>
      <c r="H57" s="300">
        <f>H50+H53+H56</f>
        <v>1744968000</v>
      </c>
      <c r="I57" s="290"/>
      <c r="J57" s="248"/>
      <c r="K57" s="236"/>
    </row>
    <row r="58" spans="1:11" ht="15.75">
      <c r="A58" s="255"/>
      <c r="B58" s="255"/>
      <c r="C58" s="255"/>
      <c r="D58" s="255"/>
      <c r="E58" s="255"/>
      <c r="F58" s="255"/>
      <c r="G58" s="255"/>
      <c r="H58" s="255"/>
      <c r="I58" s="256"/>
    </row>
    <row r="59" spans="1:11" ht="15.75" customHeight="1">
      <c r="A59" s="257"/>
      <c r="B59" s="257"/>
      <c r="C59" s="257"/>
      <c r="D59" s="257"/>
      <c r="E59" s="257"/>
      <c r="F59" s="257"/>
      <c r="G59" s="257"/>
      <c r="H59" s="257"/>
      <c r="I59" s="256"/>
    </row>
    <row r="60" spans="1:11" s="198" customFormat="1" ht="15.75">
      <c r="A60" s="199" t="s">
        <v>193</v>
      </c>
      <c r="B60" s="199"/>
      <c r="C60" s="200"/>
      <c r="D60" s="200"/>
      <c r="E60" s="200"/>
      <c r="F60" s="734"/>
      <c r="G60" s="734"/>
    </row>
    <row r="61" spans="1:11" s="198" customFormat="1" ht="15.75">
      <c r="A61" s="199" t="s">
        <v>194</v>
      </c>
      <c r="B61" s="199"/>
      <c r="C61" s="200"/>
      <c r="D61" s="200"/>
      <c r="E61" s="200"/>
      <c r="F61" s="735"/>
      <c r="G61" s="735"/>
    </row>
    <row r="62" spans="1:11" ht="15.75">
      <c r="A62" s="257"/>
      <c r="B62" s="257"/>
      <c r="C62" s="257"/>
      <c r="D62" s="257"/>
      <c r="E62" s="257"/>
      <c r="F62" s="257"/>
      <c r="G62" s="257"/>
      <c r="H62" s="257"/>
    </row>
    <row r="63" spans="1:11" ht="15.75">
      <c r="A63" s="260"/>
      <c r="B63" s="260"/>
      <c r="C63" s="260"/>
      <c r="D63" s="260"/>
      <c r="E63" s="260"/>
      <c r="F63" s="260"/>
      <c r="G63" s="260"/>
      <c r="H63" s="260"/>
    </row>
    <row r="64" spans="1:11" ht="15.75">
      <c r="A64" s="260"/>
      <c r="B64" s="260"/>
      <c r="C64" s="260"/>
      <c r="D64" s="260"/>
      <c r="E64" s="260"/>
      <c r="F64" s="260"/>
      <c r="G64" s="260"/>
      <c r="H64" s="261"/>
    </row>
    <row r="65" spans="1:8" ht="15.75">
      <c r="A65" s="257"/>
      <c r="B65" s="257"/>
      <c r="C65" s="257"/>
      <c r="D65" s="257"/>
      <c r="E65" s="257"/>
      <c r="F65" s="257"/>
      <c r="G65" s="257"/>
      <c r="H65" s="262"/>
    </row>
    <row r="66" spans="1:8" ht="15.75">
      <c r="A66" s="257"/>
      <c r="B66" s="257"/>
      <c r="C66" s="257"/>
      <c r="D66" s="257"/>
      <c r="E66" s="257"/>
      <c r="F66" s="257"/>
      <c r="G66" s="257"/>
      <c r="H66" s="257"/>
    </row>
    <row r="67" spans="1:8" ht="15.75">
      <c r="A67" s="257"/>
      <c r="B67" s="257"/>
      <c r="C67" s="257"/>
      <c r="D67" s="257"/>
      <c r="E67" s="257"/>
      <c r="F67" s="257"/>
      <c r="G67" s="257"/>
      <c r="H67" s="257"/>
    </row>
    <row r="68" spans="1:8" ht="15.75">
      <c r="A68" s="258"/>
      <c r="B68" s="258"/>
      <c r="C68" s="258"/>
      <c r="D68" s="258"/>
      <c r="E68" s="258"/>
      <c r="F68" s="258"/>
      <c r="G68" s="258"/>
      <c r="H68" s="257"/>
    </row>
    <row r="69" spans="1:8" ht="15.75">
      <c r="A69" s="260"/>
      <c r="B69" s="260"/>
      <c r="C69" s="260"/>
      <c r="D69" s="260"/>
      <c r="E69" s="260"/>
      <c r="F69" s="260"/>
      <c r="G69" s="260"/>
      <c r="H69" s="260"/>
    </row>
    <row r="70" spans="1:8" ht="15.75">
      <c r="A70" s="257"/>
      <c r="B70" s="257"/>
      <c r="C70" s="257"/>
      <c r="D70" s="257"/>
      <c r="E70" s="257"/>
      <c r="F70" s="257"/>
      <c r="G70" s="257"/>
      <c r="H70" s="261"/>
    </row>
    <row r="71" spans="1:8" ht="15.75">
      <c r="A71" s="257"/>
      <c r="B71" s="257"/>
      <c r="C71" s="257"/>
      <c r="D71" s="257"/>
      <c r="E71" s="257"/>
      <c r="F71" s="257"/>
      <c r="G71" s="257"/>
      <c r="H71" s="263"/>
    </row>
    <row r="72" spans="1:8" ht="15.75">
      <c r="A72" s="257"/>
      <c r="B72" s="257"/>
      <c r="C72" s="257"/>
      <c r="D72" s="257"/>
      <c r="E72" s="257"/>
      <c r="F72" s="257"/>
      <c r="G72" s="257"/>
      <c r="H72" s="263"/>
    </row>
    <row r="73" spans="1:8" ht="15.75">
      <c r="A73" s="257"/>
      <c r="B73" s="257"/>
      <c r="C73" s="257"/>
      <c r="D73" s="257"/>
      <c r="E73" s="257"/>
      <c r="F73" s="257"/>
      <c r="G73" s="257"/>
      <c r="H73" s="263"/>
    </row>
    <row r="74" spans="1:8" ht="15.75">
      <c r="A74" s="257"/>
      <c r="B74" s="257"/>
      <c r="C74" s="257"/>
      <c r="D74" s="257"/>
      <c r="E74" s="257"/>
      <c r="F74" s="257"/>
      <c r="G74" s="257"/>
      <c r="H74" s="264"/>
    </row>
    <row r="75" spans="1:8" ht="15.75">
      <c r="A75" s="257"/>
      <c r="B75" s="257"/>
      <c r="C75" s="257"/>
      <c r="D75" s="257"/>
      <c r="E75" s="257"/>
      <c r="F75" s="257"/>
      <c r="G75" s="257"/>
      <c r="H75" s="257"/>
    </row>
    <row r="76" spans="1:8" ht="15.75">
      <c r="A76" s="258"/>
      <c r="B76" s="258"/>
      <c r="C76" s="258"/>
      <c r="D76" s="258"/>
      <c r="E76" s="258"/>
      <c r="F76" s="258"/>
      <c r="G76" s="258"/>
      <c r="H76" s="257"/>
    </row>
    <row r="77" spans="1:8" ht="15.75">
      <c r="A77" s="260"/>
      <c r="B77" s="260"/>
      <c r="C77" s="260"/>
      <c r="D77" s="260"/>
      <c r="E77" s="260"/>
      <c r="F77" s="260"/>
      <c r="G77" s="260"/>
      <c r="H77" s="260"/>
    </row>
    <row r="78" spans="1:8" ht="15.75">
      <c r="A78" s="257"/>
      <c r="B78" s="257"/>
      <c r="C78" s="257"/>
      <c r="D78" s="257"/>
      <c r="E78" s="257"/>
      <c r="F78" s="257"/>
      <c r="G78" s="257"/>
      <c r="H78" s="262"/>
    </row>
    <row r="79" spans="1:8" ht="15.75">
      <c r="A79" s="257"/>
      <c r="B79" s="257"/>
      <c r="C79" s="257"/>
      <c r="D79" s="257"/>
      <c r="E79" s="257"/>
      <c r="F79" s="257"/>
      <c r="G79" s="257"/>
      <c r="H79" s="262"/>
    </row>
    <row r="80" spans="1:8" ht="15.75">
      <c r="A80" s="257"/>
      <c r="B80" s="257"/>
      <c r="C80" s="257"/>
      <c r="D80" s="257"/>
      <c r="E80" s="257"/>
      <c r="F80" s="257"/>
      <c r="G80" s="257"/>
      <c r="H80" s="262"/>
    </row>
    <row r="81" spans="1:8" ht="15.75">
      <c r="A81" s="257"/>
      <c r="B81" s="257"/>
      <c r="C81" s="257"/>
      <c r="D81" s="257"/>
      <c r="E81" s="257"/>
      <c r="F81" s="257"/>
      <c r="G81" s="257"/>
      <c r="H81" s="257"/>
    </row>
    <row r="82" spans="1:8" ht="15.75">
      <c r="A82" s="257"/>
      <c r="B82" s="257"/>
      <c r="C82" s="257"/>
      <c r="D82" s="257"/>
      <c r="E82" s="257"/>
      <c r="F82" s="257"/>
      <c r="G82" s="257"/>
      <c r="H82" s="257"/>
    </row>
    <row r="83" spans="1:8" ht="15.75">
      <c r="A83" s="257"/>
      <c r="B83" s="257"/>
      <c r="C83" s="257"/>
      <c r="D83" s="257"/>
      <c r="E83" s="257"/>
      <c r="F83" s="257"/>
      <c r="G83" s="257"/>
      <c r="H83" s="257"/>
    </row>
    <row r="84" spans="1:8" ht="15.75">
      <c r="A84" s="258"/>
      <c r="B84" s="258"/>
      <c r="C84" s="258"/>
      <c r="D84" s="258"/>
      <c r="E84" s="258"/>
      <c r="F84" s="258"/>
      <c r="G84" s="258"/>
      <c r="H84" s="257"/>
    </row>
    <row r="85" spans="1:8" ht="15.75">
      <c r="A85" s="260"/>
      <c r="B85" s="260"/>
      <c r="C85" s="260"/>
      <c r="D85" s="260"/>
      <c r="E85" s="260"/>
      <c r="F85" s="260"/>
      <c r="G85" s="260"/>
      <c r="H85" s="260"/>
    </row>
    <row r="86" spans="1:8" ht="15.75">
      <c r="A86" s="257"/>
      <c r="B86" s="262"/>
      <c r="C86" s="262"/>
      <c r="D86" s="262"/>
      <c r="E86" s="262"/>
      <c r="F86" s="262"/>
      <c r="G86" s="262"/>
      <c r="H86" s="265"/>
    </row>
    <row r="87" spans="1:8" ht="15.75">
      <c r="A87" s="257"/>
      <c r="B87" s="262"/>
      <c r="C87" s="262"/>
      <c r="D87" s="262"/>
      <c r="E87" s="262"/>
      <c r="F87" s="262"/>
      <c r="G87" s="262"/>
      <c r="H87" s="264"/>
    </row>
    <row r="88" spans="1:8" ht="15.75">
      <c r="A88" s="257"/>
      <c r="B88" s="257"/>
      <c r="C88" s="257"/>
      <c r="D88" s="257"/>
      <c r="E88" s="257"/>
      <c r="F88" s="257"/>
      <c r="G88" s="257"/>
      <c r="H88" s="257"/>
    </row>
    <row r="89" spans="1:8" ht="15.75">
      <c r="A89" s="257"/>
      <c r="B89" s="257"/>
      <c r="C89" s="257"/>
      <c r="D89" s="257"/>
      <c r="E89" s="257"/>
      <c r="F89" s="257"/>
      <c r="G89" s="257"/>
      <c r="H89" s="257"/>
    </row>
    <row r="90" spans="1:8" ht="15.75">
      <c r="A90" s="257"/>
      <c r="B90" s="257"/>
      <c r="C90" s="257"/>
      <c r="D90" s="257"/>
      <c r="E90" s="257"/>
      <c r="F90" s="257"/>
      <c r="G90" s="257"/>
      <c r="H90" s="257"/>
    </row>
    <row r="91" spans="1:8" ht="15.75">
      <c r="A91" s="257"/>
      <c r="B91" s="257"/>
      <c r="C91" s="257"/>
      <c r="D91" s="257"/>
      <c r="E91" s="257"/>
      <c r="F91" s="257"/>
      <c r="G91" s="257"/>
      <c r="H91" s="257"/>
    </row>
    <row r="92" spans="1:8" ht="15.75">
      <c r="A92" s="258"/>
      <c r="B92" s="258"/>
      <c r="C92" s="258"/>
      <c r="D92" s="258"/>
      <c r="E92" s="258"/>
      <c r="F92" s="258"/>
      <c r="G92" s="258"/>
      <c r="H92" s="257"/>
    </row>
    <row r="93" spans="1:8" ht="15.75">
      <c r="A93" s="260"/>
      <c r="B93" s="260"/>
      <c r="C93" s="260"/>
      <c r="D93" s="260"/>
      <c r="E93" s="260"/>
      <c r="F93" s="260"/>
      <c r="G93" s="260"/>
      <c r="H93" s="260"/>
    </row>
    <row r="94" spans="1:8" ht="15.75">
      <c r="A94" s="257"/>
      <c r="B94" s="257"/>
      <c r="C94" s="257"/>
      <c r="D94" s="257"/>
      <c r="E94" s="257"/>
      <c r="F94" s="257"/>
      <c r="G94" s="257"/>
      <c r="H94" s="262"/>
    </row>
    <row r="95" spans="1:8" ht="15.75">
      <c r="A95" s="257"/>
      <c r="B95" s="257"/>
      <c r="C95" s="257"/>
      <c r="D95" s="257"/>
      <c r="E95" s="257"/>
      <c r="F95" s="257"/>
      <c r="G95" s="257"/>
      <c r="H95" s="257"/>
    </row>
    <row r="96" spans="1:8" ht="15.75">
      <c r="A96" s="257"/>
      <c r="B96" s="257"/>
      <c r="C96" s="257"/>
      <c r="D96" s="257"/>
      <c r="E96" s="257"/>
      <c r="F96" s="257"/>
      <c r="G96" s="257"/>
      <c r="H96" s="257"/>
    </row>
    <row r="97" spans="1:8" ht="15.75">
      <c r="A97" s="257"/>
      <c r="B97" s="257"/>
      <c r="C97" s="257"/>
      <c r="D97" s="257"/>
      <c r="E97" s="257"/>
      <c r="F97" s="257"/>
      <c r="G97" s="257"/>
      <c r="H97" s="257"/>
    </row>
    <row r="98" spans="1:8" ht="15.75">
      <c r="A98" s="257"/>
      <c r="B98" s="257"/>
      <c r="C98" s="257"/>
      <c r="D98" s="257"/>
      <c r="E98" s="257"/>
      <c r="F98" s="257"/>
      <c r="G98" s="257"/>
      <c r="H98" s="257"/>
    </row>
    <row r="99" spans="1:8" ht="15.75">
      <c r="A99" s="257"/>
      <c r="B99" s="257"/>
      <c r="C99" s="257"/>
      <c r="D99" s="257"/>
      <c r="E99" s="257"/>
      <c r="F99" s="257"/>
      <c r="G99" s="257"/>
      <c r="H99" s="257"/>
    </row>
    <row r="100" spans="1:8" ht="15.75">
      <c r="A100" s="257"/>
      <c r="B100" s="257"/>
      <c r="C100" s="257"/>
      <c r="D100" s="257"/>
      <c r="E100" s="257"/>
      <c r="F100" s="257"/>
      <c r="G100" s="257"/>
      <c r="H100" s="257"/>
    </row>
    <row r="101" spans="1:8" ht="15.75">
      <c r="A101" s="257"/>
      <c r="B101" s="257"/>
      <c r="C101" s="257"/>
      <c r="D101" s="257"/>
      <c r="E101" s="257"/>
      <c r="F101" s="257"/>
      <c r="G101" s="257"/>
      <c r="H101" s="257"/>
    </row>
    <row r="102" spans="1:8" ht="15.75">
      <c r="A102" s="257"/>
      <c r="B102" s="257"/>
      <c r="C102" s="257"/>
      <c r="D102" s="257"/>
      <c r="E102" s="257"/>
      <c r="F102" s="257"/>
      <c r="G102" s="257"/>
      <c r="H102" s="257"/>
    </row>
    <row r="103" spans="1:8" ht="15.75">
      <c r="A103" s="257"/>
      <c r="B103" s="257"/>
      <c r="C103" s="257"/>
      <c r="D103" s="257"/>
      <c r="E103" s="257"/>
      <c r="F103" s="257"/>
      <c r="G103" s="257"/>
      <c r="H103" s="257"/>
    </row>
    <row r="104" spans="1:8" ht="15.75">
      <c r="A104" s="257"/>
      <c r="B104" s="257"/>
      <c r="C104" s="257"/>
      <c r="D104" s="257"/>
      <c r="E104" s="257"/>
      <c r="F104" s="257"/>
      <c r="G104" s="257"/>
      <c r="H104" s="257"/>
    </row>
    <row r="105" spans="1:8" ht="15.75">
      <c r="A105" s="257"/>
      <c r="B105" s="257"/>
      <c r="C105" s="257"/>
      <c r="D105" s="257"/>
      <c r="E105" s="257"/>
      <c r="F105" s="257"/>
      <c r="G105" s="257"/>
      <c r="H105" s="257"/>
    </row>
    <row r="106" spans="1:8" ht="15.75">
      <c r="A106" s="724"/>
      <c r="B106" s="724"/>
      <c r="C106" s="724"/>
      <c r="D106" s="724"/>
      <c r="E106" s="724"/>
      <c r="F106" s="724"/>
      <c r="G106" s="724"/>
      <c r="H106" s="724"/>
    </row>
    <row r="107" spans="1:8" ht="15.75">
      <c r="A107" s="257"/>
      <c r="B107" s="257"/>
      <c r="C107" s="257"/>
      <c r="D107" s="257"/>
      <c r="E107" s="257"/>
      <c r="F107" s="257"/>
      <c r="G107" s="257"/>
      <c r="H107" s="257"/>
    </row>
    <row r="108" spans="1:8" ht="15.75">
      <c r="A108" s="257"/>
      <c r="B108" s="257"/>
      <c r="C108" s="257"/>
      <c r="D108" s="257"/>
      <c r="E108" s="257"/>
      <c r="F108" s="257"/>
      <c r="G108" s="257"/>
      <c r="H108" s="257"/>
    </row>
    <row r="109" spans="1:8" ht="15.75">
      <c r="A109" s="257"/>
      <c r="B109" s="257"/>
      <c r="C109" s="257"/>
      <c r="D109" s="257"/>
      <c r="E109" s="257"/>
      <c r="F109" s="257"/>
      <c r="G109" s="257"/>
      <c r="H109" s="258"/>
    </row>
    <row r="110" spans="1:8" ht="15.75">
      <c r="A110" s="257"/>
      <c r="B110" s="257"/>
      <c r="C110" s="257"/>
      <c r="D110" s="257"/>
      <c r="E110" s="257"/>
      <c r="F110" s="257"/>
      <c r="G110" s="257"/>
      <c r="H110" s="257"/>
    </row>
    <row r="111" spans="1:8" ht="15.75">
      <c r="A111" s="257"/>
      <c r="B111" s="257"/>
      <c r="C111" s="257"/>
      <c r="D111" s="257"/>
      <c r="E111" s="257"/>
      <c r="F111" s="257"/>
      <c r="G111" s="257"/>
      <c r="H111" s="257"/>
    </row>
    <row r="112" spans="1:8" ht="15.75">
      <c r="A112" s="257"/>
      <c r="B112" s="257"/>
      <c r="C112" s="257"/>
      <c r="D112" s="257"/>
      <c r="E112" s="257"/>
      <c r="F112" s="257"/>
      <c r="G112" s="257"/>
      <c r="H112" s="257"/>
    </row>
    <row r="113" spans="1:8" ht="15.75">
      <c r="A113" s="258"/>
      <c r="B113" s="258"/>
      <c r="C113" s="258"/>
      <c r="D113" s="258"/>
      <c r="E113" s="258"/>
      <c r="F113" s="258"/>
      <c r="G113" s="258"/>
      <c r="H113" s="259"/>
    </row>
    <row r="114" spans="1:8" ht="15.75">
      <c r="A114" s="260"/>
      <c r="B114" s="260"/>
      <c r="C114" s="260"/>
      <c r="D114" s="260"/>
      <c r="E114" s="260"/>
      <c r="F114" s="260"/>
      <c r="G114" s="260"/>
      <c r="H114" s="260"/>
    </row>
    <row r="115" spans="1:8" ht="15.75">
      <c r="A115" s="260"/>
      <c r="B115" s="260"/>
      <c r="C115" s="260"/>
      <c r="D115" s="260"/>
      <c r="E115" s="260"/>
      <c r="F115" s="260"/>
      <c r="G115" s="260"/>
      <c r="H115" s="261"/>
    </row>
    <row r="116" spans="1:8" ht="15.75">
      <c r="A116" s="257"/>
      <c r="B116" s="257"/>
      <c r="C116" s="257"/>
      <c r="D116" s="257"/>
      <c r="E116" s="257"/>
      <c r="F116" s="257"/>
      <c r="G116" s="257"/>
      <c r="H116" s="262"/>
    </row>
    <row r="117" spans="1:8" ht="15.75">
      <c r="A117" s="257"/>
      <c r="B117" s="257"/>
      <c r="C117" s="257"/>
      <c r="D117" s="257"/>
      <c r="E117" s="257"/>
      <c r="F117" s="257"/>
      <c r="G117" s="257"/>
      <c r="H117" s="257"/>
    </row>
    <row r="118" spans="1:8" ht="15.75">
      <c r="A118" s="257"/>
      <c r="B118" s="257"/>
      <c r="C118" s="257"/>
      <c r="D118" s="257"/>
      <c r="E118" s="257"/>
      <c r="F118" s="257"/>
      <c r="G118" s="257"/>
      <c r="H118" s="257"/>
    </row>
    <row r="119" spans="1:8" ht="15.75">
      <c r="A119" s="258"/>
      <c r="B119" s="258"/>
      <c r="C119" s="258"/>
      <c r="D119" s="258"/>
      <c r="E119" s="258"/>
      <c r="F119" s="258"/>
      <c r="G119" s="258"/>
      <c r="H119" s="257"/>
    </row>
    <row r="120" spans="1:8" ht="15.75">
      <c r="A120" s="260"/>
      <c r="B120" s="260"/>
      <c r="C120" s="260"/>
      <c r="D120" s="260"/>
      <c r="E120" s="260"/>
      <c r="F120" s="260"/>
      <c r="G120" s="260"/>
      <c r="H120" s="260"/>
    </row>
    <row r="121" spans="1:8" ht="15.75">
      <c r="A121" s="257"/>
      <c r="B121" s="257"/>
      <c r="C121" s="257"/>
      <c r="D121" s="257"/>
      <c r="E121" s="257"/>
      <c r="F121" s="257"/>
      <c r="G121" s="257"/>
      <c r="H121" s="263"/>
    </row>
    <row r="122" spans="1:8" ht="15.75">
      <c r="A122" s="257"/>
      <c r="B122" s="257"/>
      <c r="C122" s="257"/>
      <c r="D122" s="257"/>
      <c r="E122" s="257"/>
      <c r="F122" s="257"/>
      <c r="G122" s="257"/>
      <c r="H122" s="263"/>
    </row>
    <row r="123" spans="1:8" ht="15.75">
      <c r="A123" s="257"/>
      <c r="B123" s="257"/>
      <c r="C123" s="257"/>
      <c r="D123" s="257"/>
      <c r="E123" s="257"/>
      <c r="F123" s="257"/>
      <c r="G123" s="257"/>
      <c r="H123" s="263"/>
    </row>
    <row r="124" spans="1:8" ht="15.75">
      <c r="A124" s="257"/>
      <c r="B124" s="257"/>
      <c r="C124" s="257"/>
      <c r="D124" s="257"/>
      <c r="E124" s="257"/>
      <c r="F124" s="257"/>
      <c r="G124" s="257"/>
      <c r="H124" s="263"/>
    </row>
    <row r="125" spans="1:8" ht="15.75">
      <c r="A125" s="257"/>
      <c r="B125" s="257"/>
      <c r="C125" s="257"/>
      <c r="D125" s="257"/>
      <c r="E125" s="257"/>
      <c r="F125" s="257"/>
      <c r="G125" s="257"/>
      <c r="H125" s="264"/>
    </row>
    <row r="126" spans="1:8" ht="15.75">
      <c r="A126" s="257"/>
      <c r="B126" s="257"/>
      <c r="C126" s="257"/>
      <c r="D126" s="257"/>
      <c r="E126" s="257"/>
      <c r="F126" s="257"/>
      <c r="G126" s="257"/>
      <c r="H126" s="257"/>
    </row>
    <row r="127" spans="1:8" ht="15.75">
      <c r="A127" s="258"/>
      <c r="B127" s="258"/>
      <c r="C127" s="258"/>
      <c r="D127" s="258"/>
      <c r="E127" s="258"/>
      <c r="F127" s="258"/>
      <c r="G127" s="258"/>
      <c r="H127" s="257"/>
    </row>
    <row r="128" spans="1:8" ht="15.75">
      <c r="A128" s="260"/>
      <c r="B128" s="260"/>
      <c r="C128" s="260"/>
      <c r="D128" s="260"/>
      <c r="E128" s="260"/>
      <c r="F128" s="260"/>
      <c r="G128" s="260"/>
      <c r="H128" s="260"/>
    </row>
    <row r="129" spans="1:8" ht="15.75">
      <c r="A129" s="257"/>
      <c r="B129" s="257"/>
      <c r="C129" s="257"/>
      <c r="D129" s="257"/>
      <c r="E129" s="257"/>
      <c r="F129" s="257"/>
      <c r="G129" s="257"/>
      <c r="H129" s="262"/>
    </row>
    <row r="130" spans="1:8" ht="15.75">
      <c r="A130" s="257"/>
      <c r="B130" s="257"/>
      <c r="C130" s="257"/>
      <c r="D130" s="257"/>
      <c r="E130" s="257"/>
      <c r="F130" s="257"/>
      <c r="G130" s="257"/>
      <c r="H130" s="262"/>
    </row>
    <row r="131" spans="1:8" ht="15.75">
      <c r="A131" s="257"/>
      <c r="B131" s="257"/>
      <c r="C131" s="257"/>
      <c r="D131" s="257"/>
      <c r="E131" s="257"/>
      <c r="F131" s="257"/>
      <c r="G131" s="257"/>
      <c r="H131" s="262"/>
    </row>
    <row r="132" spans="1:8" ht="15.75">
      <c r="A132" s="257"/>
      <c r="B132" s="257"/>
      <c r="C132" s="257"/>
      <c r="D132" s="257"/>
      <c r="E132" s="257"/>
      <c r="F132" s="257"/>
      <c r="G132" s="257"/>
      <c r="H132" s="257"/>
    </row>
    <row r="133" spans="1:8" ht="15.75">
      <c r="A133" s="257"/>
      <c r="B133" s="257"/>
      <c r="C133" s="257"/>
      <c r="D133" s="257"/>
      <c r="E133" s="257"/>
      <c r="F133" s="257"/>
      <c r="G133" s="257"/>
      <c r="H133" s="257"/>
    </row>
    <row r="134" spans="1:8" ht="15.75">
      <c r="A134" s="257"/>
      <c r="B134" s="257"/>
      <c r="C134" s="257"/>
      <c r="D134" s="257"/>
      <c r="E134" s="257"/>
      <c r="F134" s="257"/>
      <c r="G134" s="257"/>
      <c r="H134" s="257"/>
    </row>
    <row r="135" spans="1:8" ht="15.75">
      <c r="A135" s="258"/>
      <c r="B135" s="258"/>
      <c r="C135" s="258"/>
      <c r="D135" s="258"/>
      <c r="E135" s="258"/>
      <c r="F135" s="258"/>
      <c r="G135" s="258"/>
      <c r="H135" s="257"/>
    </row>
    <row r="136" spans="1:8" ht="15.75">
      <c r="A136" s="260"/>
      <c r="B136" s="260"/>
      <c r="C136" s="260"/>
      <c r="D136" s="260"/>
      <c r="E136" s="260"/>
      <c r="F136" s="260"/>
      <c r="G136" s="260"/>
      <c r="H136" s="260"/>
    </row>
    <row r="137" spans="1:8" ht="15.75">
      <c r="A137" s="257"/>
      <c r="B137" s="266"/>
      <c r="C137" s="266"/>
      <c r="D137" s="266"/>
      <c r="E137" s="266"/>
      <c r="F137" s="266"/>
      <c r="G137" s="266"/>
      <c r="H137" s="265"/>
    </row>
    <row r="138" spans="1:8" ht="15.75">
      <c r="A138" s="257"/>
      <c r="B138" s="262"/>
      <c r="C138" s="262"/>
      <c r="D138" s="262"/>
      <c r="E138" s="262"/>
      <c r="F138" s="262"/>
      <c r="G138" s="262"/>
      <c r="H138" s="261"/>
    </row>
    <row r="139" spans="1:8" ht="15.75">
      <c r="A139" s="257"/>
      <c r="B139" s="257"/>
      <c r="C139" s="257"/>
      <c r="D139" s="257"/>
      <c r="E139" s="257"/>
      <c r="F139" s="257"/>
      <c r="G139" s="257"/>
      <c r="H139" s="257"/>
    </row>
    <row r="140" spans="1:8" ht="15.75">
      <c r="A140" s="257"/>
      <c r="B140" s="257"/>
      <c r="C140" s="257"/>
      <c r="D140" s="257"/>
      <c r="E140" s="257"/>
      <c r="F140" s="257"/>
      <c r="G140" s="257"/>
      <c r="H140" s="257"/>
    </row>
    <row r="141" spans="1:8" ht="15.75">
      <c r="A141" s="257"/>
      <c r="B141" s="257"/>
      <c r="C141" s="257"/>
      <c r="D141" s="257"/>
      <c r="E141" s="257"/>
      <c r="F141" s="257"/>
      <c r="G141" s="257"/>
      <c r="H141" s="257"/>
    </row>
    <row r="142" spans="1:8" ht="15.75">
      <c r="A142" s="257"/>
      <c r="B142" s="257"/>
      <c r="C142" s="257"/>
      <c r="D142" s="257"/>
      <c r="E142" s="257"/>
      <c r="F142" s="257"/>
      <c r="G142" s="257"/>
      <c r="H142" s="257"/>
    </row>
    <row r="143" spans="1:8" ht="15.75">
      <c r="A143" s="258"/>
      <c r="B143" s="258"/>
      <c r="C143" s="258"/>
      <c r="D143" s="258"/>
      <c r="E143" s="258"/>
      <c r="F143" s="258"/>
      <c r="G143" s="258"/>
      <c r="H143" s="257"/>
    </row>
    <row r="144" spans="1:8" ht="15.75">
      <c r="A144" s="260"/>
      <c r="B144" s="260"/>
      <c r="C144" s="260"/>
      <c r="D144" s="260"/>
      <c r="E144" s="260"/>
      <c r="F144" s="260"/>
      <c r="G144" s="260"/>
      <c r="H144" s="260"/>
    </row>
    <row r="145" spans="1:8" ht="15.75">
      <c r="A145" s="257"/>
      <c r="B145" s="257"/>
      <c r="C145" s="257"/>
      <c r="D145" s="257"/>
      <c r="E145" s="257"/>
      <c r="F145" s="257"/>
      <c r="G145" s="257"/>
      <c r="H145" s="262"/>
    </row>
    <row r="146" spans="1:8" ht="15.75">
      <c r="A146" s="257"/>
      <c r="B146" s="257"/>
      <c r="C146" s="257"/>
      <c r="D146" s="257"/>
      <c r="E146" s="257"/>
      <c r="F146" s="257"/>
      <c r="G146" s="257"/>
      <c r="H146" s="257"/>
    </row>
    <row r="147" spans="1:8" ht="15.75">
      <c r="A147" s="257"/>
      <c r="B147" s="257"/>
      <c r="C147" s="257"/>
      <c r="D147" s="257"/>
      <c r="E147" s="257"/>
      <c r="F147" s="257"/>
      <c r="G147" s="257"/>
      <c r="H147" s="257"/>
    </row>
    <row r="148" spans="1:8" ht="15.75">
      <c r="A148" s="257"/>
      <c r="B148" s="257"/>
      <c r="C148" s="257"/>
      <c r="D148" s="257"/>
      <c r="E148" s="257"/>
      <c r="F148" s="257"/>
      <c r="G148" s="257"/>
      <c r="H148" s="257"/>
    </row>
    <row r="149" spans="1:8" ht="15.75">
      <c r="A149" s="257"/>
      <c r="B149" s="257"/>
      <c r="C149" s="257"/>
      <c r="D149" s="257"/>
      <c r="E149" s="257"/>
      <c r="F149" s="257"/>
      <c r="G149" s="257"/>
      <c r="H149" s="257"/>
    </row>
    <row r="150" spans="1:8" ht="15.75">
      <c r="A150" s="257"/>
      <c r="B150" s="257"/>
      <c r="C150" s="257"/>
      <c r="D150" s="257"/>
      <c r="E150" s="257"/>
      <c r="F150" s="257"/>
      <c r="G150" s="257"/>
      <c r="H150" s="257"/>
    </row>
    <row r="151" spans="1:8" ht="15.75">
      <c r="A151" s="257"/>
      <c r="B151" s="257"/>
      <c r="C151" s="257"/>
      <c r="D151" s="257"/>
      <c r="E151" s="257"/>
      <c r="F151" s="257"/>
      <c r="G151" s="257"/>
      <c r="H151" s="257"/>
    </row>
    <row r="152" spans="1:8" ht="15.75">
      <c r="A152" s="257"/>
      <c r="B152" s="257"/>
      <c r="C152" s="257"/>
      <c r="D152" s="257"/>
      <c r="E152" s="257"/>
      <c r="F152" s="257"/>
      <c r="G152" s="257"/>
      <c r="H152" s="257"/>
    </row>
    <row r="153" spans="1:8" ht="15.75">
      <c r="A153" s="724"/>
      <c r="B153" s="724"/>
      <c r="C153" s="724"/>
      <c r="D153" s="724"/>
      <c r="E153" s="724"/>
      <c r="F153" s="724"/>
      <c r="G153" s="724"/>
      <c r="H153" s="724"/>
    </row>
    <row r="154" spans="1:8" ht="15.75">
      <c r="A154" s="257"/>
      <c r="B154" s="257"/>
      <c r="C154" s="257"/>
      <c r="D154" s="257"/>
      <c r="E154" s="257"/>
      <c r="F154" s="257"/>
      <c r="G154" s="257"/>
      <c r="H154" s="257"/>
    </row>
    <row r="155" spans="1:8" ht="15.75">
      <c r="A155" s="257"/>
      <c r="B155" s="257"/>
      <c r="C155" s="257"/>
      <c r="D155" s="257"/>
      <c r="E155" s="257"/>
      <c r="F155" s="257"/>
      <c r="G155" s="257"/>
      <c r="H155" s="257"/>
    </row>
    <row r="156" spans="1:8" ht="15.75">
      <c r="A156" s="257"/>
      <c r="B156" s="257"/>
      <c r="C156" s="257"/>
      <c r="D156" s="257"/>
      <c r="E156" s="257"/>
      <c r="F156" s="257"/>
      <c r="G156" s="257"/>
      <c r="H156" s="258"/>
    </row>
    <row r="157" spans="1:8" ht="15.75">
      <c r="A157" s="257"/>
      <c r="B157" s="257"/>
      <c r="C157" s="257"/>
      <c r="D157" s="257"/>
      <c r="E157" s="257"/>
      <c r="F157" s="257"/>
      <c r="G157" s="257"/>
      <c r="H157" s="257"/>
    </row>
    <row r="158" spans="1:8" ht="15.75">
      <c r="A158" s="257"/>
      <c r="B158" s="257"/>
      <c r="C158" s="257"/>
      <c r="D158" s="257"/>
      <c r="E158" s="257"/>
      <c r="F158" s="257"/>
      <c r="G158" s="257"/>
      <c r="H158" s="257"/>
    </row>
    <row r="159" spans="1:8" ht="15.75">
      <c r="A159" s="257"/>
      <c r="B159" s="257"/>
      <c r="C159" s="257"/>
      <c r="D159" s="257"/>
      <c r="E159" s="257"/>
      <c r="F159" s="257"/>
      <c r="G159" s="257"/>
      <c r="H159" s="257"/>
    </row>
    <row r="160" spans="1:8" ht="15.75">
      <c r="A160" s="258"/>
      <c r="B160" s="258"/>
      <c r="C160" s="258"/>
      <c r="D160" s="258"/>
      <c r="E160" s="258"/>
      <c r="F160" s="258"/>
      <c r="G160" s="258"/>
      <c r="H160" s="259"/>
    </row>
    <row r="161" spans="1:8" ht="15.75">
      <c r="A161" s="260"/>
      <c r="B161" s="260"/>
      <c r="C161" s="260"/>
      <c r="D161" s="260"/>
      <c r="E161" s="260"/>
      <c r="F161" s="260"/>
      <c r="G161" s="260"/>
      <c r="H161" s="260"/>
    </row>
    <row r="162" spans="1:8" ht="15.75">
      <c r="A162" s="260"/>
      <c r="B162" s="260"/>
      <c r="C162" s="260"/>
      <c r="D162" s="260"/>
      <c r="E162" s="260"/>
      <c r="F162" s="260"/>
      <c r="G162" s="260"/>
      <c r="H162" s="261"/>
    </row>
    <row r="163" spans="1:8" ht="15.75">
      <c r="A163" s="257"/>
      <c r="B163" s="257"/>
      <c r="C163" s="257"/>
      <c r="D163" s="257"/>
      <c r="E163" s="257"/>
      <c r="F163" s="257"/>
      <c r="G163" s="257"/>
      <c r="H163" s="262"/>
    </row>
    <row r="164" spans="1:8" ht="15.75">
      <c r="A164" s="257"/>
      <c r="B164" s="257"/>
      <c r="C164" s="257"/>
      <c r="D164" s="257"/>
      <c r="E164" s="257"/>
      <c r="F164" s="257"/>
      <c r="G164" s="257"/>
      <c r="H164" s="257"/>
    </row>
    <row r="165" spans="1:8" ht="15.75">
      <c r="A165" s="257"/>
      <c r="B165" s="257"/>
      <c r="C165" s="257"/>
      <c r="D165" s="257"/>
      <c r="E165" s="257"/>
      <c r="F165" s="257"/>
      <c r="G165" s="257"/>
      <c r="H165" s="257"/>
    </row>
    <row r="166" spans="1:8" ht="15.75">
      <c r="A166" s="258"/>
      <c r="B166" s="258"/>
      <c r="C166" s="258"/>
      <c r="D166" s="258"/>
      <c r="E166" s="258"/>
      <c r="F166" s="258"/>
      <c r="G166" s="258"/>
      <c r="H166" s="257"/>
    </row>
    <row r="167" spans="1:8" ht="15.75">
      <c r="A167" s="260"/>
      <c r="B167" s="260"/>
      <c r="C167" s="260"/>
      <c r="D167" s="260"/>
      <c r="E167" s="260"/>
      <c r="F167" s="260"/>
      <c r="G167" s="260"/>
      <c r="H167" s="260"/>
    </row>
    <row r="168" spans="1:8" ht="15.75">
      <c r="A168" s="257"/>
      <c r="B168" s="257"/>
      <c r="C168" s="257"/>
      <c r="D168" s="257"/>
      <c r="E168" s="257"/>
      <c r="F168" s="257"/>
      <c r="G168" s="257"/>
      <c r="H168" s="263"/>
    </row>
    <row r="169" spans="1:8" ht="15.75">
      <c r="A169" s="257"/>
      <c r="B169" s="257"/>
      <c r="C169" s="257"/>
      <c r="D169" s="257"/>
      <c r="E169" s="257"/>
      <c r="F169" s="257"/>
      <c r="G169" s="257"/>
      <c r="H169" s="261"/>
    </row>
    <row r="170" spans="1:8" ht="15.75">
      <c r="A170" s="257"/>
      <c r="B170" s="257"/>
      <c r="C170" s="257"/>
      <c r="D170" s="257"/>
      <c r="E170" s="257"/>
      <c r="F170" s="257"/>
      <c r="G170" s="257"/>
      <c r="H170" s="261"/>
    </row>
    <row r="171" spans="1:8" ht="15.75">
      <c r="A171" s="257"/>
      <c r="B171" s="257"/>
      <c r="C171" s="257"/>
      <c r="D171" s="257"/>
      <c r="E171" s="257"/>
      <c r="F171" s="257"/>
      <c r="G171" s="257"/>
      <c r="H171" s="261"/>
    </row>
    <row r="172" spans="1:8" ht="15.75">
      <c r="A172" s="257"/>
      <c r="B172" s="257"/>
      <c r="C172" s="257"/>
      <c r="D172" s="257"/>
      <c r="E172" s="257"/>
      <c r="F172" s="257"/>
      <c r="G172" s="257"/>
      <c r="H172" s="261"/>
    </row>
    <row r="173" spans="1:8" ht="15.75">
      <c r="A173" s="257"/>
      <c r="B173" s="257"/>
      <c r="C173" s="257"/>
      <c r="D173" s="257"/>
      <c r="E173" s="257"/>
      <c r="F173" s="257"/>
      <c r="G173" s="257"/>
      <c r="H173" s="257"/>
    </row>
    <row r="174" spans="1:8" ht="15.75">
      <c r="A174" s="257"/>
      <c r="B174" s="257"/>
      <c r="C174" s="257"/>
      <c r="D174" s="257"/>
      <c r="E174" s="257"/>
      <c r="F174" s="257"/>
      <c r="G174" s="257"/>
      <c r="H174" s="257"/>
    </row>
    <row r="175" spans="1:8" ht="15.75">
      <c r="A175" s="258"/>
      <c r="B175" s="258"/>
      <c r="C175" s="258"/>
      <c r="D175" s="258"/>
      <c r="E175" s="258"/>
      <c r="F175" s="258"/>
      <c r="G175" s="258"/>
      <c r="H175" s="257"/>
    </row>
    <row r="176" spans="1:8" ht="15.75">
      <c r="A176" s="260"/>
      <c r="B176" s="260"/>
      <c r="C176" s="260"/>
      <c r="D176" s="260"/>
      <c r="E176" s="260"/>
      <c r="F176" s="260"/>
      <c r="G176" s="260"/>
      <c r="H176" s="260"/>
    </row>
    <row r="177" spans="1:8" ht="15.75">
      <c r="A177" s="257"/>
      <c r="B177" s="257"/>
      <c r="C177" s="257"/>
      <c r="D177" s="257"/>
      <c r="E177" s="257"/>
      <c r="F177" s="257"/>
      <c r="G177" s="257"/>
      <c r="H177" s="262"/>
    </row>
    <row r="178" spans="1:8" ht="15.75">
      <c r="A178" s="257"/>
      <c r="B178" s="257"/>
      <c r="C178" s="257"/>
      <c r="D178" s="257"/>
      <c r="E178" s="257"/>
      <c r="F178" s="257"/>
      <c r="G178" s="257"/>
      <c r="H178" s="262"/>
    </row>
    <row r="179" spans="1:8" ht="15.75">
      <c r="A179" s="257"/>
      <c r="B179" s="257"/>
      <c r="C179" s="257"/>
      <c r="D179" s="257"/>
      <c r="E179" s="257"/>
      <c r="F179" s="257"/>
      <c r="G179" s="257"/>
      <c r="H179" s="262"/>
    </row>
    <row r="180" spans="1:8" ht="15.75">
      <c r="A180" s="257"/>
      <c r="B180" s="257"/>
      <c r="C180" s="257"/>
      <c r="D180" s="257"/>
      <c r="E180" s="257"/>
      <c r="F180" s="257"/>
      <c r="G180" s="257"/>
      <c r="H180" s="257"/>
    </row>
    <row r="181" spans="1:8" ht="15.75">
      <c r="A181" s="257"/>
      <c r="B181" s="257"/>
      <c r="C181" s="257"/>
      <c r="D181" s="257"/>
      <c r="E181" s="257"/>
      <c r="F181" s="257"/>
      <c r="G181" s="257"/>
      <c r="H181" s="257"/>
    </row>
    <row r="182" spans="1:8" ht="15.75">
      <c r="A182" s="257"/>
      <c r="B182" s="257"/>
      <c r="C182" s="257"/>
      <c r="D182" s="257"/>
      <c r="E182" s="257"/>
      <c r="F182" s="257"/>
      <c r="G182" s="257"/>
      <c r="H182" s="257"/>
    </row>
    <row r="183" spans="1:8" ht="15.75">
      <c r="A183" s="258"/>
      <c r="B183" s="258"/>
      <c r="C183" s="258"/>
      <c r="D183" s="258"/>
      <c r="E183" s="258"/>
      <c r="F183" s="258"/>
      <c r="G183" s="258"/>
      <c r="H183" s="257"/>
    </row>
    <row r="184" spans="1:8" ht="15.75">
      <c r="A184" s="260"/>
      <c r="B184" s="260"/>
      <c r="C184" s="260"/>
      <c r="D184" s="260"/>
      <c r="E184" s="260"/>
      <c r="F184" s="260"/>
      <c r="G184" s="260"/>
      <c r="H184" s="260"/>
    </row>
    <row r="185" spans="1:8" ht="15.75">
      <c r="A185" s="257"/>
      <c r="B185" s="262"/>
      <c r="C185" s="262"/>
      <c r="D185" s="262"/>
      <c r="E185" s="262"/>
      <c r="F185" s="262"/>
      <c r="G185" s="262"/>
      <c r="H185" s="265"/>
    </row>
    <row r="186" spans="1:8" ht="15.75">
      <c r="A186" s="257"/>
      <c r="B186" s="262"/>
      <c r="C186" s="262"/>
      <c r="D186" s="262"/>
      <c r="E186" s="262"/>
      <c r="F186" s="262"/>
      <c r="G186" s="262"/>
      <c r="H186" s="265"/>
    </row>
    <row r="187" spans="1:8" ht="15.75">
      <c r="A187" s="257"/>
      <c r="B187" s="257"/>
      <c r="C187" s="257"/>
      <c r="D187" s="257"/>
      <c r="E187" s="257"/>
      <c r="F187" s="257"/>
      <c r="G187" s="257"/>
      <c r="H187" s="257"/>
    </row>
    <row r="188" spans="1:8" ht="15.75">
      <c r="A188" s="257"/>
      <c r="B188" s="257"/>
      <c r="C188" s="257"/>
      <c r="D188" s="257"/>
      <c r="E188" s="257"/>
      <c r="F188" s="257"/>
      <c r="G188" s="257"/>
      <c r="H188" s="257"/>
    </row>
    <row r="189" spans="1:8" ht="15.75">
      <c r="A189" s="257"/>
      <c r="B189" s="257"/>
      <c r="C189" s="257"/>
      <c r="D189" s="257"/>
      <c r="E189" s="257"/>
      <c r="F189" s="257"/>
      <c r="G189" s="257"/>
      <c r="H189" s="257"/>
    </row>
    <row r="190" spans="1:8" ht="15.75">
      <c r="A190" s="257"/>
      <c r="B190" s="257"/>
      <c r="C190" s="257"/>
      <c r="D190" s="257"/>
      <c r="E190" s="257"/>
      <c r="F190" s="257"/>
      <c r="G190" s="257"/>
      <c r="H190" s="257"/>
    </row>
    <row r="191" spans="1:8" ht="15.75">
      <c r="A191" s="258"/>
      <c r="B191" s="258"/>
      <c r="C191" s="258"/>
      <c r="D191" s="258"/>
      <c r="E191" s="258"/>
      <c r="F191" s="258"/>
      <c r="G191" s="258"/>
      <c r="H191" s="257"/>
    </row>
    <row r="192" spans="1:8" ht="15.75">
      <c r="A192" s="260"/>
      <c r="B192" s="260"/>
      <c r="C192" s="260"/>
      <c r="D192" s="260"/>
      <c r="E192" s="260"/>
      <c r="F192" s="260"/>
      <c r="G192" s="260"/>
      <c r="H192" s="260"/>
    </row>
    <row r="193" spans="1:8" ht="15.75">
      <c r="A193" s="257"/>
      <c r="B193" s="257"/>
      <c r="C193" s="257"/>
      <c r="D193" s="257"/>
      <c r="E193" s="257"/>
      <c r="F193" s="257"/>
      <c r="G193" s="257"/>
      <c r="H193" s="262"/>
    </row>
    <row r="194" spans="1:8" ht="15.75">
      <c r="A194" s="257"/>
      <c r="B194" s="257"/>
      <c r="C194" s="257"/>
      <c r="D194" s="257"/>
      <c r="E194" s="257"/>
      <c r="F194" s="257"/>
      <c r="G194" s="257"/>
      <c r="H194" s="257"/>
    </row>
    <row r="195" spans="1:8" ht="15.75">
      <c r="A195" s="257"/>
      <c r="B195" s="257"/>
      <c r="C195" s="257"/>
      <c r="D195" s="257"/>
      <c r="E195" s="257"/>
      <c r="F195" s="257"/>
      <c r="G195" s="257"/>
      <c r="H195" s="257"/>
    </row>
    <row r="196" spans="1:8" ht="15.75">
      <c r="A196" s="257"/>
      <c r="B196" s="257"/>
      <c r="C196" s="257"/>
      <c r="D196" s="257"/>
      <c r="E196" s="257"/>
      <c r="F196" s="257"/>
      <c r="G196" s="257"/>
      <c r="H196" s="257"/>
    </row>
    <row r="197" spans="1:8" ht="15.75">
      <c r="A197" s="257"/>
      <c r="B197" s="257"/>
      <c r="C197" s="257"/>
      <c r="D197" s="257"/>
      <c r="E197" s="257"/>
      <c r="F197" s="257"/>
      <c r="G197" s="257"/>
      <c r="H197" s="257"/>
    </row>
    <row r="198" spans="1:8" ht="15.75">
      <c r="A198" s="257"/>
      <c r="B198" s="257"/>
      <c r="C198" s="257"/>
      <c r="D198" s="257"/>
      <c r="E198" s="257"/>
      <c r="F198" s="257"/>
      <c r="G198" s="257"/>
      <c r="H198" s="257"/>
    </row>
    <row r="199" spans="1:8" ht="15.75">
      <c r="A199" s="257"/>
      <c r="B199" s="257"/>
      <c r="C199" s="257"/>
      <c r="D199" s="257"/>
      <c r="E199" s="257"/>
      <c r="F199" s="257"/>
      <c r="G199" s="257"/>
      <c r="H199" s="257"/>
    </row>
    <row r="200" spans="1:8" ht="15.75">
      <c r="A200" s="257"/>
      <c r="B200" s="257"/>
      <c r="C200" s="257"/>
      <c r="D200" s="257"/>
      <c r="E200" s="257"/>
      <c r="F200" s="257"/>
      <c r="G200" s="257"/>
      <c r="H200" s="257"/>
    </row>
    <row r="201" spans="1:8" ht="15.75">
      <c r="A201" s="257"/>
      <c r="B201" s="257"/>
      <c r="C201" s="257"/>
      <c r="D201" s="257"/>
      <c r="E201" s="257"/>
      <c r="F201" s="257"/>
      <c r="G201" s="257"/>
      <c r="H201" s="257"/>
    </row>
    <row r="202" spans="1:8" ht="15.75">
      <c r="A202" s="257"/>
      <c r="B202" s="257"/>
      <c r="C202" s="257"/>
      <c r="D202" s="257"/>
      <c r="E202" s="257"/>
      <c r="F202" s="257"/>
      <c r="G202" s="257"/>
      <c r="H202" s="257"/>
    </row>
    <row r="203" spans="1:8" ht="15.75">
      <c r="A203" s="257"/>
      <c r="B203" s="257"/>
      <c r="C203" s="257"/>
      <c r="D203" s="257"/>
      <c r="E203" s="257"/>
      <c r="F203" s="257"/>
      <c r="G203" s="257"/>
      <c r="H203" s="257"/>
    </row>
    <row r="204" spans="1:8" ht="15.75">
      <c r="A204" s="257"/>
      <c r="B204" s="257"/>
      <c r="C204" s="257"/>
      <c r="D204" s="257"/>
      <c r="E204" s="257"/>
      <c r="F204" s="257"/>
      <c r="G204" s="257"/>
      <c r="H204" s="257"/>
    </row>
    <row r="205" spans="1:8" ht="15.75">
      <c r="A205" s="257"/>
      <c r="B205" s="257"/>
      <c r="C205" s="257"/>
      <c r="D205" s="257"/>
      <c r="E205" s="257"/>
      <c r="F205" s="257"/>
      <c r="G205" s="257"/>
      <c r="H205" s="257"/>
    </row>
    <row r="206" spans="1:8" ht="15.75">
      <c r="A206" s="257"/>
      <c r="B206" s="257"/>
      <c r="C206" s="257"/>
      <c r="D206" s="257"/>
      <c r="E206" s="257"/>
      <c r="F206" s="257"/>
      <c r="G206" s="257"/>
      <c r="H206" s="257"/>
    </row>
    <row r="207" spans="1:8" ht="15.75">
      <c r="A207" s="257"/>
      <c r="B207" s="257"/>
      <c r="C207" s="257"/>
      <c r="D207" s="257"/>
      <c r="E207" s="257"/>
      <c r="F207" s="257"/>
      <c r="G207" s="257"/>
      <c r="H207" s="257"/>
    </row>
    <row r="208" spans="1:8" ht="15.75">
      <c r="A208" s="257"/>
      <c r="B208" s="257"/>
      <c r="C208" s="257"/>
      <c r="D208" s="257"/>
      <c r="E208" s="257"/>
      <c r="F208" s="257"/>
      <c r="G208" s="257"/>
      <c r="H208" s="257"/>
    </row>
    <row r="209" spans="1:8" ht="15.75">
      <c r="A209" s="257"/>
      <c r="B209" s="257"/>
      <c r="C209" s="257"/>
      <c r="D209" s="257"/>
      <c r="E209" s="257"/>
      <c r="F209" s="257"/>
      <c r="G209" s="257"/>
      <c r="H209" s="257"/>
    </row>
    <row r="210" spans="1:8" ht="15.75">
      <c r="A210" s="257"/>
      <c r="B210" s="257"/>
      <c r="C210" s="257"/>
      <c r="D210" s="257"/>
      <c r="E210" s="257"/>
      <c r="F210" s="257"/>
      <c r="G210" s="257"/>
      <c r="H210" s="257"/>
    </row>
    <row r="211" spans="1:8" ht="15.75">
      <c r="A211" s="257"/>
      <c r="B211" s="257"/>
      <c r="C211" s="257"/>
      <c r="D211" s="257"/>
      <c r="E211" s="257"/>
      <c r="F211" s="257"/>
      <c r="G211" s="257"/>
      <c r="H211" s="257"/>
    </row>
    <row r="212" spans="1:8" ht="15.75">
      <c r="A212" s="257"/>
      <c r="B212" s="257"/>
      <c r="C212" s="257"/>
      <c r="D212" s="257"/>
      <c r="E212" s="257"/>
      <c r="F212" s="257"/>
      <c r="G212" s="257"/>
      <c r="H212" s="257"/>
    </row>
    <row r="213" spans="1:8" ht="15.75">
      <c r="A213" s="257"/>
      <c r="B213" s="257"/>
      <c r="C213" s="257"/>
      <c r="D213" s="257"/>
      <c r="E213" s="257"/>
      <c r="F213" s="257"/>
      <c r="G213" s="257"/>
      <c r="H213" s="257"/>
    </row>
    <row r="214" spans="1:8" ht="15.75">
      <c r="A214" s="257"/>
      <c r="B214" s="257"/>
      <c r="C214" s="257"/>
      <c r="D214" s="257"/>
      <c r="E214" s="257"/>
      <c r="F214" s="257"/>
      <c r="G214" s="257"/>
      <c r="H214" s="257"/>
    </row>
    <row r="215" spans="1:8" ht="15.75">
      <c r="A215" s="257"/>
      <c r="B215" s="257"/>
      <c r="C215" s="257"/>
      <c r="D215" s="257"/>
      <c r="E215" s="257"/>
      <c r="F215" s="257"/>
      <c r="G215" s="257"/>
      <c r="H215" s="257"/>
    </row>
    <row r="216" spans="1:8" ht="15.75">
      <c r="A216" s="257"/>
      <c r="B216" s="257"/>
      <c r="C216" s="257"/>
      <c r="D216" s="257"/>
      <c r="E216" s="257"/>
      <c r="F216" s="257"/>
      <c r="G216" s="257"/>
      <c r="H216" s="257"/>
    </row>
    <row r="217" spans="1:8" ht="15.75">
      <c r="A217" s="257"/>
      <c r="B217" s="257"/>
      <c r="C217" s="257"/>
      <c r="D217" s="257"/>
      <c r="E217" s="257"/>
      <c r="F217" s="257"/>
      <c r="G217" s="257"/>
      <c r="H217" s="257"/>
    </row>
    <row r="218" spans="1:8" ht="15.75">
      <c r="A218" s="257"/>
      <c r="B218" s="257"/>
      <c r="C218" s="257"/>
      <c r="D218" s="257"/>
      <c r="E218" s="257"/>
      <c r="F218" s="257"/>
      <c r="G218" s="257"/>
      <c r="H218" s="257"/>
    </row>
    <row r="219" spans="1:8" ht="15.75">
      <c r="A219" s="257"/>
      <c r="B219" s="257"/>
      <c r="C219" s="257"/>
      <c r="D219" s="257"/>
      <c r="E219" s="257"/>
      <c r="F219" s="257"/>
      <c r="G219" s="257"/>
      <c r="H219" s="257"/>
    </row>
    <row r="220" spans="1:8" ht="15.75">
      <c r="A220" s="257"/>
      <c r="B220" s="257"/>
      <c r="C220" s="257"/>
      <c r="D220" s="257"/>
      <c r="E220" s="257"/>
      <c r="F220" s="257"/>
      <c r="G220" s="257"/>
      <c r="H220" s="257"/>
    </row>
    <row r="221" spans="1:8" ht="15.75">
      <c r="A221" s="257"/>
      <c r="B221" s="257"/>
      <c r="C221" s="257"/>
      <c r="D221" s="257"/>
      <c r="E221" s="257"/>
      <c r="F221" s="257"/>
      <c r="G221" s="257"/>
      <c r="H221" s="257"/>
    </row>
    <row r="222" spans="1:8" ht="15.75">
      <c r="A222" s="257"/>
      <c r="B222" s="257"/>
      <c r="C222" s="257"/>
      <c r="D222" s="257"/>
      <c r="E222" s="257"/>
      <c r="F222" s="257"/>
      <c r="G222" s="257"/>
      <c r="H222" s="257"/>
    </row>
    <row r="223" spans="1:8" ht="15.75">
      <c r="A223" s="257"/>
      <c r="B223" s="257"/>
      <c r="C223" s="257"/>
      <c r="D223" s="257"/>
      <c r="E223" s="257"/>
      <c r="F223" s="257"/>
      <c r="G223" s="257"/>
      <c r="H223" s="257"/>
    </row>
    <row r="224" spans="1:8" ht="15.75">
      <c r="A224" s="257"/>
      <c r="B224" s="257"/>
      <c r="C224" s="257"/>
      <c r="D224" s="257"/>
      <c r="E224" s="257"/>
      <c r="F224" s="257"/>
      <c r="G224" s="257"/>
      <c r="H224" s="257"/>
    </row>
    <row r="225" spans="1:8" ht="15.75">
      <c r="A225" s="257"/>
      <c r="B225" s="257"/>
      <c r="C225" s="257"/>
      <c r="D225" s="257"/>
      <c r="E225" s="257"/>
      <c r="F225" s="257"/>
      <c r="G225" s="257"/>
      <c r="H225" s="257"/>
    </row>
    <row r="226" spans="1:8" ht="15.75">
      <c r="A226" s="257"/>
      <c r="B226" s="257"/>
      <c r="C226" s="257"/>
      <c r="D226" s="257"/>
      <c r="E226" s="257"/>
      <c r="F226" s="257"/>
      <c r="G226" s="257"/>
      <c r="H226" s="257"/>
    </row>
    <row r="227" spans="1:8" ht="15.75">
      <c r="A227" s="257"/>
      <c r="B227" s="257"/>
      <c r="C227" s="257"/>
      <c r="D227" s="257"/>
      <c r="E227" s="257"/>
      <c r="F227" s="257"/>
      <c r="G227" s="257"/>
      <c r="H227" s="257"/>
    </row>
    <row r="228" spans="1:8" ht="15.75">
      <c r="A228" s="257"/>
      <c r="B228" s="257"/>
      <c r="C228" s="257"/>
      <c r="D228" s="257"/>
      <c r="E228" s="257"/>
      <c r="F228" s="257"/>
      <c r="G228" s="257"/>
      <c r="H228" s="257"/>
    </row>
    <row r="229" spans="1:8" ht="15.75">
      <c r="A229" s="257"/>
      <c r="B229" s="257"/>
      <c r="C229" s="257"/>
      <c r="D229" s="257"/>
      <c r="E229" s="257"/>
      <c r="F229" s="257"/>
      <c r="G229" s="257"/>
      <c r="H229" s="257"/>
    </row>
  </sheetData>
  <mergeCells count="9">
    <mergeCell ref="A153:H153"/>
    <mergeCell ref="A1:H1"/>
    <mergeCell ref="A2:H2"/>
    <mergeCell ref="A6:H7"/>
    <mergeCell ref="A106:H106"/>
    <mergeCell ref="F60:G60"/>
    <mergeCell ref="F61:G61"/>
    <mergeCell ref="C5:G5"/>
    <mergeCell ref="C4:G4"/>
  </mergeCells>
  <printOptions horizontalCentered="1"/>
  <pageMargins left="0.70866141732283472" right="0.70866141732283472" top="0.74803149606299213" bottom="0.74803149606299213" header="0.31496062992125984" footer="0.31496062992125984"/>
  <pageSetup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B1:J81"/>
  <sheetViews>
    <sheetView view="pageBreakPreview" topLeftCell="A39" zoomScaleSheetLayoutView="100" workbookViewId="0">
      <selection activeCell="B5" sqref="B5:E6"/>
    </sheetView>
  </sheetViews>
  <sheetFormatPr baseColWidth="10" defaultColWidth="11.42578125" defaultRowHeight="15"/>
  <cols>
    <col min="1" max="1" width="5.7109375" style="442" customWidth="1"/>
    <col min="2" max="2" width="11.42578125" style="472"/>
    <col min="3" max="3" width="55.7109375" style="442" customWidth="1"/>
    <col min="4" max="4" width="11.42578125" style="442"/>
    <col min="5" max="5" width="16.42578125" style="442" customWidth="1"/>
    <col min="6" max="6" width="11.42578125" style="442"/>
    <col min="7" max="7" width="0" style="442" hidden="1" customWidth="1"/>
    <col min="8" max="8" width="18.28515625" style="442" hidden="1" customWidth="1"/>
    <col min="9" max="9" width="25" style="442" hidden="1" customWidth="1"/>
    <col min="10" max="11" width="0" style="442" hidden="1" customWidth="1"/>
    <col min="12" max="16384" width="11.42578125" style="442"/>
  </cols>
  <sheetData>
    <row r="1" spans="2:9">
      <c r="B1" s="744" t="s">
        <v>492</v>
      </c>
      <c r="C1" s="745"/>
      <c r="D1" s="745"/>
      <c r="E1" s="746"/>
    </row>
    <row r="2" spans="2:9" ht="39" customHeight="1">
      <c r="B2" s="747"/>
      <c r="C2" s="748"/>
      <c r="D2" s="748"/>
      <c r="E2" s="749"/>
    </row>
    <row r="3" spans="2:9">
      <c r="B3" s="738" t="e">
        <f>#REF!</f>
        <v>#REF!</v>
      </c>
      <c r="C3" s="739"/>
      <c r="D3" s="739"/>
      <c r="E3" s="740"/>
    </row>
    <row r="4" spans="2:9" ht="22.5" customHeight="1">
      <c r="B4" s="741"/>
      <c r="C4" s="742"/>
      <c r="D4" s="742"/>
      <c r="E4" s="743"/>
    </row>
    <row r="5" spans="2:9">
      <c r="B5" s="755" t="s">
        <v>436</v>
      </c>
      <c r="C5" s="756"/>
      <c r="D5" s="756"/>
      <c r="E5" s="757"/>
    </row>
    <row r="6" spans="2:9">
      <c r="B6" s="758"/>
      <c r="C6" s="759"/>
      <c r="D6" s="759"/>
      <c r="E6" s="760"/>
      <c r="G6" s="443" t="s">
        <v>437</v>
      </c>
      <c r="H6" s="444">
        <v>71479200</v>
      </c>
      <c r="I6" s="445" t="s">
        <v>438</v>
      </c>
    </row>
    <row r="7" spans="2:9" ht="30">
      <c r="B7" s="446">
        <v>1</v>
      </c>
      <c r="C7" s="447" t="s">
        <v>439</v>
      </c>
      <c r="D7" s="448"/>
      <c r="E7" s="449">
        <v>1</v>
      </c>
      <c r="G7" s="443" t="s">
        <v>440</v>
      </c>
      <c r="H7" s="450">
        <f>+H6*0.34</f>
        <v>24302928</v>
      </c>
      <c r="I7" s="451" t="s">
        <v>441</v>
      </c>
    </row>
    <row r="8" spans="2:9">
      <c r="B8" s="750"/>
      <c r="C8" s="751"/>
      <c r="D8" s="751"/>
      <c r="E8" s="751"/>
    </row>
    <row r="9" spans="2:9" ht="15.75">
      <c r="B9" s="446">
        <v>2</v>
      </c>
      <c r="C9" s="447" t="s">
        <v>442</v>
      </c>
      <c r="D9" s="448"/>
      <c r="E9" s="449">
        <f>ROUND(SUM(D10:D19),2)</f>
        <v>0.62</v>
      </c>
    </row>
    <row r="10" spans="2:9">
      <c r="B10" s="452">
        <v>2.0099999999999998</v>
      </c>
      <c r="C10" s="453" t="s">
        <v>443</v>
      </c>
      <c r="D10" s="454">
        <v>8.3333333333333301E-2</v>
      </c>
      <c r="E10" s="455"/>
    </row>
    <row r="11" spans="2:9">
      <c r="B11" s="452">
        <v>2.02</v>
      </c>
      <c r="C11" s="453" t="s">
        <v>444</v>
      </c>
      <c r="D11" s="454">
        <v>1.21E-2</v>
      </c>
      <c r="E11" s="455"/>
    </row>
    <row r="12" spans="2:9">
      <c r="B12" s="452">
        <v>2.0299999999999998</v>
      </c>
      <c r="C12" s="453" t="s">
        <v>445</v>
      </c>
      <c r="D12" s="454">
        <v>8.3333333333333329E-2</v>
      </c>
      <c r="E12" s="455"/>
    </row>
    <row r="13" spans="2:9">
      <c r="B13" s="452">
        <v>2.04</v>
      </c>
      <c r="C13" s="453" t="s">
        <v>153</v>
      </c>
      <c r="D13" s="454">
        <v>4.1099999999999998E-2</v>
      </c>
      <c r="E13" s="455"/>
    </row>
    <row r="14" spans="2:9">
      <c r="B14" s="452">
        <v>2.0499999999999998</v>
      </c>
      <c r="C14" s="453" t="s">
        <v>446</v>
      </c>
      <c r="D14" s="454">
        <v>0.12</v>
      </c>
      <c r="E14" s="455"/>
    </row>
    <row r="15" spans="2:9">
      <c r="B15" s="452">
        <v>2.06</v>
      </c>
      <c r="C15" s="453" t="s">
        <v>447</v>
      </c>
      <c r="D15" s="454">
        <v>0.14499999999999999</v>
      </c>
      <c r="E15" s="455"/>
    </row>
    <row r="16" spans="2:9">
      <c r="B16" s="452">
        <v>2.0699999999999998</v>
      </c>
      <c r="C16" s="453" t="s">
        <v>448</v>
      </c>
      <c r="D16" s="454">
        <v>6.9599999999999995E-2</v>
      </c>
      <c r="E16" s="455"/>
    </row>
    <row r="17" spans="2:10">
      <c r="B17" s="452">
        <v>2.08</v>
      </c>
      <c r="C17" s="453" t="s">
        <v>449</v>
      </c>
      <c r="D17" s="454">
        <v>0.04</v>
      </c>
      <c r="E17" s="455"/>
    </row>
    <row r="18" spans="2:10">
      <c r="B18" s="452">
        <v>2.09</v>
      </c>
      <c r="C18" s="453" t="s">
        <v>450</v>
      </c>
      <c r="D18" s="454">
        <v>4.5999999999999999E-3</v>
      </c>
      <c r="E18" s="455"/>
    </row>
    <row r="19" spans="2:10">
      <c r="B19" s="456">
        <v>2.1</v>
      </c>
      <c r="C19" s="453" t="s">
        <v>151</v>
      </c>
      <c r="D19" s="454">
        <v>0.02</v>
      </c>
      <c r="E19" s="455"/>
    </row>
    <row r="20" spans="2:10">
      <c r="B20" s="750"/>
      <c r="C20" s="751"/>
      <c r="D20" s="751"/>
      <c r="E20" s="751"/>
    </row>
    <row r="21" spans="2:10" ht="15.75">
      <c r="B21" s="446">
        <v>3</v>
      </c>
      <c r="C21" s="447" t="s">
        <v>451</v>
      </c>
      <c r="D21" s="448"/>
      <c r="E21" s="449">
        <f>ROUND(SUM(D22:D38),2)</f>
        <v>0.49</v>
      </c>
    </row>
    <row r="22" spans="2:10">
      <c r="B22" s="452">
        <v>3.01</v>
      </c>
      <c r="C22" s="445" t="s">
        <v>452</v>
      </c>
      <c r="D22" s="454">
        <v>3.4000000000000002E-2</v>
      </c>
      <c r="E22" s="455"/>
      <c r="H22" s="442" t="s">
        <v>453</v>
      </c>
      <c r="I22" s="457" t="e">
        <f>+#REF!*3</f>
        <v>#REF!</v>
      </c>
      <c r="J22" s="458" t="e">
        <f>+I22/H6</f>
        <v>#REF!</v>
      </c>
    </row>
    <row r="23" spans="2:10">
      <c r="B23" s="452">
        <v>3.02</v>
      </c>
      <c r="C23" s="451" t="s">
        <v>155</v>
      </c>
      <c r="D23" s="454">
        <v>5.0000000000000001E-3</v>
      </c>
      <c r="E23" s="455"/>
      <c r="I23" s="457"/>
      <c r="J23" s="458"/>
    </row>
    <row r="24" spans="2:10">
      <c r="B24" s="452">
        <v>3.03</v>
      </c>
      <c r="C24" s="445" t="s">
        <v>454</v>
      </c>
      <c r="D24" s="454">
        <v>1.2999999999999999E-4</v>
      </c>
      <c r="E24" s="455"/>
      <c r="I24" s="457"/>
      <c r="J24" s="458"/>
    </row>
    <row r="25" spans="2:10">
      <c r="B25" s="452">
        <v>3.04</v>
      </c>
      <c r="C25" s="445" t="s">
        <v>157</v>
      </c>
      <c r="D25" s="454">
        <v>1.4999999999999999E-2</v>
      </c>
      <c r="E25" s="455"/>
      <c r="I25" s="457"/>
      <c r="J25" s="458"/>
    </row>
    <row r="26" spans="2:10">
      <c r="B26" s="452">
        <v>3.05</v>
      </c>
      <c r="C26" s="451" t="s">
        <v>158</v>
      </c>
      <c r="D26" s="454">
        <v>0.15</v>
      </c>
      <c r="E26" s="455"/>
      <c r="I26" s="457"/>
      <c r="J26" s="458"/>
    </row>
    <row r="27" spans="2:10">
      <c r="B27" s="452">
        <v>3.06</v>
      </c>
      <c r="C27" s="445" t="s">
        <v>159</v>
      </c>
      <c r="D27" s="454">
        <v>0.02</v>
      </c>
      <c r="E27" s="455"/>
      <c r="I27" s="457"/>
      <c r="J27" s="458"/>
    </row>
    <row r="28" spans="2:10">
      <c r="B28" s="452">
        <v>3.07</v>
      </c>
      <c r="C28" s="445" t="s">
        <v>160</v>
      </c>
      <c r="D28" s="454">
        <v>0.01</v>
      </c>
      <c r="E28" s="455"/>
      <c r="I28" s="457"/>
      <c r="J28" s="458"/>
    </row>
    <row r="29" spans="2:10">
      <c r="B29" s="452">
        <v>3.08</v>
      </c>
      <c r="C29" s="445" t="s">
        <v>161</v>
      </c>
      <c r="D29" s="454">
        <v>5.0000000000000001E-3</v>
      </c>
      <c r="E29" s="455"/>
      <c r="I29" s="457"/>
      <c r="J29" s="458"/>
    </row>
    <row r="30" spans="2:10">
      <c r="B30" s="452">
        <v>3.09</v>
      </c>
      <c r="C30" s="445" t="s">
        <v>162</v>
      </c>
      <c r="D30" s="454">
        <v>0.05</v>
      </c>
      <c r="E30" s="455"/>
      <c r="I30" s="457"/>
      <c r="J30" s="458"/>
    </row>
    <row r="31" spans="2:10">
      <c r="B31" s="456">
        <v>3.1</v>
      </c>
      <c r="C31" s="445" t="s">
        <v>163</v>
      </c>
      <c r="D31" s="454">
        <v>0.03</v>
      </c>
      <c r="E31" s="455"/>
      <c r="I31" s="457"/>
      <c r="J31" s="458"/>
    </row>
    <row r="32" spans="2:10">
      <c r="B32" s="452">
        <v>3.11</v>
      </c>
      <c r="C32" s="445" t="s">
        <v>164</v>
      </c>
      <c r="D32" s="454">
        <v>0.03</v>
      </c>
      <c r="E32" s="455"/>
      <c r="I32" s="457"/>
      <c r="J32" s="458"/>
    </row>
    <row r="33" spans="2:10">
      <c r="B33" s="452">
        <v>3.12</v>
      </c>
      <c r="C33" s="445" t="s">
        <v>165</v>
      </c>
      <c r="D33" s="454">
        <v>0.03</v>
      </c>
      <c r="E33" s="455"/>
      <c r="I33" s="457"/>
      <c r="J33" s="458"/>
    </row>
    <row r="34" spans="2:10">
      <c r="B34" s="452">
        <v>3.13</v>
      </c>
      <c r="C34" s="445" t="s">
        <v>166</v>
      </c>
      <c r="D34" s="454">
        <v>5.0000000000000001E-3</v>
      </c>
      <c r="E34" s="455"/>
      <c r="I34" s="457"/>
      <c r="J34" s="458"/>
    </row>
    <row r="35" spans="2:10">
      <c r="B35" s="452">
        <v>3.14</v>
      </c>
      <c r="C35" s="445" t="s">
        <v>167</v>
      </c>
      <c r="D35" s="454">
        <v>0.05</v>
      </c>
      <c r="E35" s="455"/>
      <c r="I35" s="457"/>
      <c r="J35" s="458"/>
    </row>
    <row r="36" spans="2:10">
      <c r="B36" s="452">
        <v>3.15</v>
      </c>
      <c r="C36" s="445" t="s">
        <v>168</v>
      </c>
      <c r="D36" s="454">
        <v>0.01</v>
      </c>
      <c r="E36" s="455"/>
      <c r="I36" s="457"/>
      <c r="J36" s="458"/>
    </row>
    <row r="37" spans="2:10">
      <c r="B37" s="452">
        <v>3.16</v>
      </c>
      <c r="C37" s="451" t="s">
        <v>455</v>
      </c>
      <c r="D37" s="454">
        <v>0.02</v>
      </c>
      <c r="E37" s="455"/>
      <c r="I37" s="457"/>
      <c r="J37" s="458"/>
    </row>
    <row r="38" spans="2:10">
      <c r="B38" s="452">
        <v>3.18</v>
      </c>
      <c r="C38" s="445" t="s">
        <v>169</v>
      </c>
      <c r="D38" s="454">
        <v>2.5000000000000001E-2</v>
      </c>
      <c r="E38" s="455"/>
      <c r="I38" s="457"/>
      <c r="J38" s="458"/>
    </row>
    <row r="39" spans="2:10">
      <c r="B39" s="750"/>
      <c r="C39" s="751"/>
      <c r="D39" s="751"/>
      <c r="E39" s="751"/>
    </row>
    <row r="40" spans="2:10" ht="15.75">
      <c r="B40" s="446">
        <v>4</v>
      </c>
      <c r="C40" s="447" t="s">
        <v>456</v>
      </c>
      <c r="D40" s="448"/>
      <c r="E40" s="449">
        <f>+ROUND(SUM(D41:D44),2)</f>
        <v>0.01</v>
      </c>
      <c r="G40" s="459">
        <f>SUM(G41:G44)</f>
        <v>1.2647058823529412E-2</v>
      </c>
      <c r="I40" s="442" t="s">
        <v>457</v>
      </c>
    </row>
    <row r="41" spans="2:10">
      <c r="B41" s="452">
        <v>4.01</v>
      </c>
      <c r="C41" s="445" t="s">
        <v>458</v>
      </c>
      <c r="D41" s="448">
        <f>ROUND(+G41,4)</f>
        <v>3.5000000000000001E-3</v>
      </c>
      <c r="E41" s="455"/>
      <c r="G41" s="459">
        <f>+H41/$H$7</f>
        <v>3.5294117647058825E-3</v>
      </c>
      <c r="H41" s="460">
        <f>+$H$6*0.3*0.004</f>
        <v>85775.040000000008</v>
      </c>
    </row>
    <row r="42" spans="2:10">
      <c r="B42" s="452">
        <v>4.0199999999999996</v>
      </c>
      <c r="C42" s="445" t="s">
        <v>459</v>
      </c>
      <c r="D42" s="448">
        <f>ROUND(+G42,4)</f>
        <v>3.5000000000000001E-3</v>
      </c>
      <c r="E42" s="455"/>
      <c r="G42" s="459">
        <f>+H42/$H$7</f>
        <v>3.5294117647058825E-3</v>
      </c>
      <c r="H42" s="460">
        <f>+$H$6*0.3*0.004</f>
        <v>85775.040000000008</v>
      </c>
    </row>
    <row r="43" spans="2:10">
      <c r="B43" s="452">
        <v>4.03</v>
      </c>
      <c r="C43" s="445" t="s">
        <v>460</v>
      </c>
      <c r="D43" s="448">
        <f>ROUND(+G43,4)</f>
        <v>1.1999999999999999E-3</v>
      </c>
      <c r="E43" s="455"/>
      <c r="G43" s="459">
        <f>+H43/$H$7</f>
        <v>1.1764705882352942E-3</v>
      </c>
      <c r="H43" s="460">
        <f>+H6*0.1*0.004</f>
        <v>28591.68</v>
      </c>
    </row>
    <row r="44" spans="2:10">
      <c r="B44" s="456">
        <v>4.04</v>
      </c>
      <c r="C44" s="445" t="s">
        <v>461</v>
      </c>
      <c r="D44" s="448">
        <f>ROUND(+G44,4)</f>
        <v>4.4000000000000003E-3</v>
      </c>
      <c r="E44" s="455"/>
      <c r="G44" s="459">
        <f>+H44/$H$7</f>
        <v>4.4117647058823529E-3</v>
      </c>
      <c r="H44" s="460">
        <f>+H6*0.3*0.005</f>
        <v>107218.8</v>
      </c>
    </row>
    <row r="45" spans="2:10">
      <c r="B45" s="750"/>
      <c r="C45" s="751"/>
      <c r="D45" s="751"/>
      <c r="E45" s="751"/>
    </row>
    <row r="46" spans="2:10" ht="15.75">
      <c r="B46" s="446">
        <v>5</v>
      </c>
      <c r="C46" s="447" t="s">
        <v>462</v>
      </c>
      <c r="D46" s="448"/>
      <c r="E46" s="449">
        <f>ROUND(1%*(E7+E9+E21+E40),2)</f>
        <v>0.02</v>
      </c>
    </row>
    <row r="47" spans="2:10">
      <c r="B47" s="750"/>
      <c r="C47" s="751"/>
      <c r="D47" s="751"/>
      <c r="E47" s="751"/>
    </row>
    <row r="48" spans="2:10" ht="15.75">
      <c r="B48" s="446">
        <v>6</v>
      </c>
      <c r="C48" s="447" t="s">
        <v>463</v>
      </c>
      <c r="D48" s="448"/>
      <c r="E48" s="449">
        <f>+ROUND(10%*(E7+E9+E21+E40),2)</f>
        <v>0.21</v>
      </c>
    </row>
    <row r="49" spans="2:7">
      <c r="B49" s="750"/>
      <c r="C49" s="751"/>
      <c r="D49" s="751"/>
      <c r="E49" s="751"/>
    </row>
    <row r="50" spans="2:7" ht="15.75">
      <c r="B50" s="461"/>
      <c r="C50" s="462" t="s">
        <v>464</v>
      </c>
      <c r="D50" s="463"/>
      <c r="E50" s="449">
        <f>+E7+E9+E21+E40+E46+E48</f>
        <v>2.35</v>
      </c>
      <c r="G50" s="442">
        <v>2.35</v>
      </c>
    </row>
    <row r="51" spans="2:7" s="468" customFormat="1">
      <c r="B51" s="464"/>
      <c r="C51" s="465"/>
      <c r="D51" s="466"/>
      <c r="E51" s="467"/>
      <c r="F51" s="466"/>
      <c r="G51" s="466"/>
    </row>
    <row r="52" spans="2:7" s="468" customFormat="1">
      <c r="B52" s="752"/>
      <c r="C52" s="752"/>
      <c r="D52" s="752"/>
      <c r="E52" s="752"/>
      <c r="F52" s="752"/>
      <c r="G52" s="752"/>
    </row>
    <row r="53" spans="2:7" s="468" customFormat="1">
      <c r="C53" s="469"/>
      <c r="D53" s="469"/>
      <c r="E53" s="470"/>
      <c r="F53" s="470"/>
      <c r="G53" s="470"/>
    </row>
    <row r="54" spans="2:7" s="468" customFormat="1">
      <c r="B54" s="194" t="s">
        <v>134</v>
      </c>
      <c r="C54" s="194"/>
      <c r="E54" s="470"/>
      <c r="F54" s="470"/>
      <c r="G54" s="470"/>
    </row>
    <row r="55" spans="2:7" ht="15.75">
      <c r="B55" s="194" t="s">
        <v>131</v>
      </c>
      <c r="C55" s="194"/>
      <c r="D55" s="468"/>
      <c r="E55" s="470"/>
      <c r="F55" s="470"/>
      <c r="G55" s="470"/>
    </row>
    <row r="56" spans="2:7" ht="15.75">
      <c r="B56" s="468"/>
      <c r="C56" s="471"/>
      <c r="D56" s="468"/>
      <c r="E56" s="470"/>
      <c r="F56" s="470"/>
      <c r="G56" s="470"/>
    </row>
    <row r="57" spans="2:7">
      <c r="C57" s="473"/>
      <c r="D57" s="473"/>
      <c r="E57" s="474"/>
    </row>
    <row r="58" spans="2:7">
      <c r="B58" s="473" t="s">
        <v>152</v>
      </c>
      <c r="C58" s="475" t="s">
        <v>465</v>
      </c>
      <c r="D58" s="474"/>
      <c r="E58" s="474"/>
    </row>
    <row r="59" spans="2:7">
      <c r="B59" s="473" t="s">
        <v>154</v>
      </c>
      <c r="C59" s="475" t="s">
        <v>466</v>
      </c>
      <c r="D59" s="474"/>
      <c r="E59" s="474"/>
    </row>
    <row r="60" spans="2:7" ht="48">
      <c r="B60" s="476" t="s">
        <v>156</v>
      </c>
      <c r="C60" s="477" t="s">
        <v>467</v>
      </c>
      <c r="D60" s="478"/>
      <c r="E60" s="478"/>
    </row>
    <row r="61" spans="2:7">
      <c r="B61" s="473" t="s">
        <v>170</v>
      </c>
      <c r="C61" s="475" t="s">
        <v>468</v>
      </c>
      <c r="D61" s="474"/>
      <c r="E61" s="474"/>
    </row>
    <row r="62" spans="2:7">
      <c r="B62" s="473" t="s">
        <v>171</v>
      </c>
      <c r="C62" s="475" t="s">
        <v>469</v>
      </c>
      <c r="D62" s="474"/>
      <c r="E62" s="474"/>
    </row>
    <row r="63" spans="2:7">
      <c r="B63" s="473" t="s">
        <v>470</v>
      </c>
      <c r="C63" s="475" t="s">
        <v>471</v>
      </c>
      <c r="D63" s="474"/>
      <c r="E63" s="474"/>
    </row>
    <row r="64" spans="2:7">
      <c r="B64" s="473" t="s">
        <v>472</v>
      </c>
      <c r="C64" s="475" t="s">
        <v>473</v>
      </c>
      <c r="D64" s="474"/>
      <c r="E64" s="474"/>
    </row>
    <row r="65" spans="2:5">
      <c r="B65" s="473" t="s">
        <v>474</v>
      </c>
      <c r="C65" s="475" t="s">
        <v>475</v>
      </c>
      <c r="D65" s="474"/>
      <c r="E65" s="474"/>
    </row>
    <row r="66" spans="2:5" ht="48">
      <c r="B66" s="476" t="s">
        <v>476</v>
      </c>
      <c r="C66" s="477" t="s">
        <v>477</v>
      </c>
      <c r="D66" s="478"/>
      <c r="E66" s="478"/>
    </row>
    <row r="67" spans="2:5" ht="36">
      <c r="B67" s="476" t="s">
        <v>478</v>
      </c>
      <c r="C67" s="477" t="s">
        <v>479</v>
      </c>
      <c r="D67" s="479"/>
      <c r="E67" s="479"/>
    </row>
    <row r="68" spans="2:5" ht="24">
      <c r="B68" s="476" t="s">
        <v>480</v>
      </c>
      <c r="C68" s="477" t="s">
        <v>481</v>
      </c>
      <c r="D68" s="479"/>
      <c r="E68" s="479"/>
    </row>
    <row r="69" spans="2:5">
      <c r="B69" s="473" t="s">
        <v>482</v>
      </c>
      <c r="C69" s="475" t="s">
        <v>483</v>
      </c>
      <c r="D69" s="474"/>
      <c r="E69" s="474"/>
    </row>
    <row r="70" spans="2:5" ht="36">
      <c r="B70" s="476" t="s">
        <v>484</v>
      </c>
      <c r="C70" s="477" t="s">
        <v>485</v>
      </c>
      <c r="D70" s="478"/>
      <c r="E70" s="478"/>
    </row>
    <row r="71" spans="2:5">
      <c r="B71" s="476"/>
      <c r="C71" s="477"/>
      <c r="D71" s="478"/>
      <c r="E71" s="478"/>
    </row>
    <row r="72" spans="2:5">
      <c r="B72" s="480"/>
      <c r="C72" s="481" t="s">
        <v>486</v>
      </c>
      <c r="D72" s="474"/>
      <c r="E72" s="474"/>
    </row>
    <row r="73" spans="2:5">
      <c r="B73" s="480"/>
      <c r="C73" s="481"/>
      <c r="D73" s="474"/>
      <c r="E73" s="474"/>
    </row>
    <row r="74" spans="2:5">
      <c r="B74" s="480"/>
      <c r="C74" s="753" t="s">
        <v>487</v>
      </c>
      <c r="D74" s="753"/>
      <c r="E74" s="753"/>
    </row>
    <row r="75" spans="2:5">
      <c r="B75" s="480"/>
      <c r="C75" s="482"/>
      <c r="D75" s="474"/>
      <c r="E75" s="474"/>
    </row>
    <row r="76" spans="2:5">
      <c r="B76" s="480"/>
      <c r="C76" s="481" t="s">
        <v>488</v>
      </c>
      <c r="D76" s="474"/>
      <c r="E76" s="474"/>
    </row>
    <row r="77" spans="2:5">
      <c r="B77" s="480"/>
      <c r="C77" s="474"/>
      <c r="D77" s="474"/>
      <c r="E77" s="474"/>
    </row>
    <row r="78" spans="2:5">
      <c r="B78" s="480"/>
      <c r="C78" s="754" t="s">
        <v>489</v>
      </c>
      <c r="D78" s="754"/>
      <c r="E78" s="754"/>
    </row>
    <row r="79" spans="2:5">
      <c r="B79" s="480"/>
      <c r="C79" s="754" t="s">
        <v>490</v>
      </c>
      <c r="D79" s="754"/>
      <c r="E79" s="754"/>
    </row>
    <row r="80" spans="2:5">
      <c r="B80" s="480"/>
      <c r="C80" s="754" t="s">
        <v>491</v>
      </c>
      <c r="D80" s="754"/>
      <c r="E80" s="754"/>
    </row>
    <row r="81" spans="2:5">
      <c r="B81" s="480"/>
      <c r="D81" s="483"/>
      <c r="E81" s="483"/>
    </row>
  </sheetData>
  <mergeCells count="14">
    <mergeCell ref="C78:E78"/>
    <mergeCell ref="C79:E79"/>
    <mergeCell ref="C80:E80"/>
    <mergeCell ref="B5:E6"/>
    <mergeCell ref="B8:E8"/>
    <mergeCell ref="B20:E20"/>
    <mergeCell ref="B39:E39"/>
    <mergeCell ref="B45:E45"/>
    <mergeCell ref="B47:E47"/>
    <mergeCell ref="B3:E4"/>
    <mergeCell ref="B1:E2"/>
    <mergeCell ref="B49:E49"/>
    <mergeCell ref="B52:G52"/>
    <mergeCell ref="C74:E74"/>
  </mergeCells>
  <pageMargins left="0.7" right="0.7" top="0.75" bottom="0.75" header="0.3" footer="0.3"/>
  <pageSetup orientation="portrait" r:id="rId1"/>
  <colBreaks count="1" manualBreakCount="1">
    <brk id="5" min="3" max="49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J47"/>
  <sheetViews>
    <sheetView view="pageBreakPreview" topLeftCell="A36" zoomScaleSheetLayoutView="100" workbookViewId="0">
      <selection activeCell="B31" sqref="B31"/>
    </sheetView>
  </sheetViews>
  <sheetFormatPr baseColWidth="10" defaultColWidth="10.7109375" defaultRowHeight="12.75"/>
  <cols>
    <col min="1" max="1" width="1.42578125" style="198" customWidth="1"/>
    <col min="2" max="2" width="56.42578125" style="198" customWidth="1"/>
    <col min="3" max="3" width="17" style="198" customWidth="1"/>
    <col min="4" max="4" width="6.28515625" style="198" customWidth="1"/>
    <col min="5" max="5" width="14.7109375" style="233" customWidth="1"/>
    <col min="6" max="6" width="10.42578125" style="233" customWidth="1"/>
    <col min="7" max="7" width="20.28515625" style="233" customWidth="1"/>
    <col min="8" max="8" width="10.7109375" style="198"/>
    <col min="9" max="9" width="17" style="198" customWidth="1"/>
    <col min="10" max="10" width="13.7109375" style="198" bestFit="1" customWidth="1"/>
    <col min="11" max="16384" width="10.7109375" style="198"/>
  </cols>
  <sheetData>
    <row r="1" spans="1:9" ht="72" customHeight="1">
      <c r="A1" s="761" t="s">
        <v>427</v>
      </c>
      <c r="B1" s="762"/>
      <c r="C1" s="762"/>
      <c r="D1" s="762"/>
      <c r="E1" s="762"/>
      <c r="F1" s="762"/>
      <c r="G1" s="763"/>
    </row>
    <row r="2" spans="1:9" ht="15.75">
      <c r="A2" s="764"/>
      <c r="B2" s="765"/>
      <c r="C2" s="765"/>
      <c r="D2" s="765"/>
      <c r="E2" s="765"/>
      <c r="F2" s="765"/>
      <c r="G2" s="766"/>
    </row>
    <row r="3" spans="1:9" ht="36" customHeight="1">
      <c r="A3" s="767" t="e">
        <f>#REF!</f>
        <v>#REF!</v>
      </c>
      <c r="B3" s="768"/>
      <c r="C3" s="768"/>
      <c r="D3" s="768"/>
      <c r="E3" s="768"/>
      <c r="F3" s="768"/>
      <c r="G3" s="769"/>
    </row>
    <row r="4" spans="1:9" ht="15.75">
      <c r="A4" s="201"/>
      <c r="B4" s="202"/>
      <c r="C4" s="202"/>
      <c r="D4" s="202"/>
      <c r="E4" s="202"/>
      <c r="F4" s="202"/>
      <c r="G4" s="203"/>
    </row>
    <row r="5" spans="1:9" ht="15.75">
      <c r="A5" s="767" t="s">
        <v>135</v>
      </c>
      <c r="B5" s="768"/>
      <c r="C5" s="768"/>
      <c r="D5" s="768"/>
      <c r="E5" s="768"/>
      <c r="F5" s="768"/>
      <c r="G5" s="769"/>
    </row>
    <row r="6" spans="1:9">
      <c r="A6" s="770"/>
      <c r="B6" s="771"/>
      <c r="C6" s="771"/>
      <c r="D6" s="771"/>
      <c r="E6" s="771"/>
      <c r="F6" s="771"/>
      <c r="G6" s="204"/>
    </row>
    <row r="7" spans="1:9" ht="36">
      <c r="A7" s="495"/>
      <c r="B7" s="484" t="s">
        <v>136</v>
      </c>
      <c r="C7" s="270" t="s">
        <v>137</v>
      </c>
      <c r="D7" s="270" t="s">
        <v>493</v>
      </c>
      <c r="E7" s="270" t="s">
        <v>504</v>
      </c>
      <c r="F7" s="270" t="s">
        <v>172</v>
      </c>
      <c r="G7" s="271" t="s">
        <v>138</v>
      </c>
    </row>
    <row r="8" spans="1:9" ht="18" customHeight="1">
      <c r="A8" s="492"/>
      <c r="B8" s="485" t="s">
        <v>139</v>
      </c>
      <c r="C8" s="205"/>
      <c r="D8" s="205"/>
      <c r="E8" s="206"/>
      <c r="F8" s="207"/>
      <c r="G8" s="208"/>
    </row>
    <row r="9" spans="1:9" ht="18" customHeight="1">
      <c r="A9" s="493"/>
      <c r="B9" s="485" t="s">
        <v>140</v>
      </c>
      <c r="C9" s="209"/>
      <c r="D9" s="209"/>
      <c r="E9" s="206"/>
      <c r="F9" s="207"/>
      <c r="G9" s="208"/>
    </row>
    <row r="10" spans="1:9" ht="18" customHeight="1">
      <c r="A10" s="494"/>
      <c r="B10" s="486" t="s">
        <v>175</v>
      </c>
      <c r="C10" s="210">
        <v>4500000</v>
      </c>
      <c r="D10" s="274">
        <v>1</v>
      </c>
      <c r="E10" s="211">
        <v>0.4</v>
      </c>
      <c r="F10" s="267">
        <v>12</v>
      </c>
      <c r="G10" s="212">
        <f>C10*E10*F10</f>
        <v>21600000</v>
      </c>
      <c r="I10" s="198" t="s">
        <v>141</v>
      </c>
    </row>
    <row r="11" spans="1:9" ht="18" customHeight="1">
      <c r="A11" s="494"/>
      <c r="B11" s="486" t="s">
        <v>173</v>
      </c>
      <c r="C11" s="210">
        <v>3000000</v>
      </c>
      <c r="D11" s="274">
        <v>2</v>
      </c>
      <c r="E11" s="211">
        <v>1</v>
      </c>
      <c r="F11" s="267">
        <v>12</v>
      </c>
      <c r="G11" s="212">
        <f>C11*E11*F11*D11</f>
        <v>72000000</v>
      </c>
      <c r="I11" s="198" t="s">
        <v>141</v>
      </c>
    </row>
    <row r="12" spans="1:9" ht="18" customHeight="1">
      <c r="A12" s="494"/>
      <c r="B12" s="486" t="s">
        <v>174</v>
      </c>
      <c r="C12" s="210">
        <v>4000000</v>
      </c>
      <c r="D12" s="274">
        <v>1</v>
      </c>
      <c r="E12" s="211">
        <v>0.4</v>
      </c>
      <c r="F12" s="267">
        <v>12</v>
      </c>
      <c r="G12" s="212">
        <f>C12*E12*F12</f>
        <v>19200000</v>
      </c>
    </row>
    <row r="13" spans="1:9" ht="18" customHeight="1">
      <c r="A13" s="494"/>
      <c r="B13" s="486" t="s">
        <v>176</v>
      </c>
      <c r="C13" s="210">
        <v>4000000</v>
      </c>
      <c r="D13" s="274">
        <v>1</v>
      </c>
      <c r="E13" s="211">
        <v>0.4</v>
      </c>
      <c r="F13" s="267">
        <v>12</v>
      </c>
      <c r="G13" s="212">
        <f>C13*E13*F13</f>
        <v>19200000</v>
      </c>
    </row>
    <row r="14" spans="1:9" ht="18" customHeight="1">
      <c r="A14" s="493"/>
      <c r="B14" s="487" t="s">
        <v>177</v>
      </c>
      <c r="C14" s="213"/>
      <c r="D14" s="268"/>
      <c r="E14" s="214"/>
      <c r="F14" s="215"/>
      <c r="G14" s="212"/>
    </row>
    <row r="15" spans="1:9" ht="18" customHeight="1">
      <c r="A15" s="493"/>
      <c r="B15" s="488" t="s">
        <v>192</v>
      </c>
      <c r="C15" s="210">
        <v>1400000</v>
      </c>
      <c r="D15" s="268">
        <v>2</v>
      </c>
      <c r="E15" s="211">
        <v>1</v>
      </c>
      <c r="F15" s="267">
        <v>12</v>
      </c>
      <c r="G15" s="212">
        <f>C15*E15*F15*D15</f>
        <v>33600000</v>
      </c>
    </row>
    <row r="16" spans="1:9" ht="18" customHeight="1">
      <c r="A16" s="493"/>
      <c r="B16" s="488" t="s">
        <v>495</v>
      </c>
      <c r="C16" s="210">
        <v>1200000</v>
      </c>
      <c r="D16" s="268">
        <v>2</v>
      </c>
      <c r="E16" s="211">
        <v>1</v>
      </c>
      <c r="F16" s="267">
        <v>12</v>
      </c>
      <c r="G16" s="212">
        <f>C16*E16*F16*D16</f>
        <v>28800000</v>
      </c>
    </row>
    <row r="17" spans="1:9" ht="18" customHeight="1">
      <c r="A17" s="493"/>
      <c r="B17" s="486" t="s">
        <v>178</v>
      </c>
      <c r="C17" s="210">
        <v>3500000</v>
      </c>
      <c r="D17" s="268">
        <v>1</v>
      </c>
      <c r="E17" s="211">
        <v>1</v>
      </c>
      <c r="F17" s="267">
        <v>12</v>
      </c>
      <c r="G17" s="212">
        <f t="shared" ref="G17:G23" si="0">C17*E17*F17</f>
        <v>42000000</v>
      </c>
    </row>
    <row r="18" spans="1:9" ht="18" customHeight="1">
      <c r="A18" s="493"/>
      <c r="B18" s="488" t="s">
        <v>494</v>
      </c>
      <c r="C18" s="210">
        <v>1400000</v>
      </c>
      <c r="D18" s="268">
        <v>1</v>
      </c>
      <c r="E18" s="211">
        <v>0.5</v>
      </c>
      <c r="F18" s="267">
        <v>12</v>
      </c>
      <c r="G18" s="212">
        <f>C18*E18*F18</f>
        <v>8400000</v>
      </c>
    </row>
    <row r="19" spans="1:9" ht="18" customHeight="1">
      <c r="A19" s="493"/>
      <c r="B19" s="487" t="s">
        <v>179</v>
      </c>
      <c r="C19" s="210"/>
      <c r="D19" s="268"/>
      <c r="E19" s="211"/>
      <c r="F19" s="267"/>
      <c r="G19" s="212"/>
    </row>
    <row r="20" spans="1:9" ht="18" customHeight="1">
      <c r="A20" s="493"/>
      <c r="B20" s="488" t="s">
        <v>180</v>
      </c>
      <c r="C20" s="210">
        <v>800000</v>
      </c>
      <c r="D20" s="268">
        <v>1</v>
      </c>
      <c r="E20" s="211">
        <v>1</v>
      </c>
      <c r="F20" s="267">
        <v>12</v>
      </c>
      <c r="G20" s="212">
        <f t="shared" si="0"/>
        <v>9600000</v>
      </c>
    </row>
    <row r="21" spans="1:9" ht="18" customHeight="1">
      <c r="A21" s="493"/>
      <c r="B21" s="488" t="s">
        <v>496</v>
      </c>
      <c r="C21" s="210">
        <v>2500000</v>
      </c>
      <c r="D21" s="268">
        <v>1</v>
      </c>
      <c r="E21" s="211">
        <v>0.6</v>
      </c>
      <c r="F21" s="267">
        <v>12</v>
      </c>
      <c r="G21" s="212">
        <f>C21*E21*F21</f>
        <v>18000000</v>
      </c>
    </row>
    <row r="22" spans="1:9" ht="18" customHeight="1">
      <c r="A22" s="493"/>
      <c r="B22" s="487" t="s">
        <v>181</v>
      </c>
      <c r="C22" s="210"/>
      <c r="D22" s="268"/>
      <c r="E22" s="211"/>
      <c r="F22" s="267"/>
      <c r="G22" s="212"/>
    </row>
    <row r="23" spans="1:9" ht="18" customHeight="1">
      <c r="A23" s="493"/>
      <c r="B23" s="488" t="s">
        <v>182</v>
      </c>
      <c r="C23" s="210">
        <v>800000</v>
      </c>
      <c r="D23" s="268">
        <v>1</v>
      </c>
      <c r="E23" s="211">
        <v>1</v>
      </c>
      <c r="F23" s="267">
        <v>12</v>
      </c>
      <c r="G23" s="212">
        <f t="shared" si="0"/>
        <v>9600000</v>
      </c>
    </row>
    <row r="24" spans="1:9" ht="18" customHeight="1">
      <c r="A24" s="493"/>
      <c r="B24" s="487" t="s">
        <v>184</v>
      </c>
      <c r="C24" s="210"/>
      <c r="D24" s="210"/>
      <c r="E24" s="211"/>
      <c r="F24" s="267"/>
      <c r="G24" s="216">
        <f>SUM(G10:G23)</f>
        <v>282000000</v>
      </c>
    </row>
    <row r="25" spans="1:9" ht="18" customHeight="1">
      <c r="A25" s="493"/>
      <c r="B25" s="488" t="s">
        <v>183</v>
      </c>
      <c r="C25" s="210"/>
      <c r="D25" s="210"/>
      <c r="E25" s="211"/>
      <c r="F25" s="267"/>
      <c r="G25" s="269">
        <v>2.35</v>
      </c>
    </row>
    <row r="26" spans="1:9" ht="18" customHeight="1">
      <c r="A26" s="493"/>
      <c r="B26" s="487" t="s">
        <v>185</v>
      </c>
      <c r="C26" s="210"/>
      <c r="D26" s="210"/>
      <c r="E26" s="211"/>
      <c r="F26" s="267"/>
      <c r="G26" s="216">
        <f>G24*G25</f>
        <v>662700000</v>
      </c>
    </row>
    <row r="27" spans="1:9" ht="33.75" customHeight="1">
      <c r="A27" s="495"/>
      <c r="B27" s="489" t="s">
        <v>142</v>
      </c>
      <c r="C27" s="272" t="s">
        <v>34</v>
      </c>
      <c r="D27" s="272"/>
      <c r="E27" s="272" t="s">
        <v>143</v>
      </c>
      <c r="F27" s="270" t="s">
        <v>186</v>
      </c>
      <c r="G27" s="273" t="s">
        <v>138</v>
      </c>
    </row>
    <row r="28" spans="1:9" ht="18" customHeight="1">
      <c r="A28" s="495"/>
      <c r="B28" s="490" t="s">
        <v>144</v>
      </c>
      <c r="C28" s="217"/>
      <c r="D28" s="217"/>
      <c r="E28" s="217"/>
      <c r="F28" s="218"/>
      <c r="G28" s="219"/>
    </row>
    <row r="29" spans="1:9" ht="18" customHeight="1">
      <c r="A29" s="496"/>
      <c r="B29" s="491" t="s">
        <v>187</v>
      </c>
      <c r="C29" s="220"/>
      <c r="D29" s="220"/>
      <c r="E29" s="221"/>
      <c r="F29" s="222"/>
      <c r="G29" s="223"/>
    </row>
    <row r="30" spans="1:9" ht="18" customHeight="1">
      <c r="A30" s="493"/>
      <c r="B30" s="491" t="s">
        <v>188</v>
      </c>
      <c r="C30" s="224" t="s">
        <v>148</v>
      </c>
      <c r="D30" s="268">
        <v>2</v>
      </c>
      <c r="E30" s="275">
        <v>6000000</v>
      </c>
      <c r="F30" s="267">
        <v>12</v>
      </c>
      <c r="G30" s="223">
        <f>E30*F30*D30</f>
        <v>144000000</v>
      </c>
    </row>
    <row r="31" spans="1:9" ht="30.75" customHeight="1">
      <c r="A31" s="493"/>
      <c r="B31" s="500" t="s">
        <v>497</v>
      </c>
      <c r="C31" s="224" t="s">
        <v>148</v>
      </c>
      <c r="D31" s="268">
        <v>1</v>
      </c>
      <c r="E31" s="275">
        <v>5800000</v>
      </c>
      <c r="F31" s="267">
        <v>12</v>
      </c>
      <c r="G31" s="223">
        <f t="shared" ref="G31:G32" si="1">E31*F31</f>
        <v>69600000</v>
      </c>
    </row>
    <row r="32" spans="1:9" ht="18" customHeight="1">
      <c r="A32" s="493"/>
      <c r="B32" s="491" t="s">
        <v>189</v>
      </c>
      <c r="C32" s="224" t="s">
        <v>148</v>
      </c>
      <c r="D32" s="268">
        <v>1</v>
      </c>
      <c r="E32" s="275">
        <f>4570000+2866.52</f>
        <v>4572866.5199999996</v>
      </c>
      <c r="F32" s="267">
        <v>12</v>
      </c>
      <c r="G32" s="223">
        <f t="shared" si="1"/>
        <v>54874398.239999995</v>
      </c>
      <c r="I32" s="225"/>
    </row>
    <row r="33" spans="1:10" ht="18" customHeight="1">
      <c r="A33" s="493"/>
      <c r="B33" s="490" t="s">
        <v>145</v>
      </c>
      <c r="C33" s="224"/>
      <c r="D33" s="224"/>
      <c r="E33" s="275"/>
      <c r="F33" s="267"/>
      <c r="G33" s="227">
        <f>SUM(G30:G32)</f>
        <v>268474398.24000001</v>
      </c>
      <c r="I33" s="225"/>
    </row>
    <row r="34" spans="1:10" ht="18" customHeight="1">
      <c r="A34" s="493"/>
      <c r="B34" s="491"/>
      <c r="C34" s="224"/>
      <c r="D34" s="224"/>
      <c r="E34" s="275"/>
      <c r="F34" s="267"/>
      <c r="G34" s="223"/>
      <c r="I34" s="225"/>
    </row>
    <row r="35" spans="1:10" ht="18" customHeight="1">
      <c r="A35" s="497"/>
      <c r="B35" s="490" t="s">
        <v>191</v>
      </c>
      <c r="C35" s="220"/>
      <c r="D35" s="220"/>
      <c r="E35" s="221"/>
      <c r="F35" s="226"/>
      <c r="G35" s="227">
        <f>G26+G33</f>
        <v>931174398.24000001</v>
      </c>
      <c r="I35" s="225"/>
    </row>
    <row r="36" spans="1:10" ht="18" customHeight="1">
      <c r="A36" s="498"/>
      <c r="B36" s="485" t="s">
        <v>190</v>
      </c>
      <c r="C36" s="228"/>
      <c r="D36" s="228"/>
      <c r="E36" s="215"/>
      <c r="F36" s="215"/>
      <c r="G36" s="276">
        <f>G35*0.19</f>
        <v>176923135.6656</v>
      </c>
      <c r="I36" s="225"/>
    </row>
    <row r="37" spans="1:10" ht="18" customHeight="1">
      <c r="A37" s="498"/>
      <c r="B37" s="485" t="s">
        <v>146</v>
      </c>
      <c r="C37" s="228"/>
      <c r="D37" s="228"/>
      <c r="E37" s="215"/>
      <c r="F37" s="215"/>
      <c r="G37" s="216">
        <f>ROUND(SUM(G35:G36),0)</f>
        <v>1108097534</v>
      </c>
      <c r="I37" s="229"/>
    </row>
    <row r="38" spans="1:10">
      <c r="A38" s="499"/>
      <c r="B38" s="277"/>
      <c r="C38" s="278"/>
      <c r="D38" s="278"/>
      <c r="E38" s="279"/>
      <c r="F38" s="279"/>
      <c r="G38" s="280"/>
      <c r="I38" s="229"/>
      <c r="J38" s="230"/>
    </row>
    <row r="39" spans="1:10">
      <c r="A39" s="499"/>
      <c r="B39" s="499"/>
      <c r="C39" s="501"/>
      <c r="D39" s="501"/>
      <c r="E39" s="502"/>
      <c r="F39" s="502"/>
      <c r="G39" s="503"/>
      <c r="I39" s="229"/>
      <c r="J39" s="230"/>
    </row>
    <row r="40" spans="1:10">
      <c r="A40" s="499"/>
      <c r="B40" s="499"/>
      <c r="C40" s="501"/>
      <c r="D40" s="501"/>
      <c r="E40" s="502"/>
      <c r="F40" s="502"/>
      <c r="G40" s="503"/>
      <c r="I40" s="229"/>
      <c r="J40" s="230"/>
    </row>
    <row r="41" spans="1:10">
      <c r="A41" s="499"/>
      <c r="B41" s="499"/>
      <c r="C41" s="501"/>
      <c r="D41" s="501"/>
      <c r="E41" s="502"/>
      <c r="F41" s="502"/>
      <c r="G41" s="503"/>
      <c r="I41" s="229"/>
      <c r="J41" s="230"/>
    </row>
    <row r="42" spans="1:10">
      <c r="A42" s="499"/>
      <c r="B42" s="499"/>
      <c r="C42" s="501"/>
      <c r="D42" s="501"/>
      <c r="E42" s="502"/>
      <c r="F42" s="502"/>
      <c r="G42" s="503"/>
      <c r="I42" s="229"/>
      <c r="J42" s="230"/>
    </row>
    <row r="43" spans="1:10">
      <c r="A43" s="231"/>
      <c r="B43" s="231"/>
      <c r="C43" s="231"/>
      <c r="D43" s="231"/>
      <c r="E43" s="232"/>
      <c r="F43" s="232"/>
      <c r="G43" s="281"/>
      <c r="I43" s="225"/>
    </row>
    <row r="44" spans="1:10" ht="15">
      <c r="G44" s="282"/>
      <c r="I44" s="225" t="s">
        <v>141</v>
      </c>
    </row>
    <row r="45" spans="1:10" ht="15.75">
      <c r="B45" s="199" t="s">
        <v>193</v>
      </c>
      <c r="C45" s="199"/>
      <c r="D45" s="234"/>
      <c r="E45" s="262"/>
      <c r="F45" s="235"/>
      <c r="G45" s="283"/>
    </row>
    <row r="46" spans="1:10" ht="15.75">
      <c r="A46" s="199"/>
      <c r="B46" s="199" t="s">
        <v>194</v>
      </c>
      <c r="C46" s="199"/>
      <c r="D46" s="199"/>
      <c r="E46" s="262"/>
      <c r="F46" s="262"/>
      <c r="G46" s="262"/>
    </row>
    <row r="47" spans="1:10" ht="15.75">
      <c r="A47" s="257"/>
      <c r="B47" s="257"/>
      <c r="C47" s="200"/>
      <c r="D47" s="200"/>
      <c r="E47" s="200"/>
      <c r="F47" s="262"/>
      <c r="G47" s="262"/>
    </row>
  </sheetData>
  <mergeCells count="5">
    <mergeCell ref="A1:G1"/>
    <mergeCell ref="A2:G2"/>
    <mergeCell ref="A3:G3"/>
    <mergeCell ref="A5:G5"/>
    <mergeCell ref="A6:F6"/>
  </mergeCells>
  <printOptions horizontalCentered="1"/>
  <pageMargins left="0.70866141732283472" right="0.70866141732283472" top="0.74803149606299213" bottom="0.74803149606299213" header="0.31496062992125984" footer="0.31496062992125984"/>
  <pageSetup orientation="portrait" r:id="rId1"/>
  <colBreaks count="1" manualBreakCount="1">
    <brk id="7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A1:K231"/>
  <sheetViews>
    <sheetView view="pageBreakPreview" topLeftCell="A47" zoomScaleSheetLayoutView="100" workbookViewId="0">
      <selection activeCell="B31" sqref="B31"/>
    </sheetView>
  </sheetViews>
  <sheetFormatPr baseColWidth="10" defaultRowHeight="15"/>
  <cols>
    <col min="1" max="1" width="8.42578125" style="236" customWidth="1"/>
    <col min="2" max="2" width="49.42578125" style="236" customWidth="1"/>
    <col min="3" max="3" width="12.42578125" style="236" customWidth="1"/>
    <col min="4" max="4" width="17.28515625" style="236" customWidth="1"/>
    <col min="5" max="5" width="11.7109375" style="236" customWidth="1"/>
    <col min="6" max="6" width="12.7109375" style="236" customWidth="1"/>
    <col min="7" max="7" width="13" style="236" customWidth="1"/>
    <col min="8" max="8" width="18.28515625" style="236" customWidth="1"/>
    <col min="9" max="9" width="24.42578125" customWidth="1"/>
    <col min="10" max="10" width="18.42578125" customWidth="1"/>
    <col min="11" max="11" width="12.28515625" bestFit="1" customWidth="1"/>
    <col min="12" max="258" width="10.7109375"/>
    <col min="259" max="259" width="8.42578125" customWidth="1"/>
    <col min="260" max="260" width="41.28515625" customWidth="1"/>
    <col min="261" max="261" width="8.28515625" customWidth="1"/>
    <col min="262" max="262" width="13.42578125" customWidth="1"/>
    <col min="263" max="263" width="22.28515625" customWidth="1"/>
    <col min="264" max="264" width="24.42578125" customWidth="1"/>
    <col min="265" max="265" width="12.7109375" bestFit="1" customWidth="1"/>
    <col min="266" max="266" width="14.42578125" bestFit="1" customWidth="1"/>
    <col min="267" max="267" width="12.28515625" bestFit="1" customWidth="1"/>
    <col min="268" max="514" width="10.7109375"/>
    <col min="515" max="515" width="8.42578125" customWidth="1"/>
    <col min="516" max="516" width="41.28515625" customWidth="1"/>
    <col min="517" max="517" width="8.28515625" customWidth="1"/>
    <col min="518" max="518" width="13.42578125" customWidth="1"/>
    <col min="519" max="519" width="22.28515625" customWidth="1"/>
    <col min="520" max="520" width="24.42578125" customWidth="1"/>
    <col min="521" max="521" width="12.7109375" bestFit="1" customWidth="1"/>
    <col min="522" max="522" width="14.42578125" bestFit="1" customWidth="1"/>
    <col min="523" max="523" width="12.28515625" bestFit="1" customWidth="1"/>
    <col min="524" max="770" width="10.7109375"/>
    <col min="771" max="771" width="8.42578125" customWidth="1"/>
    <col min="772" max="772" width="41.28515625" customWidth="1"/>
    <col min="773" max="773" width="8.28515625" customWidth="1"/>
    <col min="774" max="774" width="13.42578125" customWidth="1"/>
    <col min="775" max="775" width="22.28515625" customWidth="1"/>
    <col min="776" max="776" width="24.42578125" customWidth="1"/>
    <col min="777" max="777" width="12.7109375" bestFit="1" customWidth="1"/>
    <col min="778" max="778" width="14.42578125" bestFit="1" customWidth="1"/>
    <col min="779" max="779" width="12.28515625" bestFit="1" customWidth="1"/>
    <col min="780" max="1026" width="10.7109375"/>
    <col min="1027" max="1027" width="8.42578125" customWidth="1"/>
    <col min="1028" max="1028" width="41.28515625" customWidth="1"/>
    <col min="1029" max="1029" width="8.28515625" customWidth="1"/>
    <col min="1030" max="1030" width="13.42578125" customWidth="1"/>
    <col min="1031" max="1031" width="22.28515625" customWidth="1"/>
    <col min="1032" max="1032" width="24.42578125" customWidth="1"/>
    <col min="1033" max="1033" width="12.7109375" bestFit="1" customWidth="1"/>
    <col min="1034" max="1034" width="14.42578125" bestFit="1" customWidth="1"/>
    <col min="1035" max="1035" width="12.28515625" bestFit="1" customWidth="1"/>
    <col min="1036" max="1282" width="10.7109375"/>
    <col min="1283" max="1283" width="8.42578125" customWidth="1"/>
    <col min="1284" max="1284" width="41.28515625" customWidth="1"/>
    <col min="1285" max="1285" width="8.28515625" customWidth="1"/>
    <col min="1286" max="1286" width="13.42578125" customWidth="1"/>
    <col min="1287" max="1287" width="22.28515625" customWidth="1"/>
    <col min="1288" max="1288" width="24.42578125" customWidth="1"/>
    <col min="1289" max="1289" width="12.7109375" bestFit="1" customWidth="1"/>
    <col min="1290" max="1290" width="14.42578125" bestFit="1" customWidth="1"/>
    <col min="1291" max="1291" width="12.28515625" bestFit="1" customWidth="1"/>
    <col min="1292" max="1538" width="10.7109375"/>
    <col min="1539" max="1539" width="8.42578125" customWidth="1"/>
    <col min="1540" max="1540" width="41.28515625" customWidth="1"/>
    <col min="1541" max="1541" width="8.28515625" customWidth="1"/>
    <col min="1542" max="1542" width="13.42578125" customWidth="1"/>
    <col min="1543" max="1543" width="22.28515625" customWidth="1"/>
    <col min="1544" max="1544" width="24.42578125" customWidth="1"/>
    <col min="1545" max="1545" width="12.7109375" bestFit="1" customWidth="1"/>
    <col min="1546" max="1546" width="14.42578125" bestFit="1" customWidth="1"/>
    <col min="1547" max="1547" width="12.28515625" bestFit="1" customWidth="1"/>
    <col min="1548" max="1794" width="10.7109375"/>
    <col min="1795" max="1795" width="8.42578125" customWidth="1"/>
    <col min="1796" max="1796" width="41.28515625" customWidth="1"/>
    <col min="1797" max="1797" width="8.28515625" customWidth="1"/>
    <col min="1798" max="1798" width="13.42578125" customWidth="1"/>
    <col min="1799" max="1799" width="22.28515625" customWidth="1"/>
    <col min="1800" max="1800" width="24.42578125" customWidth="1"/>
    <col min="1801" max="1801" width="12.7109375" bestFit="1" customWidth="1"/>
    <col min="1802" max="1802" width="14.42578125" bestFit="1" customWidth="1"/>
    <col min="1803" max="1803" width="12.28515625" bestFit="1" customWidth="1"/>
    <col min="1804" max="2050" width="10.7109375"/>
    <col min="2051" max="2051" width="8.42578125" customWidth="1"/>
    <col min="2052" max="2052" width="41.28515625" customWidth="1"/>
    <col min="2053" max="2053" width="8.28515625" customWidth="1"/>
    <col min="2054" max="2054" width="13.42578125" customWidth="1"/>
    <col min="2055" max="2055" width="22.28515625" customWidth="1"/>
    <col min="2056" max="2056" width="24.42578125" customWidth="1"/>
    <col min="2057" max="2057" width="12.7109375" bestFit="1" customWidth="1"/>
    <col min="2058" max="2058" width="14.42578125" bestFit="1" customWidth="1"/>
    <col min="2059" max="2059" width="12.28515625" bestFit="1" customWidth="1"/>
    <col min="2060" max="2306" width="10.7109375"/>
    <col min="2307" max="2307" width="8.42578125" customWidth="1"/>
    <col min="2308" max="2308" width="41.28515625" customWidth="1"/>
    <col min="2309" max="2309" width="8.28515625" customWidth="1"/>
    <col min="2310" max="2310" width="13.42578125" customWidth="1"/>
    <col min="2311" max="2311" width="22.28515625" customWidth="1"/>
    <col min="2312" max="2312" width="24.42578125" customWidth="1"/>
    <col min="2313" max="2313" width="12.7109375" bestFit="1" customWidth="1"/>
    <col min="2314" max="2314" width="14.42578125" bestFit="1" customWidth="1"/>
    <col min="2315" max="2315" width="12.28515625" bestFit="1" customWidth="1"/>
    <col min="2316" max="2562" width="10.7109375"/>
    <col min="2563" max="2563" width="8.42578125" customWidth="1"/>
    <col min="2564" max="2564" width="41.28515625" customWidth="1"/>
    <col min="2565" max="2565" width="8.28515625" customWidth="1"/>
    <col min="2566" max="2566" width="13.42578125" customWidth="1"/>
    <col min="2567" max="2567" width="22.28515625" customWidth="1"/>
    <col min="2568" max="2568" width="24.42578125" customWidth="1"/>
    <col min="2569" max="2569" width="12.7109375" bestFit="1" customWidth="1"/>
    <col min="2570" max="2570" width="14.42578125" bestFit="1" customWidth="1"/>
    <col min="2571" max="2571" width="12.28515625" bestFit="1" customWidth="1"/>
    <col min="2572" max="2818" width="10.7109375"/>
    <col min="2819" max="2819" width="8.42578125" customWidth="1"/>
    <col min="2820" max="2820" width="41.28515625" customWidth="1"/>
    <col min="2821" max="2821" width="8.28515625" customWidth="1"/>
    <col min="2822" max="2822" width="13.42578125" customWidth="1"/>
    <col min="2823" max="2823" width="22.28515625" customWidth="1"/>
    <col min="2824" max="2824" width="24.42578125" customWidth="1"/>
    <col min="2825" max="2825" width="12.7109375" bestFit="1" customWidth="1"/>
    <col min="2826" max="2826" width="14.42578125" bestFit="1" customWidth="1"/>
    <col min="2827" max="2827" width="12.28515625" bestFit="1" customWidth="1"/>
    <col min="2828" max="3074" width="10.7109375"/>
    <col min="3075" max="3075" width="8.42578125" customWidth="1"/>
    <col min="3076" max="3076" width="41.28515625" customWidth="1"/>
    <col min="3077" max="3077" width="8.28515625" customWidth="1"/>
    <col min="3078" max="3078" width="13.42578125" customWidth="1"/>
    <col min="3079" max="3079" width="22.28515625" customWidth="1"/>
    <col min="3080" max="3080" width="24.42578125" customWidth="1"/>
    <col min="3081" max="3081" width="12.7109375" bestFit="1" customWidth="1"/>
    <col min="3082" max="3082" width="14.42578125" bestFit="1" customWidth="1"/>
    <col min="3083" max="3083" width="12.28515625" bestFit="1" customWidth="1"/>
    <col min="3084" max="3330" width="10.7109375"/>
    <col min="3331" max="3331" width="8.42578125" customWidth="1"/>
    <col min="3332" max="3332" width="41.28515625" customWidth="1"/>
    <col min="3333" max="3333" width="8.28515625" customWidth="1"/>
    <col min="3334" max="3334" width="13.42578125" customWidth="1"/>
    <col min="3335" max="3335" width="22.28515625" customWidth="1"/>
    <col min="3336" max="3336" width="24.42578125" customWidth="1"/>
    <col min="3337" max="3337" width="12.7109375" bestFit="1" customWidth="1"/>
    <col min="3338" max="3338" width="14.42578125" bestFit="1" customWidth="1"/>
    <col min="3339" max="3339" width="12.28515625" bestFit="1" customWidth="1"/>
    <col min="3340" max="3586" width="10.7109375"/>
    <col min="3587" max="3587" width="8.42578125" customWidth="1"/>
    <col min="3588" max="3588" width="41.28515625" customWidth="1"/>
    <col min="3589" max="3589" width="8.28515625" customWidth="1"/>
    <col min="3590" max="3590" width="13.42578125" customWidth="1"/>
    <col min="3591" max="3591" width="22.28515625" customWidth="1"/>
    <col min="3592" max="3592" width="24.42578125" customWidth="1"/>
    <col min="3593" max="3593" width="12.7109375" bestFit="1" customWidth="1"/>
    <col min="3594" max="3594" width="14.42578125" bestFit="1" customWidth="1"/>
    <col min="3595" max="3595" width="12.28515625" bestFit="1" customWidth="1"/>
    <col min="3596" max="3842" width="10.7109375"/>
    <col min="3843" max="3843" width="8.42578125" customWidth="1"/>
    <col min="3844" max="3844" width="41.28515625" customWidth="1"/>
    <col min="3845" max="3845" width="8.28515625" customWidth="1"/>
    <col min="3846" max="3846" width="13.42578125" customWidth="1"/>
    <col min="3847" max="3847" width="22.28515625" customWidth="1"/>
    <col min="3848" max="3848" width="24.42578125" customWidth="1"/>
    <col min="3849" max="3849" width="12.7109375" bestFit="1" customWidth="1"/>
    <col min="3850" max="3850" width="14.42578125" bestFit="1" customWidth="1"/>
    <col min="3851" max="3851" width="12.28515625" bestFit="1" customWidth="1"/>
    <col min="3852" max="4098" width="10.7109375"/>
    <col min="4099" max="4099" width="8.42578125" customWidth="1"/>
    <col min="4100" max="4100" width="41.28515625" customWidth="1"/>
    <col min="4101" max="4101" width="8.28515625" customWidth="1"/>
    <col min="4102" max="4102" width="13.42578125" customWidth="1"/>
    <col min="4103" max="4103" width="22.28515625" customWidth="1"/>
    <col min="4104" max="4104" width="24.42578125" customWidth="1"/>
    <col min="4105" max="4105" width="12.7109375" bestFit="1" customWidth="1"/>
    <col min="4106" max="4106" width="14.42578125" bestFit="1" customWidth="1"/>
    <col min="4107" max="4107" width="12.28515625" bestFit="1" customWidth="1"/>
    <col min="4108" max="4354" width="10.7109375"/>
    <col min="4355" max="4355" width="8.42578125" customWidth="1"/>
    <col min="4356" max="4356" width="41.28515625" customWidth="1"/>
    <col min="4357" max="4357" width="8.28515625" customWidth="1"/>
    <col min="4358" max="4358" width="13.42578125" customWidth="1"/>
    <col min="4359" max="4359" width="22.28515625" customWidth="1"/>
    <col min="4360" max="4360" width="24.42578125" customWidth="1"/>
    <col min="4361" max="4361" width="12.7109375" bestFit="1" customWidth="1"/>
    <col min="4362" max="4362" width="14.42578125" bestFit="1" customWidth="1"/>
    <col min="4363" max="4363" width="12.28515625" bestFit="1" customWidth="1"/>
    <col min="4364" max="4610" width="10.7109375"/>
    <col min="4611" max="4611" width="8.42578125" customWidth="1"/>
    <col min="4612" max="4612" width="41.28515625" customWidth="1"/>
    <col min="4613" max="4613" width="8.28515625" customWidth="1"/>
    <col min="4614" max="4614" width="13.42578125" customWidth="1"/>
    <col min="4615" max="4615" width="22.28515625" customWidth="1"/>
    <col min="4616" max="4616" width="24.42578125" customWidth="1"/>
    <col min="4617" max="4617" width="12.7109375" bestFit="1" customWidth="1"/>
    <col min="4618" max="4618" width="14.42578125" bestFit="1" customWidth="1"/>
    <col min="4619" max="4619" width="12.28515625" bestFit="1" customWidth="1"/>
    <col min="4620" max="4866" width="10.7109375"/>
    <col min="4867" max="4867" width="8.42578125" customWidth="1"/>
    <col min="4868" max="4868" width="41.28515625" customWidth="1"/>
    <col min="4869" max="4869" width="8.28515625" customWidth="1"/>
    <col min="4870" max="4870" width="13.42578125" customWidth="1"/>
    <col min="4871" max="4871" width="22.28515625" customWidth="1"/>
    <col min="4872" max="4872" width="24.42578125" customWidth="1"/>
    <col min="4873" max="4873" width="12.7109375" bestFit="1" customWidth="1"/>
    <col min="4874" max="4874" width="14.42578125" bestFit="1" customWidth="1"/>
    <col min="4875" max="4875" width="12.28515625" bestFit="1" customWidth="1"/>
    <col min="4876" max="5122" width="10.7109375"/>
    <col min="5123" max="5123" width="8.42578125" customWidth="1"/>
    <col min="5124" max="5124" width="41.28515625" customWidth="1"/>
    <col min="5125" max="5125" width="8.28515625" customWidth="1"/>
    <col min="5126" max="5126" width="13.42578125" customWidth="1"/>
    <col min="5127" max="5127" width="22.28515625" customWidth="1"/>
    <col min="5128" max="5128" width="24.42578125" customWidth="1"/>
    <col min="5129" max="5129" width="12.7109375" bestFit="1" customWidth="1"/>
    <col min="5130" max="5130" width="14.42578125" bestFit="1" customWidth="1"/>
    <col min="5131" max="5131" width="12.28515625" bestFit="1" customWidth="1"/>
    <col min="5132" max="5378" width="10.7109375"/>
    <col min="5379" max="5379" width="8.42578125" customWidth="1"/>
    <col min="5380" max="5380" width="41.28515625" customWidth="1"/>
    <col min="5381" max="5381" width="8.28515625" customWidth="1"/>
    <col min="5382" max="5382" width="13.42578125" customWidth="1"/>
    <col min="5383" max="5383" width="22.28515625" customWidth="1"/>
    <col min="5384" max="5384" width="24.42578125" customWidth="1"/>
    <col min="5385" max="5385" width="12.7109375" bestFit="1" customWidth="1"/>
    <col min="5386" max="5386" width="14.42578125" bestFit="1" customWidth="1"/>
    <col min="5387" max="5387" width="12.28515625" bestFit="1" customWidth="1"/>
    <col min="5388" max="5634" width="10.7109375"/>
    <col min="5635" max="5635" width="8.42578125" customWidth="1"/>
    <col min="5636" max="5636" width="41.28515625" customWidth="1"/>
    <col min="5637" max="5637" width="8.28515625" customWidth="1"/>
    <col min="5638" max="5638" width="13.42578125" customWidth="1"/>
    <col min="5639" max="5639" width="22.28515625" customWidth="1"/>
    <col min="5640" max="5640" width="24.42578125" customWidth="1"/>
    <col min="5641" max="5641" width="12.7109375" bestFit="1" customWidth="1"/>
    <col min="5642" max="5642" width="14.42578125" bestFit="1" customWidth="1"/>
    <col min="5643" max="5643" width="12.28515625" bestFit="1" customWidth="1"/>
    <col min="5644" max="5890" width="10.7109375"/>
    <col min="5891" max="5891" width="8.42578125" customWidth="1"/>
    <col min="5892" max="5892" width="41.28515625" customWidth="1"/>
    <col min="5893" max="5893" width="8.28515625" customWidth="1"/>
    <col min="5894" max="5894" width="13.42578125" customWidth="1"/>
    <col min="5895" max="5895" width="22.28515625" customWidth="1"/>
    <col min="5896" max="5896" width="24.42578125" customWidth="1"/>
    <col min="5897" max="5897" width="12.7109375" bestFit="1" customWidth="1"/>
    <col min="5898" max="5898" width="14.42578125" bestFit="1" customWidth="1"/>
    <col min="5899" max="5899" width="12.28515625" bestFit="1" customWidth="1"/>
    <col min="5900" max="6146" width="10.7109375"/>
    <col min="6147" max="6147" width="8.42578125" customWidth="1"/>
    <col min="6148" max="6148" width="41.28515625" customWidth="1"/>
    <col min="6149" max="6149" width="8.28515625" customWidth="1"/>
    <col min="6150" max="6150" width="13.42578125" customWidth="1"/>
    <col min="6151" max="6151" width="22.28515625" customWidth="1"/>
    <col min="6152" max="6152" width="24.42578125" customWidth="1"/>
    <col min="6153" max="6153" width="12.7109375" bestFit="1" customWidth="1"/>
    <col min="6154" max="6154" width="14.42578125" bestFit="1" customWidth="1"/>
    <col min="6155" max="6155" width="12.28515625" bestFit="1" customWidth="1"/>
    <col min="6156" max="6402" width="10.7109375"/>
    <col min="6403" max="6403" width="8.42578125" customWidth="1"/>
    <col min="6404" max="6404" width="41.28515625" customWidth="1"/>
    <col min="6405" max="6405" width="8.28515625" customWidth="1"/>
    <col min="6406" max="6406" width="13.42578125" customWidth="1"/>
    <col min="6407" max="6407" width="22.28515625" customWidth="1"/>
    <col min="6408" max="6408" width="24.42578125" customWidth="1"/>
    <col min="6409" max="6409" width="12.7109375" bestFit="1" customWidth="1"/>
    <col min="6410" max="6410" width="14.42578125" bestFit="1" customWidth="1"/>
    <col min="6411" max="6411" width="12.28515625" bestFit="1" customWidth="1"/>
    <col min="6412" max="6658" width="10.7109375"/>
    <col min="6659" max="6659" width="8.42578125" customWidth="1"/>
    <col min="6660" max="6660" width="41.28515625" customWidth="1"/>
    <col min="6661" max="6661" width="8.28515625" customWidth="1"/>
    <col min="6662" max="6662" width="13.42578125" customWidth="1"/>
    <col min="6663" max="6663" width="22.28515625" customWidth="1"/>
    <col min="6664" max="6664" width="24.42578125" customWidth="1"/>
    <col min="6665" max="6665" width="12.7109375" bestFit="1" customWidth="1"/>
    <col min="6666" max="6666" width="14.42578125" bestFit="1" customWidth="1"/>
    <col min="6667" max="6667" width="12.28515625" bestFit="1" customWidth="1"/>
    <col min="6668" max="6914" width="10.7109375"/>
    <col min="6915" max="6915" width="8.42578125" customWidth="1"/>
    <col min="6916" max="6916" width="41.28515625" customWidth="1"/>
    <col min="6917" max="6917" width="8.28515625" customWidth="1"/>
    <col min="6918" max="6918" width="13.42578125" customWidth="1"/>
    <col min="6919" max="6919" width="22.28515625" customWidth="1"/>
    <col min="6920" max="6920" width="24.42578125" customWidth="1"/>
    <col min="6921" max="6921" width="12.7109375" bestFit="1" customWidth="1"/>
    <col min="6922" max="6922" width="14.42578125" bestFit="1" customWidth="1"/>
    <col min="6923" max="6923" width="12.28515625" bestFit="1" customWidth="1"/>
    <col min="6924" max="7170" width="10.7109375"/>
    <col min="7171" max="7171" width="8.42578125" customWidth="1"/>
    <col min="7172" max="7172" width="41.28515625" customWidth="1"/>
    <col min="7173" max="7173" width="8.28515625" customWidth="1"/>
    <col min="7174" max="7174" width="13.42578125" customWidth="1"/>
    <col min="7175" max="7175" width="22.28515625" customWidth="1"/>
    <col min="7176" max="7176" width="24.42578125" customWidth="1"/>
    <col min="7177" max="7177" width="12.7109375" bestFit="1" customWidth="1"/>
    <col min="7178" max="7178" width="14.42578125" bestFit="1" customWidth="1"/>
    <col min="7179" max="7179" width="12.28515625" bestFit="1" customWidth="1"/>
    <col min="7180" max="7426" width="10.7109375"/>
    <col min="7427" max="7427" width="8.42578125" customWidth="1"/>
    <col min="7428" max="7428" width="41.28515625" customWidth="1"/>
    <col min="7429" max="7429" width="8.28515625" customWidth="1"/>
    <col min="7430" max="7430" width="13.42578125" customWidth="1"/>
    <col min="7431" max="7431" width="22.28515625" customWidth="1"/>
    <col min="7432" max="7432" width="24.42578125" customWidth="1"/>
    <col min="7433" max="7433" width="12.7109375" bestFit="1" customWidth="1"/>
    <col min="7434" max="7434" width="14.42578125" bestFit="1" customWidth="1"/>
    <col min="7435" max="7435" width="12.28515625" bestFit="1" customWidth="1"/>
    <col min="7436" max="7682" width="10.7109375"/>
    <col min="7683" max="7683" width="8.42578125" customWidth="1"/>
    <col min="7684" max="7684" width="41.28515625" customWidth="1"/>
    <col min="7685" max="7685" width="8.28515625" customWidth="1"/>
    <col min="7686" max="7686" width="13.42578125" customWidth="1"/>
    <col min="7687" max="7687" width="22.28515625" customWidth="1"/>
    <col min="7688" max="7688" width="24.42578125" customWidth="1"/>
    <col min="7689" max="7689" width="12.7109375" bestFit="1" customWidth="1"/>
    <col min="7690" max="7690" width="14.42578125" bestFit="1" customWidth="1"/>
    <col min="7691" max="7691" width="12.28515625" bestFit="1" customWidth="1"/>
    <col min="7692" max="7938" width="10.7109375"/>
    <col min="7939" max="7939" width="8.42578125" customWidth="1"/>
    <col min="7940" max="7940" width="41.28515625" customWidth="1"/>
    <col min="7941" max="7941" width="8.28515625" customWidth="1"/>
    <col min="7942" max="7942" width="13.42578125" customWidth="1"/>
    <col min="7943" max="7943" width="22.28515625" customWidth="1"/>
    <col min="7944" max="7944" width="24.42578125" customWidth="1"/>
    <col min="7945" max="7945" width="12.7109375" bestFit="1" customWidth="1"/>
    <col min="7946" max="7946" width="14.42578125" bestFit="1" customWidth="1"/>
    <col min="7947" max="7947" width="12.28515625" bestFit="1" customWidth="1"/>
    <col min="7948" max="8194" width="10.7109375"/>
    <col min="8195" max="8195" width="8.42578125" customWidth="1"/>
    <col min="8196" max="8196" width="41.28515625" customWidth="1"/>
    <col min="8197" max="8197" width="8.28515625" customWidth="1"/>
    <col min="8198" max="8198" width="13.42578125" customWidth="1"/>
    <col min="8199" max="8199" width="22.28515625" customWidth="1"/>
    <col min="8200" max="8200" width="24.42578125" customWidth="1"/>
    <col min="8201" max="8201" width="12.7109375" bestFit="1" customWidth="1"/>
    <col min="8202" max="8202" width="14.42578125" bestFit="1" customWidth="1"/>
    <col min="8203" max="8203" width="12.28515625" bestFit="1" customWidth="1"/>
    <col min="8204" max="8450" width="10.7109375"/>
    <col min="8451" max="8451" width="8.42578125" customWidth="1"/>
    <col min="8452" max="8452" width="41.28515625" customWidth="1"/>
    <col min="8453" max="8453" width="8.28515625" customWidth="1"/>
    <col min="8454" max="8454" width="13.42578125" customWidth="1"/>
    <col min="8455" max="8455" width="22.28515625" customWidth="1"/>
    <col min="8456" max="8456" width="24.42578125" customWidth="1"/>
    <col min="8457" max="8457" width="12.7109375" bestFit="1" customWidth="1"/>
    <col min="8458" max="8458" width="14.42578125" bestFit="1" customWidth="1"/>
    <col min="8459" max="8459" width="12.28515625" bestFit="1" customWidth="1"/>
    <col min="8460" max="8706" width="10.7109375"/>
    <col min="8707" max="8707" width="8.42578125" customWidth="1"/>
    <col min="8708" max="8708" width="41.28515625" customWidth="1"/>
    <col min="8709" max="8709" width="8.28515625" customWidth="1"/>
    <col min="8710" max="8710" width="13.42578125" customWidth="1"/>
    <col min="8711" max="8711" width="22.28515625" customWidth="1"/>
    <col min="8712" max="8712" width="24.42578125" customWidth="1"/>
    <col min="8713" max="8713" width="12.7109375" bestFit="1" customWidth="1"/>
    <col min="8714" max="8714" width="14.42578125" bestFit="1" customWidth="1"/>
    <col min="8715" max="8715" width="12.28515625" bestFit="1" customWidth="1"/>
    <col min="8716" max="8962" width="10.7109375"/>
    <col min="8963" max="8963" width="8.42578125" customWidth="1"/>
    <col min="8964" max="8964" width="41.28515625" customWidth="1"/>
    <col min="8965" max="8965" width="8.28515625" customWidth="1"/>
    <col min="8966" max="8966" width="13.42578125" customWidth="1"/>
    <col min="8967" max="8967" width="22.28515625" customWidth="1"/>
    <col min="8968" max="8968" width="24.42578125" customWidth="1"/>
    <col min="8969" max="8969" width="12.7109375" bestFit="1" customWidth="1"/>
    <col min="8970" max="8970" width="14.42578125" bestFit="1" customWidth="1"/>
    <col min="8971" max="8971" width="12.28515625" bestFit="1" customWidth="1"/>
    <col min="8972" max="9218" width="10.7109375"/>
    <col min="9219" max="9219" width="8.42578125" customWidth="1"/>
    <col min="9220" max="9220" width="41.28515625" customWidth="1"/>
    <col min="9221" max="9221" width="8.28515625" customWidth="1"/>
    <col min="9222" max="9222" width="13.42578125" customWidth="1"/>
    <col min="9223" max="9223" width="22.28515625" customWidth="1"/>
    <col min="9224" max="9224" width="24.42578125" customWidth="1"/>
    <col min="9225" max="9225" width="12.7109375" bestFit="1" customWidth="1"/>
    <col min="9226" max="9226" width="14.42578125" bestFit="1" customWidth="1"/>
    <col min="9227" max="9227" width="12.28515625" bestFit="1" customWidth="1"/>
    <col min="9228" max="9474" width="10.7109375"/>
    <col min="9475" max="9475" width="8.42578125" customWidth="1"/>
    <col min="9476" max="9476" width="41.28515625" customWidth="1"/>
    <col min="9477" max="9477" width="8.28515625" customWidth="1"/>
    <col min="9478" max="9478" width="13.42578125" customWidth="1"/>
    <col min="9479" max="9479" width="22.28515625" customWidth="1"/>
    <col min="9480" max="9480" width="24.42578125" customWidth="1"/>
    <col min="9481" max="9481" width="12.7109375" bestFit="1" customWidth="1"/>
    <col min="9482" max="9482" width="14.42578125" bestFit="1" customWidth="1"/>
    <col min="9483" max="9483" width="12.28515625" bestFit="1" customWidth="1"/>
    <col min="9484" max="9730" width="10.7109375"/>
    <col min="9731" max="9731" width="8.42578125" customWidth="1"/>
    <col min="9732" max="9732" width="41.28515625" customWidth="1"/>
    <col min="9733" max="9733" width="8.28515625" customWidth="1"/>
    <col min="9734" max="9734" width="13.42578125" customWidth="1"/>
    <col min="9735" max="9735" width="22.28515625" customWidth="1"/>
    <col min="9736" max="9736" width="24.42578125" customWidth="1"/>
    <col min="9737" max="9737" width="12.7109375" bestFit="1" customWidth="1"/>
    <col min="9738" max="9738" width="14.42578125" bestFit="1" customWidth="1"/>
    <col min="9739" max="9739" width="12.28515625" bestFit="1" customWidth="1"/>
    <col min="9740" max="9986" width="10.7109375"/>
    <col min="9987" max="9987" width="8.42578125" customWidth="1"/>
    <col min="9988" max="9988" width="41.28515625" customWidth="1"/>
    <col min="9989" max="9989" width="8.28515625" customWidth="1"/>
    <col min="9990" max="9990" width="13.42578125" customWidth="1"/>
    <col min="9991" max="9991" width="22.28515625" customWidth="1"/>
    <col min="9992" max="9992" width="24.42578125" customWidth="1"/>
    <col min="9993" max="9993" width="12.7109375" bestFit="1" customWidth="1"/>
    <col min="9994" max="9994" width="14.42578125" bestFit="1" customWidth="1"/>
    <col min="9995" max="9995" width="12.28515625" bestFit="1" customWidth="1"/>
    <col min="9996" max="10242" width="10.7109375"/>
    <col min="10243" max="10243" width="8.42578125" customWidth="1"/>
    <col min="10244" max="10244" width="41.28515625" customWidth="1"/>
    <col min="10245" max="10245" width="8.28515625" customWidth="1"/>
    <col min="10246" max="10246" width="13.42578125" customWidth="1"/>
    <col min="10247" max="10247" width="22.28515625" customWidth="1"/>
    <col min="10248" max="10248" width="24.42578125" customWidth="1"/>
    <col min="10249" max="10249" width="12.7109375" bestFit="1" customWidth="1"/>
    <col min="10250" max="10250" width="14.42578125" bestFit="1" customWidth="1"/>
    <col min="10251" max="10251" width="12.28515625" bestFit="1" customWidth="1"/>
    <col min="10252" max="10498" width="10.7109375"/>
    <col min="10499" max="10499" width="8.42578125" customWidth="1"/>
    <col min="10500" max="10500" width="41.28515625" customWidth="1"/>
    <col min="10501" max="10501" width="8.28515625" customWidth="1"/>
    <col min="10502" max="10502" width="13.42578125" customWidth="1"/>
    <col min="10503" max="10503" width="22.28515625" customWidth="1"/>
    <col min="10504" max="10504" width="24.42578125" customWidth="1"/>
    <col min="10505" max="10505" width="12.7109375" bestFit="1" customWidth="1"/>
    <col min="10506" max="10506" width="14.42578125" bestFit="1" customWidth="1"/>
    <col min="10507" max="10507" width="12.28515625" bestFit="1" customWidth="1"/>
    <col min="10508" max="10754" width="10.7109375"/>
    <col min="10755" max="10755" width="8.42578125" customWidth="1"/>
    <col min="10756" max="10756" width="41.28515625" customWidth="1"/>
    <col min="10757" max="10757" width="8.28515625" customWidth="1"/>
    <col min="10758" max="10758" width="13.42578125" customWidth="1"/>
    <col min="10759" max="10759" width="22.28515625" customWidth="1"/>
    <col min="10760" max="10760" width="24.42578125" customWidth="1"/>
    <col min="10761" max="10761" width="12.7109375" bestFit="1" customWidth="1"/>
    <col min="10762" max="10762" width="14.42578125" bestFit="1" customWidth="1"/>
    <col min="10763" max="10763" width="12.28515625" bestFit="1" customWidth="1"/>
    <col min="10764" max="11010" width="10.7109375"/>
    <col min="11011" max="11011" width="8.42578125" customWidth="1"/>
    <col min="11012" max="11012" width="41.28515625" customWidth="1"/>
    <col min="11013" max="11013" width="8.28515625" customWidth="1"/>
    <col min="11014" max="11014" width="13.42578125" customWidth="1"/>
    <col min="11015" max="11015" width="22.28515625" customWidth="1"/>
    <col min="11016" max="11016" width="24.42578125" customWidth="1"/>
    <col min="11017" max="11017" width="12.7109375" bestFit="1" customWidth="1"/>
    <col min="11018" max="11018" width="14.42578125" bestFit="1" customWidth="1"/>
    <col min="11019" max="11019" width="12.28515625" bestFit="1" customWidth="1"/>
    <col min="11020" max="11266" width="10.7109375"/>
    <col min="11267" max="11267" width="8.42578125" customWidth="1"/>
    <col min="11268" max="11268" width="41.28515625" customWidth="1"/>
    <col min="11269" max="11269" width="8.28515625" customWidth="1"/>
    <col min="11270" max="11270" width="13.42578125" customWidth="1"/>
    <col min="11271" max="11271" width="22.28515625" customWidth="1"/>
    <col min="11272" max="11272" width="24.42578125" customWidth="1"/>
    <col min="11273" max="11273" width="12.7109375" bestFit="1" customWidth="1"/>
    <col min="11274" max="11274" width="14.42578125" bestFit="1" customWidth="1"/>
    <col min="11275" max="11275" width="12.28515625" bestFit="1" customWidth="1"/>
    <col min="11276" max="11522" width="10.7109375"/>
    <col min="11523" max="11523" width="8.42578125" customWidth="1"/>
    <col min="11524" max="11524" width="41.28515625" customWidth="1"/>
    <col min="11525" max="11525" width="8.28515625" customWidth="1"/>
    <col min="11526" max="11526" width="13.42578125" customWidth="1"/>
    <col min="11527" max="11527" width="22.28515625" customWidth="1"/>
    <col min="11528" max="11528" width="24.42578125" customWidth="1"/>
    <col min="11529" max="11529" width="12.7109375" bestFit="1" customWidth="1"/>
    <col min="11530" max="11530" width="14.42578125" bestFit="1" customWidth="1"/>
    <col min="11531" max="11531" width="12.28515625" bestFit="1" customWidth="1"/>
    <col min="11532" max="11778" width="10.7109375"/>
    <col min="11779" max="11779" width="8.42578125" customWidth="1"/>
    <col min="11780" max="11780" width="41.28515625" customWidth="1"/>
    <col min="11781" max="11781" width="8.28515625" customWidth="1"/>
    <col min="11782" max="11782" width="13.42578125" customWidth="1"/>
    <col min="11783" max="11783" width="22.28515625" customWidth="1"/>
    <col min="11784" max="11784" width="24.42578125" customWidth="1"/>
    <col min="11785" max="11785" width="12.7109375" bestFit="1" customWidth="1"/>
    <col min="11786" max="11786" width="14.42578125" bestFit="1" customWidth="1"/>
    <col min="11787" max="11787" width="12.28515625" bestFit="1" customWidth="1"/>
    <col min="11788" max="12034" width="10.7109375"/>
    <col min="12035" max="12035" width="8.42578125" customWidth="1"/>
    <col min="12036" max="12036" width="41.28515625" customWidth="1"/>
    <col min="12037" max="12037" width="8.28515625" customWidth="1"/>
    <col min="12038" max="12038" width="13.42578125" customWidth="1"/>
    <col min="12039" max="12039" width="22.28515625" customWidth="1"/>
    <col min="12040" max="12040" width="24.42578125" customWidth="1"/>
    <col min="12041" max="12041" width="12.7109375" bestFit="1" customWidth="1"/>
    <col min="12042" max="12042" width="14.42578125" bestFit="1" customWidth="1"/>
    <col min="12043" max="12043" width="12.28515625" bestFit="1" customWidth="1"/>
    <col min="12044" max="12290" width="10.7109375"/>
    <col min="12291" max="12291" width="8.42578125" customWidth="1"/>
    <col min="12292" max="12292" width="41.28515625" customWidth="1"/>
    <col min="12293" max="12293" width="8.28515625" customWidth="1"/>
    <col min="12294" max="12294" width="13.42578125" customWidth="1"/>
    <col min="12295" max="12295" width="22.28515625" customWidth="1"/>
    <col min="12296" max="12296" width="24.42578125" customWidth="1"/>
    <col min="12297" max="12297" width="12.7109375" bestFit="1" customWidth="1"/>
    <col min="12298" max="12298" width="14.42578125" bestFit="1" customWidth="1"/>
    <col min="12299" max="12299" width="12.28515625" bestFit="1" customWidth="1"/>
    <col min="12300" max="12546" width="10.7109375"/>
    <col min="12547" max="12547" width="8.42578125" customWidth="1"/>
    <col min="12548" max="12548" width="41.28515625" customWidth="1"/>
    <col min="12549" max="12549" width="8.28515625" customWidth="1"/>
    <col min="12550" max="12550" width="13.42578125" customWidth="1"/>
    <col min="12551" max="12551" width="22.28515625" customWidth="1"/>
    <col min="12552" max="12552" width="24.42578125" customWidth="1"/>
    <col min="12553" max="12553" width="12.7109375" bestFit="1" customWidth="1"/>
    <col min="12554" max="12554" width="14.42578125" bestFit="1" customWidth="1"/>
    <col min="12555" max="12555" width="12.28515625" bestFit="1" customWidth="1"/>
    <col min="12556" max="12802" width="10.7109375"/>
    <col min="12803" max="12803" width="8.42578125" customWidth="1"/>
    <col min="12804" max="12804" width="41.28515625" customWidth="1"/>
    <col min="12805" max="12805" width="8.28515625" customWidth="1"/>
    <col min="12806" max="12806" width="13.42578125" customWidth="1"/>
    <col min="12807" max="12807" width="22.28515625" customWidth="1"/>
    <col min="12808" max="12808" width="24.42578125" customWidth="1"/>
    <col min="12809" max="12809" width="12.7109375" bestFit="1" customWidth="1"/>
    <col min="12810" max="12810" width="14.42578125" bestFit="1" customWidth="1"/>
    <col min="12811" max="12811" width="12.28515625" bestFit="1" customWidth="1"/>
    <col min="12812" max="13058" width="10.7109375"/>
    <col min="13059" max="13059" width="8.42578125" customWidth="1"/>
    <col min="13060" max="13060" width="41.28515625" customWidth="1"/>
    <col min="13061" max="13061" width="8.28515625" customWidth="1"/>
    <col min="13062" max="13062" width="13.42578125" customWidth="1"/>
    <col min="13063" max="13063" width="22.28515625" customWidth="1"/>
    <col min="13064" max="13064" width="24.42578125" customWidth="1"/>
    <col min="13065" max="13065" width="12.7109375" bestFit="1" customWidth="1"/>
    <col min="13066" max="13066" width="14.42578125" bestFit="1" customWidth="1"/>
    <col min="13067" max="13067" width="12.28515625" bestFit="1" customWidth="1"/>
    <col min="13068" max="13314" width="10.7109375"/>
    <col min="13315" max="13315" width="8.42578125" customWidth="1"/>
    <col min="13316" max="13316" width="41.28515625" customWidth="1"/>
    <col min="13317" max="13317" width="8.28515625" customWidth="1"/>
    <col min="13318" max="13318" width="13.42578125" customWidth="1"/>
    <col min="13319" max="13319" width="22.28515625" customWidth="1"/>
    <col min="13320" max="13320" width="24.42578125" customWidth="1"/>
    <col min="13321" max="13321" width="12.7109375" bestFit="1" customWidth="1"/>
    <col min="13322" max="13322" width="14.42578125" bestFit="1" customWidth="1"/>
    <col min="13323" max="13323" width="12.28515625" bestFit="1" customWidth="1"/>
    <col min="13324" max="13570" width="10.7109375"/>
    <col min="13571" max="13571" width="8.42578125" customWidth="1"/>
    <col min="13572" max="13572" width="41.28515625" customWidth="1"/>
    <col min="13573" max="13573" width="8.28515625" customWidth="1"/>
    <col min="13574" max="13574" width="13.42578125" customWidth="1"/>
    <col min="13575" max="13575" width="22.28515625" customWidth="1"/>
    <col min="13576" max="13576" width="24.42578125" customWidth="1"/>
    <col min="13577" max="13577" width="12.7109375" bestFit="1" customWidth="1"/>
    <col min="13578" max="13578" width="14.42578125" bestFit="1" customWidth="1"/>
    <col min="13579" max="13579" width="12.28515625" bestFit="1" customWidth="1"/>
    <col min="13580" max="13826" width="10.7109375"/>
    <col min="13827" max="13827" width="8.42578125" customWidth="1"/>
    <col min="13828" max="13828" width="41.28515625" customWidth="1"/>
    <col min="13829" max="13829" width="8.28515625" customWidth="1"/>
    <col min="13830" max="13830" width="13.42578125" customWidth="1"/>
    <col min="13831" max="13831" width="22.28515625" customWidth="1"/>
    <col min="13832" max="13832" width="24.42578125" customWidth="1"/>
    <col min="13833" max="13833" width="12.7109375" bestFit="1" customWidth="1"/>
    <col min="13834" max="13834" width="14.42578125" bestFit="1" customWidth="1"/>
    <col min="13835" max="13835" width="12.28515625" bestFit="1" customWidth="1"/>
    <col min="13836" max="14082" width="10.7109375"/>
    <col min="14083" max="14083" width="8.42578125" customWidth="1"/>
    <col min="14084" max="14084" width="41.28515625" customWidth="1"/>
    <col min="14085" max="14085" width="8.28515625" customWidth="1"/>
    <col min="14086" max="14086" width="13.42578125" customWidth="1"/>
    <col min="14087" max="14087" width="22.28515625" customWidth="1"/>
    <col min="14088" max="14088" width="24.42578125" customWidth="1"/>
    <col min="14089" max="14089" width="12.7109375" bestFit="1" customWidth="1"/>
    <col min="14090" max="14090" width="14.42578125" bestFit="1" customWidth="1"/>
    <col min="14091" max="14091" width="12.28515625" bestFit="1" customWidth="1"/>
    <col min="14092" max="14338" width="10.7109375"/>
    <col min="14339" max="14339" width="8.42578125" customWidth="1"/>
    <col min="14340" max="14340" width="41.28515625" customWidth="1"/>
    <col min="14341" max="14341" width="8.28515625" customWidth="1"/>
    <col min="14342" max="14342" width="13.42578125" customWidth="1"/>
    <col min="14343" max="14343" width="22.28515625" customWidth="1"/>
    <col min="14344" max="14344" width="24.42578125" customWidth="1"/>
    <col min="14345" max="14345" width="12.7109375" bestFit="1" customWidth="1"/>
    <col min="14346" max="14346" width="14.42578125" bestFit="1" customWidth="1"/>
    <col min="14347" max="14347" width="12.28515625" bestFit="1" customWidth="1"/>
    <col min="14348" max="14594" width="10.7109375"/>
    <col min="14595" max="14595" width="8.42578125" customWidth="1"/>
    <col min="14596" max="14596" width="41.28515625" customWidth="1"/>
    <col min="14597" max="14597" width="8.28515625" customWidth="1"/>
    <col min="14598" max="14598" width="13.42578125" customWidth="1"/>
    <col min="14599" max="14599" width="22.28515625" customWidth="1"/>
    <col min="14600" max="14600" width="24.42578125" customWidth="1"/>
    <col min="14601" max="14601" width="12.7109375" bestFit="1" customWidth="1"/>
    <col min="14602" max="14602" width="14.42578125" bestFit="1" customWidth="1"/>
    <col min="14603" max="14603" width="12.28515625" bestFit="1" customWidth="1"/>
    <col min="14604" max="14850" width="10.7109375"/>
    <col min="14851" max="14851" width="8.42578125" customWidth="1"/>
    <col min="14852" max="14852" width="41.28515625" customWidth="1"/>
    <col min="14853" max="14853" width="8.28515625" customWidth="1"/>
    <col min="14854" max="14854" width="13.42578125" customWidth="1"/>
    <col min="14855" max="14855" width="22.28515625" customWidth="1"/>
    <col min="14856" max="14856" width="24.42578125" customWidth="1"/>
    <col min="14857" max="14857" width="12.7109375" bestFit="1" customWidth="1"/>
    <col min="14858" max="14858" width="14.42578125" bestFit="1" customWidth="1"/>
    <col min="14859" max="14859" width="12.28515625" bestFit="1" customWidth="1"/>
    <col min="14860" max="15106" width="10.7109375"/>
    <col min="15107" max="15107" width="8.42578125" customWidth="1"/>
    <col min="15108" max="15108" width="41.28515625" customWidth="1"/>
    <col min="15109" max="15109" width="8.28515625" customWidth="1"/>
    <col min="15110" max="15110" width="13.42578125" customWidth="1"/>
    <col min="15111" max="15111" width="22.28515625" customWidth="1"/>
    <col min="15112" max="15112" width="24.42578125" customWidth="1"/>
    <col min="15113" max="15113" width="12.7109375" bestFit="1" customWidth="1"/>
    <col min="15114" max="15114" width="14.42578125" bestFit="1" customWidth="1"/>
    <col min="15115" max="15115" width="12.28515625" bestFit="1" customWidth="1"/>
    <col min="15116" max="15362" width="10.7109375"/>
    <col min="15363" max="15363" width="8.42578125" customWidth="1"/>
    <col min="15364" max="15364" width="41.28515625" customWidth="1"/>
    <col min="15365" max="15365" width="8.28515625" customWidth="1"/>
    <col min="15366" max="15366" width="13.42578125" customWidth="1"/>
    <col min="15367" max="15367" width="22.28515625" customWidth="1"/>
    <col min="15368" max="15368" width="24.42578125" customWidth="1"/>
    <col min="15369" max="15369" width="12.7109375" bestFit="1" customWidth="1"/>
    <col min="15370" max="15370" width="14.42578125" bestFit="1" customWidth="1"/>
    <col min="15371" max="15371" width="12.28515625" bestFit="1" customWidth="1"/>
    <col min="15372" max="15618" width="10.7109375"/>
    <col min="15619" max="15619" width="8.42578125" customWidth="1"/>
    <col min="15620" max="15620" width="41.28515625" customWidth="1"/>
    <col min="15621" max="15621" width="8.28515625" customWidth="1"/>
    <col min="15622" max="15622" width="13.42578125" customWidth="1"/>
    <col min="15623" max="15623" width="22.28515625" customWidth="1"/>
    <col min="15624" max="15624" width="24.42578125" customWidth="1"/>
    <col min="15625" max="15625" width="12.7109375" bestFit="1" customWidth="1"/>
    <col min="15626" max="15626" width="14.42578125" bestFit="1" customWidth="1"/>
    <col min="15627" max="15627" width="12.28515625" bestFit="1" customWidth="1"/>
    <col min="15628" max="15874" width="10.7109375"/>
    <col min="15875" max="15875" width="8.42578125" customWidth="1"/>
    <col min="15876" max="15876" width="41.28515625" customWidth="1"/>
    <col min="15877" max="15877" width="8.28515625" customWidth="1"/>
    <col min="15878" max="15878" width="13.42578125" customWidth="1"/>
    <col min="15879" max="15879" width="22.28515625" customWidth="1"/>
    <col min="15880" max="15880" width="24.42578125" customWidth="1"/>
    <col min="15881" max="15881" width="12.7109375" bestFit="1" customWidth="1"/>
    <col min="15882" max="15882" width="14.42578125" bestFit="1" customWidth="1"/>
    <col min="15883" max="15883" width="12.28515625" bestFit="1" customWidth="1"/>
    <col min="15884" max="16130" width="10.7109375"/>
    <col min="16131" max="16131" width="8.42578125" customWidth="1"/>
    <col min="16132" max="16132" width="41.28515625" customWidth="1"/>
    <col min="16133" max="16133" width="8.28515625" customWidth="1"/>
    <col min="16134" max="16134" width="13.42578125" customWidth="1"/>
    <col min="16135" max="16135" width="22.28515625" customWidth="1"/>
    <col min="16136" max="16136" width="24.42578125" customWidth="1"/>
    <col min="16137" max="16137" width="12.7109375" bestFit="1" customWidth="1"/>
    <col min="16138" max="16138" width="14.42578125" bestFit="1" customWidth="1"/>
    <col min="16139" max="16139" width="12.28515625" bestFit="1" customWidth="1"/>
    <col min="16140" max="16384" width="10.7109375"/>
  </cols>
  <sheetData>
    <row r="1" spans="1:8" ht="60" customHeight="1">
      <c r="A1" s="772" t="s">
        <v>427</v>
      </c>
      <c r="B1" s="773"/>
      <c r="C1" s="773"/>
      <c r="D1" s="773"/>
      <c r="E1" s="773"/>
      <c r="F1" s="773"/>
      <c r="G1" s="773"/>
      <c r="H1" s="774"/>
    </row>
    <row r="2" spans="1:8" ht="21.75" customHeight="1">
      <c r="A2" s="729" t="s">
        <v>147</v>
      </c>
      <c r="B2" s="729"/>
      <c r="C2" s="729"/>
      <c r="D2" s="729"/>
      <c r="E2" s="729"/>
      <c r="F2" s="729"/>
      <c r="G2" s="729"/>
      <c r="H2" s="729"/>
    </row>
    <row r="3" spans="1:8" ht="12.75" customHeight="1">
      <c r="A3" s="427"/>
      <c r="B3" s="284"/>
      <c r="C3" s="284"/>
      <c r="D3" s="284"/>
      <c r="E3" s="284"/>
      <c r="F3" s="284"/>
      <c r="G3" s="284"/>
      <c r="H3" s="428"/>
    </row>
    <row r="4" spans="1:8" ht="15.75">
      <c r="A4" s="427"/>
      <c r="B4" s="284"/>
      <c r="C4" s="737" t="s">
        <v>220</v>
      </c>
      <c r="D4" s="737"/>
      <c r="E4" s="737"/>
      <c r="F4" s="737"/>
      <c r="G4" s="737"/>
      <c r="H4" s="429">
        <v>12559008777</v>
      </c>
    </row>
    <row r="5" spans="1:8" ht="16.5">
      <c r="A5" s="427"/>
      <c r="B5" s="284"/>
      <c r="C5" s="736" t="s">
        <v>425</v>
      </c>
      <c r="D5" s="736"/>
      <c r="E5" s="736"/>
      <c r="F5" s="736"/>
      <c r="G5" s="736"/>
      <c r="H5" s="430">
        <v>15829964771</v>
      </c>
    </row>
    <row r="6" spans="1:8" ht="17.25" customHeight="1">
      <c r="A6" s="732" t="e">
        <f>'DISCRIMINACION INTER'!A3:G3</f>
        <v>#REF!</v>
      </c>
      <c r="B6" s="732"/>
      <c r="C6" s="732"/>
      <c r="D6" s="732"/>
      <c r="E6" s="732"/>
      <c r="F6" s="732"/>
      <c r="G6" s="732"/>
      <c r="H6" s="732"/>
    </row>
    <row r="7" spans="1:8" ht="9.75" customHeight="1">
      <c r="A7" s="732"/>
      <c r="B7" s="732"/>
      <c r="C7" s="732"/>
      <c r="D7" s="732"/>
      <c r="E7" s="732"/>
      <c r="F7" s="732"/>
      <c r="G7" s="732"/>
      <c r="H7" s="732"/>
    </row>
    <row r="8" spans="1:8" ht="33.75" customHeight="1">
      <c r="A8" s="302" t="s">
        <v>48</v>
      </c>
      <c r="B8" s="302" t="s">
        <v>132</v>
      </c>
      <c r="C8" s="303" t="s">
        <v>429</v>
      </c>
      <c r="D8" s="302" t="s">
        <v>319</v>
      </c>
      <c r="E8" s="303" t="s">
        <v>320</v>
      </c>
      <c r="F8" s="303" t="s">
        <v>321</v>
      </c>
      <c r="G8" s="303" t="s">
        <v>322</v>
      </c>
      <c r="H8" s="303" t="s">
        <v>204</v>
      </c>
    </row>
    <row r="9" spans="1:8" ht="18" customHeight="1">
      <c r="A9" s="431">
        <v>1</v>
      </c>
      <c r="B9" s="240" t="s">
        <v>214</v>
      </c>
      <c r="C9" s="240"/>
      <c r="D9" s="240"/>
      <c r="E9" s="240"/>
      <c r="F9" s="250"/>
      <c r="G9" s="250"/>
      <c r="H9" s="432"/>
    </row>
    <row r="10" spans="1:8" ht="18" customHeight="1">
      <c r="A10" s="431"/>
      <c r="B10" s="240" t="s">
        <v>336</v>
      </c>
      <c r="C10" s="240"/>
      <c r="D10" s="240"/>
      <c r="E10" s="240"/>
      <c r="F10" s="250"/>
      <c r="G10" s="250"/>
      <c r="H10" s="432"/>
    </row>
    <row r="11" spans="1:8" ht="18" customHeight="1">
      <c r="A11" s="287">
        <v>1.1000000000000001</v>
      </c>
      <c r="B11" s="285" t="s">
        <v>196</v>
      </c>
      <c r="C11" s="287">
        <v>1</v>
      </c>
      <c r="D11" s="288">
        <v>4500000</v>
      </c>
      <c r="E11" s="339">
        <v>0.6</v>
      </c>
      <c r="F11" s="339">
        <v>0.5</v>
      </c>
      <c r="G11" s="286">
        <v>12</v>
      </c>
      <c r="H11" s="433">
        <f>D11*(E11+1)*F11*G11*C11</f>
        <v>43200000</v>
      </c>
    </row>
    <row r="12" spans="1:8" ht="18" customHeight="1">
      <c r="A12" s="287">
        <v>1.2</v>
      </c>
      <c r="B12" s="285" t="s">
        <v>206</v>
      </c>
      <c r="C12" s="287">
        <v>2</v>
      </c>
      <c r="D12" s="288">
        <v>3000000</v>
      </c>
      <c r="E12" s="339">
        <v>0.6</v>
      </c>
      <c r="F12" s="339">
        <v>1</v>
      </c>
      <c r="G12" s="286">
        <v>12</v>
      </c>
      <c r="H12" s="433">
        <f>D12*(E12+1)*F12*G12*C12</f>
        <v>115200000</v>
      </c>
    </row>
    <row r="13" spans="1:8" ht="18" customHeight="1">
      <c r="A13" s="287">
        <v>1.3</v>
      </c>
      <c r="B13" s="285" t="s">
        <v>207</v>
      </c>
      <c r="C13" s="287">
        <v>2</v>
      </c>
      <c r="D13" s="288">
        <v>1200000</v>
      </c>
      <c r="E13" s="339">
        <v>0.6</v>
      </c>
      <c r="F13" s="339">
        <v>1</v>
      </c>
      <c r="G13" s="286">
        <v>12</v>
      </c>
      <c r="H13" s="433">
        <f>D13*(E13+1)*F13*G13*C13</f>
        <v>46080000</v>
      </c>
    </row>
    <row r="14" spans="1:8" ht="18" customHeight="1">
      <c r="A14" s="287">
        <v>1.4</v>
      </c>
      <c r="B14" s="285" t="s">
        <v>208</v>
      </c>
      <c r="C14" s="287">
        <v>2</v>
      </c>
      <c r="D14" s="288">
        <v>1400000</v>
      </c>
      <c r="E14" s="339">
        <v>0.6</v>
      </c>
      <c r="F14" s="339">
        <v>1</v>
      </c>
      <c r="G14" s="286">
        <v>12</v>
      </c>
      <c r="H14" s="433">
        <f>D14*(E14+1)*F14*G14*C14</f>
        <v>53760000</v>
      </c>
    </row>
    <row r="15" spans="1:8" ht="18" customHeight="1">
      <c r="A15" s="287">
        <v>1.5</v>
      </c>
      <c r="B15" s="285" t="s">
        <v>197</v>
      </c>
      <c r="C15" s="287">
        <v>1</v>
      </c>
      <c r="D15" s="288">
        <v>800000</v>
      </c>
      <c r="E15" s="339">
        <v>0.6</v>
      </c>
      <c r="F15" s="339">
        <v>1</v>
      </c>
      <c r="G15" s="286">
        <v>12</v>
      </c>
      <c r="H15" s="433">
        <f>D15*(E15+1)*F15*G15</f>
        <v>15360000</v>
      </c>
    </row>
    <row r="16" spans="1:8" ht="18" customHeight="1">
      <c r="A16" s="287">
        <v>1.6</v>
      </c>
      <c r="B16" s="285" t="s">
        <v>198</v>
      </c>
      <c r="C16" s="287">
        <v>1</v>
      </c>
      <c r="D16" s="288">
        <v>2700000</v>
      </c>
      <c r="E16" s="339">
        <v>0.6</v>
      </c>
      <c r="F16" s="339">
        <v>0.3</v>
      </c>
      <c r="G16" s="286">
        <v>12</v>
      </c>
      <c r="H16" s="433">
        <f>D16*(E16+1)*F16*G16</f>
        <v>15552000</v>
      </c>
    </row>
    <row r="17" spans="1:11" ht="18" customHeight="1">
      <c r="A17" s="287">
        <v>1.7</v>
      </c>
      <c r="B17" s="285" t="s">
        <v>199</v>
      </c>
      <c r="C17" s="287">
        <v>1</v>
      </c>
      <c r="D17" s="288">
        <v>2700000</v>
      </c>
      <c r="E17" s="339">
        <v>0.6</v>
      </c>
      <c r="F17" s="339">
        <v>0.3</v>
      </c>
      <c r="G17" s="286">
        <v>12</v>
      </c>
      <c r="H17" s="433">
        <f>D17*(E17+1)*F17*G17</f>
        <v>15552000</v>
      </c>
    </row>
    <row r="18" spans="1:11" ht="18" customHeight="1">
      <c r="A18" s="287">
        <v>1.8</v>
      </c>
      <c r="B18" s="285" t="s">
        <v>431</v>
      </c>
      <c r="C18" s="287">
        <v>1</v>
      </c>
      <c r="D18" s="288">
        <v>2700000</v>
      </c>
      <c r="E18" s="339">
        <v>0.6</v>
      </c>
      <c r="F18" s="339">
        <v>0.3</v>
      </c>
      <c r="G18" s="286">
        <v>12</v>
      </c>
      <c r="H18" s="433">
        <f>D18*(E18+1)*F18*G18</f>
        <v>15552000</v>
      </c>
    </row>
    <row r="19" spans="1:11" ht="18" customHeight="1">
      <c r="A19" s="287">
        <v>1.9</v>
      </c>
      <c r="B19" s="285" t="s">
        <v>200</v>
      </c>
      <c r="C19" s="287">
        <v>1</v>
      </c>
      <c r="D19" s="288">
        <v>1200000</v>
      </c>
      <c r="E19" s="339">
        <v>0.6</v>
      </c>
      <c r="F19" s="339">
        <v>0.3</v>
      </c>
      <c r="G19" s="286">
        <v>12</v>
      </c>
      <c r="H19" s="433">
        <f>D19*(E19+1)*F19*G19</f>
        <v>6912000</v>
      </c>
    </row>
    <row r="20" spans="1:11" ht="18" customHeight="1">
      <c r="A20" s="434">
        <v>1.1000000000000001</v>
      </c>
      <c r="B20" s="285" t="s">
        <v>201</v>
      </c>
      <c r="C20" s="287">
        <v>1</v>
      </c>
      <c r="D20" s="288">
        <v>800000</v>
      </c>
      <c r="E20" s="339">
        <v>0.6</v>
      </c>
      <c r="F20" s="339">
        <v>1</v>
      </c>
      <c r="G20" s="286">
        <v>12</v>
      </c>
      <c r="H20" s="433">
        <f t="shared" ref="H20" si="0">D20*(E20+1)*F20*G20</f>
        <v>15360000</v>
      </c>
    </row>
    <row r="21" spans="1:11" ht="18" customHeight="1">
      <c r="A21" s="434">
        <v>1.1100000000000001</v>
      </c>
      <c r="B21" s="285" t="s">
        <v>337</v>
      </c>
      <c r="C21" s="287">
        <v>2</v>
      </c>
      <c r="D21" s="288">
        <v>800000</v>
      </c>
      <c r="E21" s="339">
        <v>0.6</v>
      </c>
      <c r="F21" s="339">
        <v>1</v>
      </c>
      <c r="G21" s="286">
        <v>12</v>
      </c>
      <c r="H21" s="433">
        <f>D21*(E21+1)*F21*G21*C21</f>
        <v>30720000</v>
      </c>
    </row>
    <row r="22" spans="1:11" ht="18" customHeight="1">
      <c r="A22" s="434">
        <v>1.1200000000000001</v>
      </c>
      <c r="B22" s="285" t="s">
        <v>354</v>
      </c>
      <c r="C22" s="287">
        <v>1</v>
      </c>
      <c r="D22" s="288">
        <v>4000000</v>
      </c>
      <c r="E22" s="339">
        <v>0.6</v>
      </c>
      <c r="F22" s="339">
        <v>0.4</v>
      </c>
      <c r="G22" s="286">
        <v>12</v>
      </c>
      <c r="H22" s="433">
        <f>D22*(E22+1)*F22*G22</f>
        <v>30720000</v>
      </c>
    </row>
    <row r="23" spans="1:11" ht="18" customHeight="1">
      <c r="A23" s="434">
        <v>1.1299999999999999</v>
      </c>
      <c r="B23" s="285" t="s">
        <v>209</v>
      </c>
      <c r="C23" s="287">
        <v>1</v>
      </c>
      <c r="D23" s="288">
        <v>1400000</v>
      </c>
      <c r="E23" s="339">
        <v>0.6</v>
      </c>
      <c r="F23" s="339">
        <v>0.6</v>
      </c>
      <c r="G23" s="286">
        <v>12</v>
      </c>
      <c r="H23" s="433">
        <f>D23*(E23+1)*F23*G23</f>
        <v>16128000</v>
      </c>
    </row>
    <row r="24" spans="1:11" ht="18" customHeight="1">
      <c r="A24" s="435"/>
      <c r="B24" s="240" t="s">
        <v>210</v>
      </c>
      <c r="C24" s="240"/>
      <c r="D24" s="240"/>
      <c r="E24" s="240"/>
      <c r="F24" s="240"/>
      <c r="G24" s="240"/>
      <c r="H24" s="436">
        <f>SUM(H11:H23)</f>
        <v>420096000</v>
      </c>
    </row>
    <row r="25" spans="1:11" ht="18" customHeight="1">
      <c r="A25" s="431"/>
      <c r="B25" s="240" t="s">
        <v>323</v>
      </c>
      <c r="C25" s="240"/>
      <c r="D25" s="240"/>
      <c r="E25" s="240"/>
      <c r="F25" s="240"/>
      <c r="G25" s="240"/>
      <c r="H25" s="432"/>
    </row>
    <row r="26" spans="1:11" ht="18" customHeight="1">
      <c r="A26" s="437">
        <v>1.1499999999999999</v>
      </c>
      <c r="B26" s="285" t="s">
        <v>324</v>
      </c>
      <c r="C26" s="287">
        <v>1</v>
      </c>
      <c r="D26" s="288">
        <v>1500000</v>
      </c>
      <c r="E26" s="287"/>
      <c r="F26" s="339">
        <v>1</v>
      </c>
      <c r="G26" s="286">
        <v>12</v>
      </c>
      <c r="H26" s="433">
        <f>D26*F26*G26</f>
        <v>18000000</v>
      </c>
    </row>
    <row r="27" spans="1:11" ht="18" customHeight="1">
      <c r="A27" s="437">
        <v>1.1599999999999999</v>
      </c>
      <c r="B27" s="285" t="s">
        <v>325</v>
      </c>
      <c r="C27" s="287">
        <v>1</v>
      </c>
      <c r="D27" s="288">
        <v>1000000</v>
      </c>
      <c r="E27" s="287"/>
      <c r="F27" s="339">
        <v>1</v>
      </c>
      <c r="G27" s="286">
        <v>12</v>
      </c>
      <c r="H27" s="433">
        <f t="shared" ref="H27:H39" si="1">D27*F27*G27</f>
        <v>12000000</v>
      </c>
    </row>
    <row r="28" spans="1:11" ht="18" customHeight="1">
      <c r="A28" s="437">
        <v>1.17</v>
      </c>
      <c r="B28" s="285" t="s">
        <v>326</v>
      </c>
      <c r="C28" s="287">
        <v>1</v>
      </c>
      <c r="D28" s="288">
        <v>4500000</v>
      </c>
      <c r="E28" s="287"/>
      <c r="F28" s="339">
        <v>1</v>
      </c>
      <c r="G28" s="286">
        <v>12</v>
      </c>
      <c r="H28" s="433">
        <f t="shared" si="1"/>
        <v>54000000</v>
      </c>
    </row>
    <row r="29" spans="1:11" ht="18" customHeight="1">
      <c r="A29" s="437">
        <v>1.18</v>
      </c>
      <c r="B29" s="285" t="s">
        <v>327</v>
      </c>
      <c r="C29" s="287">
        <v>1</v>
      </c>
      <c r="D29" s="288">
        <v>6000000</v>
      </c>
      <c r="E29" s="287"/>
      <c r="F29" s="339">
        <v>1</v>
      </c>
      <c r="G29" s="286">
        <v>12</v>
      </c>
      <c r="H29" s="433">
        <f t="shared" si="1"/>
        <v>72000000</v>
      </c>
    </row>
    <row r="30" spans="1:11" ht="18" customHeight="1">
      <c r="A30" s="437">
        <v>1.19</v>
      </c>
      <c r="B30" s="285" t="s">
        <v>328</v>
      </c>
      <c r="C30" s="287">
        <v>1</v>
      </c>
      <c r="D30" s="288">
        <v>2000000</v>
      </c>
      <c r="E30" s="287"/>
      <c r="F30" s="339">
        <v>1</v>
      </c>
      <c r="G30" s="286">
        <v>12</v>
      </c>
      <c r="H30" s="433">
        <f t="shared" si="1"/>
        <v>24000000</v>
      </c>
    </row>
    <row r="31" spans="1:11" s="244" customFormat="1" ht="18" customHeight="1">
      <c r="A31" s="437">
        <v>1.2</v>
      </c>
      <c r="B31" s="285" t="s">
        <v>329</v>
      </c>
      <c r="C31" s="287">
        <v>1</v>
      </c>
      <c r="D31" s="288">
        <v>3500000</v>
      </c>
      <c r="E31" s="287"/>
      <c r="F31" s="339">
        <v>1</v>
      </c>
      <c r="G31" s="286">
        <v>12</v>
      </c>
      <c r="H31" s="433">
        <f t="shared" si="1"/>
        <v>42000000</v>
      </c>
      <c r="J31" s="245"/>
      <c r="K31" s="245"/>
    </row>
    <row r="32" spans="1:11" ht="18" customHeight="1">
      <c r="A32" s="437">
        <v>1.21</v>
      </c>
      <c r="B32" s="285" t="s">
        <v>330</v>
      </c>
      <c r="C32" s="287">
        <v>1</v>
      </c>
      <c r="D32" s="288">
        <v>2000000</v>
      </c>
      <c r="E32" s="287"/>
      <c r="F32" s="339">
        <v>1</v>
      </c>
      <c r="G32" s="286">
        <v>12</v>
      </c>
      <c r="H32" s="433">
        <f t="shared" si="1"/>
        <v>24000000</v>
      </c>
    </row>
    <row r="33" spans="1:9" s="244" customFormat="1" ht="18" customHeight="1">
      <c r="A33" s="437">
        <v>1.22</v>
      </c>
      <c r="B33" s="285" t="s">
        <v>155</v>
      </c>
      <c r="C33" s="287">
        <v>1</v>
      </c>
      <c r="D33" s="288">
        <v>1000000</v>
      </c>
      <c r="E33" s="287"/>
      <c r="F33" s="339">
        <v>1</v>
      </c>
      <c r="G33" s="286">
        <v>12</v>
      </c>
      <c r="H33" s="433">
        <f t="shared" si="1"/>
        <v>12000000</v>
      </c>
    </row>
    <row r="34" spans="1:9" s="244" customFormat="1" ht="18" customHeight="1">
      <c r="A34" s="437">
        <v>1.23</v>
      </c>
      <c r="B34" s="285" t="s">
        <v>331</v>
      </c>
      <c r="C34" s="287">
        <v>1</v>
      </c>
      <c r="D34" s="288">
        <v>1000000</v>
      </c>
      <c r="E34" s="287"/>
      <c r="F34" s="339">
        <v>1</v>
      </c>
      <c r="G34" s="286">
        <v>12</v>
      </c>
      <c r="H34" s="433">
        <f t="shared" si="1"/>
        <v>12000000</v>
      </c>
    </row>
    <row r="35" spans="1:9" s="244" customFormat="1" ht="18" customHeight="1">
      <c r="A35" s="437">
        <v>1.24</v>
      </c>
      <c r="B35" s="285" t="s">
        <v>332</v>
      </c>
      <c r="C35" s="287">
        <v>1</v>
      </c>
      <c r="D35" s="288">
        <v>2800000</v>
      </c>
      <c r="E35" s="287"/>
      <c r="F35" s="339">
        <v>1</v>
      </c>
      <c r="G35" s="286">
        <v>12</v>
      </c>
      <c r="H35" s="433">
        <f t="shared" si="1"/>
        <v>33600000</v>
      </c>
    </row>
    <row r="36" spans="1:9" s="244" customFormat="1" ht="18" customHeight="1">
      <c r="A36" s="437">
        <v>1.25</v>
      </c>
      <c r="B36" s="285" t="s">
        <v>430</v>
      </c>
      <c r="C36" s="287">
        <v>1</v>
      </c>
      <c r="D36" s="425">
        <v>5600000</v>
      </c>
      <c r="E36" s="287"/>
      <c r="F36" s="339">
        <v>1</v>
      </c>
      <c r="G36" s="286">
        <v>12</v>
      </c>
      <c r="H36" s="433">
        <f>C36*D36*G36</f>
        <v>67200000</v>
      </c>
    </row>
    <row r="37" spans="1:9" s="244" customFormat="1" ht="18" customHeight="1">
      <c r="A37" s="437">
        <v>1.26</v>
      </c>
      <c r="B37" s="285" t="s">
        <v>428</v>
      </c>
      <c r="C37" s="287">
        <v>1</v>
      </c>
      <c r="D37" s="425">
        <v>9400000</v>
      </c>
      <c r="E37" s="287"/>
      <c r="F37" s="339">
        <v>1</v>
      </c>
      <c r="G37" s="286">
        <v>12</v>
      </c>
      <c r="H37" s="433">
        <f>C37*D37*G37</f>
        <v>112800000</v>
      </c>
    </row>
    <row r="38" spans="1:9" s="244" customFormat="1" ht="18" customHeight="1">
      <c r="A38" s="437">
        <v>1.27</v>
      </c>
      <c r="B38" s="285" t="s">
        <v>432</v>
      </c>
      <c r="C38" s="287">
        <v>1</v>
      </c>
      <c r="D38" s="425">
        <v>5600000</v>
      </c>
      <c r="E38" s="287"/>
      <c r="F38" s="339">
        <v>1</v>
      </c>
      <c r="G38" s="286">
        <v>1</v>
      </c>
      <c r="H38" s="433">
        <f>D38*F38*G38*C38</f>
        <v>5600000</v>
      </c>
    </row>
    <row r="39" spans="1:9" s="244" customFormat="1" ht="18" customHeight="1">
      <c r="A39" s="437">
        <v>1.28</v>
      </c>
      <c r="B39" s="285" t="s">
        <v>333</v>
      </c>
      <c r="C39" s="287">
        <v>1</v>
      </c>
      <c r="D39" s="288">
        <v>3200000</v>
      </c>
      <c r="E39" s="287"/>
      <c r="F39" s="339">
        <v>1</v>
      </c>
      <c r="G39" s="286">
        <v>1</v>
      </c>
      <c r="H39" s="433">
        <f t="shared" si="1"/>
        <v>3200000</v>
      </c>
    </row>
    <row r="40" spans="1:9" ht="18" customHeight="1">
      <c r="A40" s="437">
        <v>1.29</v>
      </c>
      <c r="B40" s="285" t="s">
        <v>335</v>
      </c>
      <c r="C40" s="287">
        <v>5</v>
      </c>
      <c r="D40" s="288">
        <v>725641</v>
      </c>
      <c r="E40" s="240"/>
      <c r="F40" s="339">
        <v>1</v>
      </c>
      <c r="G40" s="286">
        <v>1</v>
      </c>
      <c r="H40" s="433">
        <f>D40*F40*G40*C40</f>
        <v>3628205</v>
      </c>
    </row>
    <row r="41" spans="1:9" ht="18" customHeight="1">
      <c r="A41" s="435"/>
      <c r="B41" s="240" t="s">
        <v>210</v>
      </c>
      <c r="C41" s="240"/>
      <c r="D41" s="240"/>
      <c r="E41" s="240"/>
      <c r="F41" s="240"/>
      <c r="G41" s="240"/>
      <c r="H41" s="438">
        <f>SUM(H26:H40)</f>
        <v>496028205</v>
      </c>
    </row>
    <row r="42" spans="1:9" ht="21" customHeight="1">
      <c r="A42" s="431"/>
      <c r="B42" s="240" t="s">
        <v>211</v>
      </c>
      <c r="C42" s="240"/>
      <c r="D42" s="310"/>
      <c r="E42" s="240"/>
      <c r="F42" s="240"/>
      <c r="G42" s="240"/>
      <c r="H42" s="432"/>
    </row>
    <row r="43" spans="1:9" ht="18" customHeight="1">
      <c r="A43" s="437">
        <v>1.28</v>
      </c>
      <c r="B43" s="285" t="s">
        <v>213</v>
      </c>
      <c r="C43" s="287"/>
      <c r="D43" s="418">
        <f>H5</f>
        <v>15829964771</v>
      </c>
      <c r="E43" s="287"/>
      <c r="F43" s="350">
        <v>7.0000000000000001E-3</v>
      </c>
      <c r="G43" s="306"/>
      <c r="H43" s="433">
        <f>D43*F43</f>
        <v>110809753.397</v>
      </c>
    </row>
    <row r="44" spans="1:9" ht="18" customHeight="1">
      <c r="A44" s="437">
        <v>1.29</v>
      </c>
      <c r="B44" s="285" t="s">
        <v>212</v>
      </c>
      <c r="C44" s="287"/>
      <c r="D44" s="418"/>
      <c r="E44" s="287"/>
      <c r="F44" s="339"/>
      <c r="G44" s="307"/>
      <c r="H44" s="433"/>
      <c r="I44" s="2"/>
    </row>
    <row r="45" spans="1:9" ht="18" customHeight="1">
      <c r="A45" s="437" t="s">
        <v>338</v>
      </c>
      <c r="B45" s="285" t="s">
        <v>345</v>
      </c>
      <c r="C45" s="287"/>
      <c r="D45" s="418">
        <f>H5</f>
        <v>15829964771</v>
      </c>
      <c r="E45" s="287"/>
      <c r="F45" s="350">
        <v>5.0000000000000001E-3</v>
      </c>
      <c r="G45" s="306"/>
      <c r="H45" s="433">
        <f t="shared" ref="H45:H50" si="2">D45*F45</f>
        <v>79149823.855000004</v>
      </c>
      <c r="I45" s="2"/>
    </row>
    <row r="46" spans="1:9" ht="18" customHeight="1">
      <c r="A46" s="437" t="s">
        <v>339</v>
      </c>
      <c r="B46" s="285" t="s">
        <v>424</v>
      </c>
      <c r="C46" s="287"/>
      <c r="D46" s="418">
        <f>H5</f>
        <v>15829964771</v>
      </c>
      <c r="E46" s="287"/>
      <c r="F46" s="350">
        <v>5.0000000000000001E-3</v>
      </c>
      <c r="G46" s="306"/>
      <c r="H46" s="433">
        <f t="shared" si="2"/>
        <v>79149823.855000004</v>
      </c>
      <c r="I46" s="2"/>
    </row>
    <row r="47" spans="1:9" ht="18" customHeight="1">
      <c r="A47" s="437" t="s">
        <v>340</v>
      </c>
      <c r="B47" s="285" t="s">
        <v>426</v>
      </c>
      <c r="C47" s="287"/>
      <c r="D47" s="418">
        <f>H5</f>
        <v>15829964771</v>
      </c>
      <c r="E47" s="287"/>
      <c r="F47" s="350">
        <v>5.0000000000000001E-3</v>
      </c>
      <c r="G47" s="286"/>
      <c r="H47" s="433">
        <f>D47*F47</f>
        <v>79149823.855000004</v>
      </c>
      <c r="I47" s="426"/>
    </row>
    <row r="48" spans="1:9" ht="18" customHeight="1">
      <c r="A48" s="437">
        <v>1.3</v>
      </c>
      <c r="B48" s="285" t="s">
        <v>202</v>
      </c>
      <c r="C48" s="287"/>
      <c r="D48" s="424"/>
      <c r="E48" s="287"/>
      <c r="F48" s="350"/>
      <c r="G48" s="307"/>
      <c r="H48" s="433"/>
    </row>
    <row r="49" spans="1:11" ht="18" customHeight="1">
      <c r="A49" s="437" t="s">
        <v>342</v>
      </c>
      <c r="B49" s="285" t="s">
        <v>203</v>
      </c>
      <c r="C49" s="287"/>
      <c r="D49" s="418">
        <f>H5</f>
        <v>15829964771</v>
      </c>
      <c r="E49" s="287"/>
      <c r="F49" s="339">
        <v>0.05</v>
      </c>
      <c r="G49" s="286"/>
      <c r="H49" s="433">
        <f t="shared" si="2"/>
        <v>791498238.55000007</v>
      </c>
      <c r="I49" s="254"/>
    </row>
    <row r="50" spans="1:11" ht="18" customHeight="1">
      <c r="A50" s="437" t="s">
        <v>433</v>
      </c>
      <c r="B50" s="285" t="s">
        <v>434</v>
      </c>
      <c r="C50" s="287"/>
      <c r="D50" s="418">
        <f>H5</f>
        <v>15829964771</v>
      </c>
      <c r="E50" s="287"/>
      <c r="F50" s="350">
        <v>5.0000000000000001E-3</v>
      </c>
      <c r="G50" s="286"/>
      <c r="H50" s="433">
        <f t="shared" si="2"/>
        <v>79149823.855000004</v>
      </c>
      <c r="I50" s="254"/>
    </row>
    <row r="51" spans="1:11" ht="18" customHeight="1">
      <c r="A51" s="435"/>
      <c r="B51" s="240" t="s">
        <v>210</v>
      </c>
      <c r="C51" s="240"/>
      <c r="D51" s="347"/>
      <c r="E51" s="240"/>
      <c r="F51" s="339"/>
      <c r="G51" s="240"/>
      <c r="H51" s="436">
        <f>SUM(H43:H50)</f>
        <v>1218907287.3670001</v>
      </c>
      <c r="I51" s="254"/>
    </row>
    <row r="52" spans="1:11" ht="18" customHeight="1">
      <c r="A52" s="439"/>
      <c r="B52" s="240" t="s">
        <v>215</v>
      </c>
      <c r="C52" s="287"/>
      <c r="D52" s="346"/>
      <c r="E52" s="287"/>
      <c r="F52" s="339"/>
      <c r="G52" s="286"/>
      <c r="H52" s="438">
        <f>ROUND(SUM(H24+H41+H51),0)</f>
        <v>2135031492</v>
      </c>
      <c r="I52" s="420"/>
      <c r="J52" s="289"/>
    </row>
    <row r="53" spans="1:11" ht="18" customHeight="1">
      <c r="A53" s="431">
        <v>2</v>
      </c>
      <c r="B53" s="240" t="s">
        <v>216</v>
      </c>
      <c r="C53" s="240"/>
      <c r="D53" s="347"/>
      <c r="E53" s="240"/>
      <c r="F53" s="339"/>
      <c r="G53" s="286"/>
      <c r="H53" s="440"/>
      <c r="I53" s="421"/>
      <c r="J53" s="537"/>
    </row>
    <row r="54" spans="1:11" ht="18" customHeight="1">
      <c r="A54" s="441">
        <v>2.1</v>
      </c>
      <c r="B54" s="243" t="s">
        <v>149</v>
      </c>
      <c r="C54" s="243"/>
      <c r="D54" s="418">
        <f>H4</f>
        <v>12559008777</v>
      </c>
      <c r="E54" s="243"/>
      <c r="F54" s="339">
        <v>0.03</v>
      </c>
      <c r="G54" s="286"/>
      <c r="H54" s="433">
        <f>ROUND((D54*F54),0)</f>
        <v>376770263</v>
      </c>
      <c r="I54" s="422"/>
      <c r="J54" s="251"/>
    </row>
    <row r="55" spans="1:11" ht="18" customHeight="1">
      <c r="A55" s="431" t="s">
        <v>141</v>
      </c>
      <c r="B55" s="240" t="s">
        <v>221</v>
      </c>
      <c r="C55" s="240"/>
      <c r="D55" s="418"/>
      <c r="E55" s="240"/>
      <c r="F55" s="339"/>
      <c r="G55" s="246"/>
      <c r="H55" s="436">
        <f>H54</f>
        <v>376770263</v>
      </c>
      <c r="I55" s="423"/>
      <c r="J55" s="253"/>
      <c r="K55" s="236"/>
    </row>
    <row r="56" spans="1:11" ht="18" customHeight="1">
      <c r="A56" s="431">
        <v>3</v>
      </c>
      <c r="B56" s="240" t="s">
        <v>217</v>
      </c>
      <c r="C56" s="240"/>
      <c r="D56" s="418"/>
      <c r="E56" s="240"/>
      <c r="F56" s="339"/>
      <c r="G56" s="286"/>
      <c r="H56" s="433"/>
      <c r="I56" s="422"/>
      <c r="J56" s="254"/>
    </row>
    <row r="57" spans="1:11" ht="18" customHeight="1">
      <c r="A57" s="441">
        <v>3.1</v>
      </c>
      <c r="B57" s="243" t="s">
        <v>150</v>
      </c>
      <c r="C57" s="243"/>
      <c r="D57" s="418">
        <f>H4</f>
        <v>12559008777</v>
      </c>
      <c r="E57" s="243"/>
      <c r="F57" s="339">
        <v>0.05</v>
      </c>
      <c r="G57" s="286"/>
      <c r="H57" s="433">
        <f>ROUND((D57*F57),0)</f>
        <v>627950439</v>
      </c>
      <c r="I57" s="422"/>
      <c r="J57" s="254"/>
    </row>
    <row r="58" spans="1:11" ht="18" customHeight="1">
      <c r="A58" s="431" t="s">
        <v>141</v>
      </c>
      <c r="B58" s="240" t="s">
        <v>222</v>
      </c>
      <c r="C58" s="240"/>
      <c r="D58" s="240"/>
      <c r="E58" s="240"/>
      <c r="F58" s="345"/>
      <c r="G58" s="246"/>
      <c r="H58" s="440">
        <f>H57</f>
        <v>627950439</v>
      </c>
      <c r="I58" s="252"/>
      <c r="J58" s="254"/>
      <c r="K58" s="249"/>
    </row>
    <row r="59" spans="1:11" ht="18" customHeight="1">
      <c r="A59" s="240" t="s">
        <v>141</v>
      </c>
      <c r="B59" s="240" t="s">
        <v>218</v>
      </c>
      <c r="C59" s="240"/>
      <c r="D59" s="240"/>
      <c r="E59" s="240"/>
      <c r="F59" s="339"/>
      <c r="G59" s="246"/>
      <c r="H59" s="440">
        <f>H52+H55+H58</f>
        <v>3139752194</v>
      </c>
      <c r="I59" s="419"/>
      <c r="J59" s="248"/>
      <c r="K59" s="236"/>
    </row>
    <row r="60" spans="1:11" ht="15.75">
      <c r="A60" s="257"/>
      <c r="B60" s="257"/>
      <c r="C60" s="257"/>
      <c r="D60" s="257"/>
      <c r="E60" s="257"/>
      <c r="F60" s="257"/>
      <c r="G60" s="257"/>
      <c r="H60" s="257"/>
      <c r="I60" s="256"/>
    </row>
    <row r="61" spans="1:11" ht="15.75" customHeight="1">
      <c r="A61" s="257"/>
      <c r="B61" s="257"/>
      <c r="C61" s="257"/>
      <c r="D61" s="257"/>
      <c r="E61" s="257"/>
      <c r="F61" s="257"/>
      <c r="G61" s="257"/>
      <c r="H61" s="257"/>
      <c r="I61" s="256"/>
    </row>
    <row r="62" spans="1:11" s="198" customFormat="1" ht="15.75">
      <c r="A62" s="199" t="s">
        <v>193</v>
      </c>
      <c r="B62" s="199"/>
      <c r="C62" s="200"/>
      <c r="D62" s="200"/>
      <c r="E62" s="200"/>
      <c r="F62" s="734"/>
      <c r="G62" s="734"/>
    </row>
    <row r="63" spans="1:11" s="198" customFormat="1" ht="15.75">
      <c r="A63" s="199" t="s">
        <v>194</v>
      </c>
      <c r="B63" s="199"/>
      <c r="C63" s="200"/>
      <c r="D63" s="200"/>
      <c r="E63" s="200"/>
      <c r="F63" s="735"/>
      <c r="G63" s="735"/>
    </row>
    <row r="64" spans="1:11" ht="15.75">
      <c r="A64" s="257"/>
      <c r="B64" s="257"/>
      <c r="C64" s="257"/>
      <c r="D64" s="257"/>
      <c r="E64" s="257"/>
      <c r="F64" s="257"/>
      <c r="G64" s="257"/>
      <c r="H64" s="257"/>
    </row>
    <row r="65" spans="1:8" ht="15.75">
      <c r="A65" s="260"/>
      <c r="B65" s="260"/>
      <c r="C65" s="260"/>
      <c r="D65" s="260"/>
      <c r="E65" s="260"/>
      <c r="F65" s="260"/>
      <c r="G65" s="260"/>
      <c r="H65" s="260"/>
    </row>
    <row r="66" spans="1:8" ht="15.75">
      <c r="A66" s="260"/>
      <c r="B66" s="260"/>
      <c r="C66" s="260"/>
      <c r="D66" s="260"/>
      <c r="E66" s="260"/>
      <c r="F66" s="260"/>
      <c r="G66" s="260"/>
      <c r="H66" s="261"/>
    </row>
    <row r="67" spans="1:8" ht="15.75">
      <c r="A67" s="257"/>
      <c r="B67" s="257"/>
      <c r="C67" s="257"/>
      <c r="D67" s="257"/>
      <c r="E67" s="257"/>
      <c r="F67" s="257"/>
      <c r="G67" s="257"/>
      <c r="H67" s="262"/>
    </row>
    <row r="68" spans="1:8" ht="15.75">
      <c r="A68" s="257"/>
      <c r="B68" s="257"/>
      <c r="C68" s="257"/>
      <c r="D68" s="257"/>
      <c r="E68" s="257"/>
      <c r="F68" s="257"/>
      <c r="G68" s="257"/>
      <c r="H68" s="257"/>
    </row>
    <row r="69" spans="1:8" ht="15.75">
      <c r="A69" s="257"/>
      <c r="B69" s="257"/>
      <c r="C69" s="257"/>
      <c r="D69" s="257"/>
      <c r="E69" s="257"/>
      <c r="F69" s="257"/>
      <c r="G69" s="257"/>
      <c r="H69" s="257"/>
    </row>
    <row r="70" spans="1:8" ht="15.75">
      <c r="A70" s="258"/>
      <c r="B70" s="258"/>
      <c r="C70" s="258"/>
      <c r="D70" s="258"/>
      <c r="E70" s="258"/>
      <c r="F70" s="258"/>
      <c r="G70" s="258"/>
      <c r="H70" s="257"/>
    </row>
    <row r="71" spans="1:8" ht="15.75">
      <c r="A71" s="260"/>
      <c r="B71" s="260"/>
      <c r="C71" s="260"/>
      <c r="D71" s="260"/>
      <c r="E71" s="260"/>
      <c r="F71" s="260"/>
      <c r="G71" s="260"/>
      <c r="H71" s="260"/>
    </row>
    <row r="72" spans="1:8" ht="15.75">
      <c r="A72" s="257"/>
      <c r="B72" s="257"/>
      <c r="C72" s="257"/>
      <c r="D72" s="257"/>
      <c r="E72" s="257"/>
      <c r="F72" s="257"/>
      <c r="G72" s="257"/>
      <c r="H72" s="261"/>
    </row>
    <row r="73" spans="1:8" ht="15.75">
      <c r="A73" s="257"/>
      <c r="B73" s="257"/>
      <c r="C73" s="257"/>
      <c r="D73" s="257"/>
      <c r="E73" s="257"/>
      <c r="F73" s="257"/>
      <c r="G73" s="257"/>
      <c r="H73" s="263"/>
    </row>
    <row r="74" spans="1:8" ht="15.75">
      <c r="A74" s="257"/>
      <c r="B74" s="257"/>
      <c r="C74" s="257"/>
      <c r="D74" s="257"/>
      <c r="E74" s="257"/>
      <c r="F74" s="257"/>
      <c r="G74" s="257"/>
      <c r="H74" s="263"/>
    </row>
    <row r="75" spans="1:8" ht="15.75">
      <c r="A75" s="257"/>
      <c r="B75" s="257"/>
      <c r="C75" s="257"/>
      <c r="D75" s="257"/>
      <c r="E75" s="257"/>
      <c r="F75" s="257"/>
      <c r="G75" s="257"/>
      <c r="H75" s="263"/>
    </row>
    <row r="76" spans="1:8" ht="15.75">
      <c r="A76" s="257"/>
      <c r="B76" s="257"/>
      <c r="C76" s="257"/>
      <c r="D76" s="257"/>
      <c r="E76" s="257"/>
      <c r="F76" s="257"/>
      <c r="G76" s="257"/>
      <c r="H76" s="264"/>
    </row>
    <row r="77" spans="1:8" ht="15.75">
      <c r="A77" s="257"/>
      <c r="B77" s="257"/>
      <c r="C77" s="257"/>
      <c r="D77" s="257"/>
      <c r="E77" s="257"/>
      <c r="F77" s="257"/>
      <c r="G77" s="257"/>
      <c r="H77" s="257"/>
    </row>
    <row r="78" spans="1:8" ht="15.75">
      <c r="A78" s="258"/>
      <c r="B78" s="258"/>
      <c r="C78" s="258"/>
      <c r="D78" s="258"/>
      <c r="E78" s="258"/>
      <c r="F78" s="258"/>
      <c r="G78" s="258"/>
      <c r="H78" s="257"/>
    </row>
    <row r="79" spans="1:8" ht="15.75">
      <c r="A79" s="260"/>
      <c r="B79" s="260"/>
      <c r="C79" s="260"/>
      <c r="D79" s="260"/>
      <c r="E79" s="260"/>
      <c r="F79" s="260"/>
      <c r="G79" s="260"/>
      <c r="H79" s="260"/>
    </row>
    <row r="80" spans="1:8" ht="15.75">
      <c r="A80" s="257"/>
      <c r="B80" s="257"/>
      <c r="C80" s="257"/>
      <c r="D80" s="257"/>
      <c r="E80" s="257"/>
      <c r="F80" s="257"/>
      <c r="G80" s="257"/>
      <c r="H80" s="262"/>
    </row>
    <row r="81" spans="1:8" ht="15.75">
      <c r="A81" s="257"/>
      <c r="B81" s="257"/>
      <c r="C81" s="257"/>
      <c r="D81" s="257"/>
      <c r="E81" s="257"/>
      <c r="F81" s="257"/>
      <c r="G81" s="257"/>
      <c r="H81" s="262"/>
    </row>
    <row r="82" spans="1:8" ht="15.75">
      <c r="A82" s="257"/>
      <c r="B82" s="257"/>
      <c r="C82" s="257"/>
      <c r="D82" s="257"/>
      <c r="E82" s="257"/>
      <c r="F82" s="257"/>
      <c r="G82" s="257"/>
      <c r="H82" s="262"/>
    </row>
    <row r="83" spans="1:8" ht="15.75">
      <c r="A83" s="257"/>
      <c r="B83" s="257"/>
      <c r="C83" s="257"/>
      <c r="D83" s="257"/>
      <c r="E83" s="257"/>
      <c r="F83" s="257"/>
      <c r="G83" s="257"/>
      <c r="H83" s="257"/>
    </row>
    <row r="84" spans="1:8" ht="15.75">
      <c r="A84" s="257"/>
      <c r="B84" s="257"/>
      <c r="C84" s="257"/>
      <c r="D84" s="257"/>
      <c r="E84" s="257"/>
      <c r="F84" s="257"/>
      <c r="G84" s="257"/>
      <c r="H84" s="257"/>
    </row>
    <row r="85" spans="1:8" ht="15.75">
      <c r="A85" s="257"/>
      <c r="B85" s="257"/>
      <c r="C85" s="257"/>
      <c r="D85" s="257"/>
      <c r="E85" s="257"/>
      <c r="F85" s="257"/>
      <c r="G85" s="257"/>
      <c r="H85" s="257"/>
    </row>
    <row r="86" spans="1:8" ht="15.75">
      <c r="A86" s="258"/>
      <c r="B86" s="258"/>
      <c r="C86" s="258"/>
      <c r="D86" s="258"/>
      <c r="E86" s="258"/>
      <c r="F86" s="258"/>
      <c r="G86" s="258"/>
      <c r="H86" s="257"/>
    </row>
    <row r="87" spans="1:8" ht="15.75">
      <c r="A87" s="260"/>
      <c r="B87" s="260"/>
      <c r="C87" s="260"/>
      <c r="D87" s="260"/>
      <c r="E87" s="260"/>
      <c r="F87" s="260"/>
      <c r="G87" s="260"/>
      <c r="H87" s="260"/>
    </row>
    <row r="88" spans="1:8" ht="15.75">
      <c r="A88" s="257"/>
      <c r="B88" s="262"/>
      <c r="C88" s="262"/>
      <c r="D88" s="262"/>
      <c r="E88" s="262"/>
      <c r="F88" s="262"/>
      <c r="G88" s="262"/>
      <c r="H88" s="265"/>
    </row>
    <row r="89" spans="1:8" ht="15.75">
      <c r="A89" s="257"/>
      <c r="B89" s="262"/>
      <c r="C89" s="262"/>
      <c r="D89" s="262"/>
      <c r="E89" s="262"/>
      <c r="F89" s="262"/>
      <c r="G89" s="262"/>
      <c r="H89" s="264"/>
    </row>
    <row r="90" spans="1:8" ht="15.75">
      <c r="A90" s="257"/>
      <c r="B90" s="257"/>
      <c r="C90" s="257"/>
      <c r="D90" s="257"/>
      <c r="E90" s="257"/>
      <c r="F90" s="257"/>
      <c r="G90" s="257"/>
      <c r="H90" s="257"/>
    </row>
    <row r="91" spans="1:8" ht="15.75">
      <c r="A91" s="257"/>
      <c r="B91" s="257"/>
      <c r="C91" s="257"/>
      <c r="D91" s="257"/>
      <c r="E91" s="257"/>
      <c r="F91" s="257"/>
      <c r="G91" s="257"/>
      <c r="H91" s="257"/>
    </row>
    <row r="92" spans="1:8" ht="15.75">
      <c r="A92" s="257"/>
      <c r="B92" s="257"/>
      <c r="C92" s="257"/>
      <c r="D92" s="257"/>
      <c r="E92" s="257"/>
      <c r="F92" s="257"/>
      <c r="G92" s="257"/>
      <c r="H92" s="257"/>
    </row>
    <row r="93" spans="1:8" ht="15.75">
      <c r="A93" s="257"/>
      <c r="B93" s="257"/>
      <c r="C93" s="257"/>
      <c r="D93" s="257"/>
      <c r="E93" s="257"/>
      <c r="F93" s="257"/>
      <c r="G93" s="257"/>
      <c r="H93" s="257"/>
    </row>
    <row r="94" spans="1:8" ht="15.75">
      <c r="A94" s="258"/>
      <c r="B94" s="258"/>
      <c r="C94" s="258"/>
      <c r="D94" s="258"/>
      <c r="E94" s="258"/>
      <c r="F94" s="258"/>
      <c r="G94" s="258"/>
      <c r="H94" s="257"/>
    </row>
    <row r="95" spans="1:8" ht="15.75">
      <c r="A95" s="260"/>
      <c r="B95" s="260"/>
      <c r="C95" s="260"/>
      <c r="D95" s="260"/>
      <c r="E95" s="260"/>
      <c r="F95" s="260"/>
      <c r="G95" s="260"/>
      <c r="H95" s="260"/>
    </row>
    <row r="96" spans="1:8" ht="15.75">
      <c r="A96" s="257"/>
      <c r="B96" s="257"/>
      <c r="C96" s="257"/>
      <c r="D96" s="257"/>
      <c r="E96" s="257"/>
      <c r="F96" s="257"/>
      <c r="G96" s="257"/>
      <c r="H96" s="262"/>
    </row>
    <row r="97" spans="1:8" ht="15.75">
      <c r="A97" s="257"/>
      <c r="B97" s="257"/>
      <c r="C97" s="257"/>
      <c r="D97" s="257"/>
      <c r="E97" s="257"/>
      <c r="F97" s="257"/>
      <c r="G97" s="257"/>
      <c r="H97" s="257"/>
    </row>
    <row r="98" spans="1:8" ht="15.75">
      <c r="A98" s="257"/>
      <c r="B98" s="257"/>
      <c r="C98" s="257"/>
      <c r="D98" s="257"/>
      <c r="E98" s="257"/>
      <c r="F98" s="257"/>
      <c r="G98" s="257"/>
      <c r="H98" s="257"/>
    </row>
    <row r="99" spans="1:8" ht="15.75">
      <c r="A99" s="257"/>
      <c r="B99" s="257"/>
      <c r="C99" s="257"/>
      <c r="D99" s="257"/>
      <c r="E99" s="257"/>
      <c r="F99" s="257"/>
      <c r="G99" s="257"/>
      <c r="H99" s="257"/>
    </row>
    <row r="100" spans="1:8" ht="15.75">
      <c r="A100" s="257"/>
      <c r="B100" s="257"/>
      <c r="C100" s="257"/>
      <c r="D100" s="257"/>
      <c r="E100" s="257"/>
      <c r="F100" s="257"/>
      <c r="G100" s="257"/>
      <c r="H100" s="257"/>
    </row>
    <row r="101" spans="1:8" ht="15.75">
      <c r="A101" s="257"/>
      <c r="B101" s="257"/>
      <c r="C101" s="257"/>
      <c r="D101" s="257"/>
      <c r="E101" s="257"/>
      <c r="F101" s="257"/>
      <c r="G101" s="257"/>
      <c r="H101" s="257"/>
    </row>
    <row r="102" spans="1:8" ht="15.75">
      <c r="A102" s="257"/>
      <c r="B102" s="257"/>
      <c r="C102" s="257"/>
      <c r="D102" s="257"/>
      <c r="E102" s="257"/>
      <c r="F102" s="257"/>
      <c r="G102" s="257"/>
      <c r="H102" s="257"/>
    </row>
    <row r="103" spans="1:8" ht="15.75">
      <c r="A103" s="257"/>
      <c r="B103" s="257"/>
      <c r="C103" s="257"/>
      <c r="D103" s="257"/>
      <c r="E103" s="257"/>
      <c r="F103" s="257"/>
      <c r="G103" s="257"/>
      <c r="H103" s="257"/>
    </row>
    <row r="104" spans="1:8" ht="15.75">
      <c r="A104" s="257"/>
      <c r="B104" s="257"/>
      <c r="C104" s="257"/>
      <c r="D104" s="257"/>
      <c r="E104" s="257"/>
      <c r="F104" s="257"/>
      <c r="G104" s="257"/>
      <c r="H104" s="257"/>
    </row>
    <row r="105" spans="1:8" ht="15.75">
      <c r="A105" s="257"/>
      <c r="B105" s="257"/>
      <c r="C105" s="257"/>
      <c r="D105" s="257"/>
      <c r="E105" s="257"/>
      <c r="F105" s="257"/>
      <c r="G105" s="257"/>
      <c r="H105" s="257"/>
    </row>
    <row r="106" spans="1:8" ht="15.75">
      <c r="A106" s="257"/>
      <c r="B106" s="257"/>
      <c r="C106" s="257"/>
      <c r="D106" s="257"/>
      <c r="E106" s="257"/>
      <c r="F106" s="257"/>
      <c r="G106" s="257"/>
      <c r="H106" s="257"/>
    </row>
    <row r="107" spans="1:8" ht="15.75">
      <c r="A107" s="257"/>
      <c r="B107" s="257"/>
      <c r="C107" s="257"/>
      <c r="D107" s="257"/>
      <c r="E107" s="257"/>
      <c r="F107" s="257"/>
      <c r="G107" s="257"/>
      <c r="H107" s="257"/>
    </row>
    <row r="108" spans="1:8" ht="15.75">
      <c r="A108" s="724"/>
      <c r="B108" s="724"/>
      <c r="C108" s="724"/>
      <c r="D108" s="724"/>
      <c r="E108" s="724"/>
      <c r="F108" s="724"/>
      <c r="G108" s="724"/>
      <c r="H108" s="724"/>
    </row>
    <row r="109" spans="1:8" ht="15.75">
      <c r="A109" s="257"/>
      <c r="B109" s="257"/>
      <c r="C109" s="257"/>
      <c r="D109" s="257"/>
      <c r="E109" s="257"/>
      <c r="F109" s="257"/>
      <c r="G109" s="257"/>
      <c r="H109" s="257"/>
    </row>
    <row r="110" spans="1:8" ht="15.75">
      <c r="A110" s="257"/>
      <c r="B110" s="257"/>
      <c r="C110" s="257"/>
      <c r="D110" s="257"/>
      <c r="E110" s="257"/>
      <c r="F110" s="257"/>
      <c r="G110" s="257"/>
      <c r="H110" s="257"/>
    </row>
    <row r="111" spans="1:8" ht="15.75">
      <c r="A111" s="257"/>
      <c r="B111" s="257"/>
      <c r="C111" s="257"/>
      <c r="D111" s="257"/>
      <c r="E111" s="257"/>
      <c r="F111" s="257"/>
      <c r="G111" s="257"/>
      <c r="H111" s="258"/>
    </row>
    <row r="112" spans="1:8" ht="15.75">
      <c r="A112" s="257"/>
      <c r="B112" s="257"/>
      <c r="C112" s="257"/>
      <c r="D112" s="257"/>
      <c r="E112" s="257"/>
      <c r="F112" s="257"/>
      <c r="G112" s="257"/>
      <c r="H112" s="257"/>
    </row>
    <row r="113" spans="1:8" ht="15.75">
      <c r="A113" s="257"/>
      <c r="B113" s="257"/>
      <c r="C113" s="257"/>
      <c r="D113" s="257"/>
      <c r="E113" s="257"/>
      <c r="F113" s="257"/>
      <c r="G113" s="257"/>
      <c r="H113" s="257"/>
    </row>
    <row r="114" spans="1:8" ht="15.75">
      <c r="A114" s="257"/>
      <c r="B114" s="257"/>
      <c r="C114" s="257"/>
      <c r="D114" s="257"/>
      <c r="E114" s="257"/>
      <c r="F114" s="257"/>
      <c r="G114" s="257"/>
      <c r="H114" s="257"/>
    </row>
    <row r="115" spans="1:8" ht="15.75">
      <c r="A115" s="258"/>
      <c r="B115" s="258"/>
      <c r="C115" s="258"/>
      <c r="D115" s="258"/>
      <c r="E115" s="258"/>
      <c r="F115" s="258"/>
      <c r="G115" s="258"/>
      <c r="H115" s="259"/>
    </row>
    <row r="116" spans="1:8" ht="15.75">
      <c r="A116" s="260"/>
      <c r="B116" s="260"/>
      <c r="C116" s="260"/>
      <c r="D116" s="260"/>
      <c r="E116" s="260"/>
      <c r="F116" s="260"/>
      <c r="G116" s="260"/>
      <c r="H116" s="260"/>
    </row>
    <row r="117" spans="1:8" ht="15.75">
      <c r="A117" s="260"/>
      <c r="B117" s="260"/>
      <c r="C117" s="260"/>
      <c r="D117" s="260"/>
      <c r="E117" s="260"/>
      <c r="F117" s="260"/>
      <c r="G117" s="260"/>
      <c r="H117" s="261"/>
    </row>
    <row r="118" spans="1:8" ht="15.75">
      <c r="A118" s="257"/>
      <c r="B118" s="257"/>
      <c r="C118" s="257"/>
      <c r="D118" s="257"/>
      <c r="E118" s="257"/>
      <c r="F118" s="257"/>
      <c r="G118" s="257"/>
      <c r="H118" s="262"/>
    </row>
    <row r="119" spans="1:8" ht="15.75">
      <c r="A119" s="257"/>
      <c r="B119" s="257"/>
      <c r="C119" s="257"/>
      <c r="D119" s="257"/>
      <c r="E119" s="257"/>
      <c r="F119" s="257"/>
      <c r="G119" s="257"/>
      <c r="H119" s="257"/>
    </row>
    <row r="120" spans="1:8" ht="15.75">
      <c r="A120" s="257"/>
      <c r="B120" s="257"/>
      <c r="C120" s="257"/>
      <c r="D120" s="257"/>
      <c r="E120" s="257"/>
      <c r="F120" s="257"/>
      <c r="G120" s="257"/>
      <c r="H120" s="257"/>
    </row>
    <row r="121" spans="1:8" ht="15.75">
      <c r="A121" s="258"/>
      <c r="B121" s="258"/>
      <c r="C121" s="258"/>
      <c r="D121" s="258"/>
      <c r="E121" s="258"/>
      <c r="F121" s="258"/>
      <c r="G121" s="258"/>
      <c r="H121" s="257"/>
    </row>
    <row r="122" spans="1:8" ht="15.75">
      <c r="A122" s="260"/>
      <c r="B122" s="260"/>
      <c r="C122" s="260"/>
      <c r="D122" s="260"/>
      <c r="E122" s="260"/>
      <c r="F122" s="260"/>
      <c r="G122" s="260"/>
      <c r="H122" s="260"/>
    </row>
    <row r="123" spans="1:8" ht="15.75">
      <c r="A123" s="257"/>
      <c r="B123" s="257"/>
      <c r="C123" s="257"/>
      <c r="D123" s="257"/>
      <c r="E123" s="257"/>
      <c r="F123" s="257"/>
      <c r="G123" s="257"/>
      <c r="H123" s="263"/>
    </row>
    <row r="124" spans="1:8" ht="15.75">
      <c r="A124" s="257"/>
      <c r="B124" s="257"/>
      <c r="C124" s="257"/>
      <c r="D124" s="257"/>
      <c r="E124" s="257"/>
      <c r="F124" s="257"/>
      <c r="G124" s="257"/>
      <c r="H124" s="263"/>
    </row>
    <row r="125" spans="1:8" ht="15.75">
      <c r="A125" s="257"/>
      <c r="B125" s="257"/>
      <c r="C125" s="257"/>
      <c r="D125" s="257"/>
      <c r="E125" s="257"/>
      <c r="F125" s="257"/>
      <c r="G125" s="257"/>
      <c r="H125" s="263"/>
    </row>
    <row r="126" spans="1:8" ht="15.75">
      <c r="A126" s="257"/>
      <c r="B126" s="257"/>
      <c r="C126" s="257"/>
      <c r="D126" s="257"/>
      <c r="E126" s="257"/>
      <c r="F126" s="257"/>
      <c r="G126" s="257"/>
      <c r="H126" s="263"/>
    </row>
    <row r="127" spans="1:8" ht="15.75">
      <c r="A127" s="257"/>
      <c r="B127" s="257"/>
      <c r="C127" s="257"/>
      <c r="D127" s="257"/>
      <c r="E127" s="257"/>
      <c r="F127" s="257"/>
      <c r="G127" s="257"/>
      <c r="H127" s="264"/>
    </row>
    <row r="128" spans="1:8" ht="15.75">
      <c r="A128" s="257"/>
      <c r="B128" s="257"/>
      <c r="C128" s="257"/>
      <c r="D128" s="257"/>
      <c r="E128" s="257"/>
      <c r="F128" s="257"/>
      <c r="G128" s="257"/>
      <c r="H128" s="257"/>
    </row>
    <row r="129" spans="1:8" ht="15.75">
      <c r="A129" s="258"/>
      <c r="B129" s="258"/>
      <c r="C129" s="258"/>
      <c r="D129" s="258"/>
      <c r="E129" s="258"/>
      <c r="F129" s="258"/>
      <c r="G129" s="258"/>
      <c r="H129" s="257"/>
    </row>
    <row r="130" spans="1:8" ht="15.75">
      <c r="A130" s="260"/>
      <c r="B130" s="260"/>
      <c r="C130" s="260"/>
      <c r="D130" s="260"/>
      <c r="E130" s="260"/>
      <c r="F130" s="260"/>
      <c r="G130" s="260"/>
      <c r="H130" s="260"/>
    </row>
    <row r="131" spans="1:8" ht="15.75">
      <c r="A131" s="257"/>
      <c r="B131" s="257"/>
      <c r="C131" s="257"/>
      <c r="D131" s="257"/>
      <c r="E131" s="257"/>
      <c r="F131" s="257"/>
      <c r="G131" s="257"/>
      <c r="H131" s="262"/>
    </row>
    <row r="132" spans="1:8" ht="15.75">
      <c r="A132" s="257"/>
      <c r="B132" s="257"/>
      <c r="C132" s="257"/>
      <c r="D132" s="257"/>
      <c r="E132" s="257"/>
      <c r="F132" s="257"/>
      <c r="G132" s="257"/>
      <c r="H132" s="262"/>
    </row>
    <row r="133" spans="1:8" ht="15.75">
      <c r="A133" s="257"/>
      <c r="B133" s="257"/>
      <c r="C133" s="257"/>
      <c r="D133" s="257"/>
      <c r="E133" s="257"/>
      <c r="F133" s="257"/>
      <c r="G133" s="257"/>
      <c r="H133" s="262"/>
    </row>
    <row r="134" spans="1:8" ht="15.75">
      <c r="A134" s="257"/>
      <c r="B134" s="257"/>
      <c r="C134" s="257"/>
      <c r="D134" s="257"/>
      <c r="E134" s="257"/>
      <c r="F134" s="257"/>
      <c r="G134" s="257"/>
      <c r="H134" s="257"/>
    </row>
    <row r="135" spans="1:8" ht="15.75">
      <c r="A135" s="257"/>
      <c r="B135" s="257"/>
      <c r="C135" s="257"/>
      <c r="D135" s="257"/>
      <c r="E135" s="257"/>
      <c r="F135" s="257"/>
      <c r="G135" s="257"/>
      <c r="H135" s="257"/>
    </row>
    <row r="136" spans="1:8" ht="15.75">
      <c r="A136" s="257"/>
      <c r="B136" s="257"/>
      <c r="C136" s="257"/>
      <c r="D136" s="257"/>
      <c r="E136" s="257"/>
      <c r="F136" s="257"/>
      <c r="G136" s="257"/>
      <c r="H136" s="257"/>
    </row>
    <row r="137" spans="1:8" ht="15.75">
      <c r="A137" s="258"/>
      <c r="B137" s="258"/>
      <c r="C137" s="258"/>
      <c r="D137" s="258"/>
      <c r="E137" s="258"/>
      <c r="F137" s="258"/>
      <c r="G137" s="258"/>
      <c r="H137" s="257"/>
    </row>
    <row r="138" spans="1:8" ht="15.75">
      <c r="A138" s="260"/>
      <c r="B138" s="260"/>
      <c r="C138" s="260"/>
      <c r="D138" s="260"/>
      <c r="E138" s="260"/>
      <c r="F138" s="260"/>
      <c r="G138" s="260"/>
      <c r="H138" s="260"/>
    </row>
    <row r="139" spans="1:8" ht="15.75">
      <c r="A139" s="257"/>
      <c r="B139" s="266"/>
      <c r="C139" s="266"/>
      <c r="D139" s="266"/>
      <c r="E139" s="266"/>
      <c r="F139" s="266"/>
      <c r="G139" s="266"/>
      <c r="H139" s="265"/>
    </row>
    <row r="140" spans="1:8" ht="15.75">
      <c r="A140" s="257"/>
      <c r="B140" s="262"/>
      <c r="C140" s="262"/>
      <c r="D140" s="262"/>
      <c r="E140" s="262"/>
      <c r="F140" s="262"/>
      <c r="G140" s="262"/>
      <c r="H140" s="261"/>
    </row>
    <row r="141" spans="1:8" ht="15.75">
      <c r="A141" s="257"/>
      <c r="B141" s="257"/>
      <c r="C141" s="257"/>
      <c r="D141" s="257"/>
      <c r="E141" s="257"/>
      <c r="F141" s="257"/>
      <c r="G141" s="257"/>
      <c r="H141" s="257"/>
    </row>
    <row r="142" spans="1:8" ht="15.75">
      <c r="A142" s="257"/>
      <c r="B142" s="257"/>
      <c r="C142" s="257"/>
      <c r="D142" s="257"/>
      <c r="E142" s="257"/>
      <c r="F142" s="257"/>
      <c r="G142" s="257"/>
      <c r="H142" s="257"/>
    </row>
    <row r="143" spans="1:8" ht="15.75">
      <c r="A143" s="257"/>
      <c r="B143" s="257"/>
      <c r="C143" s="257"/>
      <c r="D143" s="257"/>
      <c r="E143" s="257"/>
      <c r="F143" s="257"/>
      <c r="G143" s="257"/>
      <c r="H143" s="257"/>
    </row>
    <row r="144" spans="1:8" ht="15.75">
      <c r="A144" s="257"/>
      <c r="B144" s="257"/>
      <c r="C144" s="257"/>
      <c r="D144" s="257"/>
      <c r="E144" s="257"/>
      <c r="F144" s="257"/>
      <c r="G144" s="257"/>
      <c r="H144" s="257"/>
    </row>
    <row r="145" spans="1:8" ht="15.75">
      <c r="A145" s="258"/>
      <c r="B145" s="258"/>
      <c r="C145" s="258"/>
      <c r="D145" s="258"/>
      <c r="E145" s="258"/>
      <c r="F145" s="258"/>
      <c r="G145" s="258"/>
      <c r="H145" s="257"/>
    </row>
    <row r="146" spans="1:8" ht="15.75">
      <c r="A146" s="260"/>
      <c r="B146" s="260"/>
      <c r="C146" s="260"/>
      <c r="D146" s="260"/>
      <c r="E146" s="260"/>
      <c r="F146" s="260"/>
      <c r="G146" s="260"/>
      <c r="H146" s="260"/>
    </row>
    <row r="147" spans="1:8" ht="15.75">
      <c r="A147" s="257"/>
      <c r="B147" s="257"/>
      <c r="C147" s="257"/>
      <c r="D147" s="257"/>
      <c r="E147" s="257"/>
      <c r="F147" s="257"/>
      <c r="G147" s="257"/>
      <c r="H147" s="262"/>
    </row>
    <row r="148" spans="1:8" ht="15.75">
      <c r="A148" s="257"/>
      <c r="B148" s="257"/>
      <c r="C148" s="257"/>
      <c r="D148" s="257"/>
      <c r="E148" s="257"/>
      <c r="F148" s="257"/>
      <c r="G148" s="257"/>
      <c r="H148" s="257"/>
    </row>
    <row r="149" spans="1:8" ht="15.75">
      <c r="A149" s="257"/>
      <c r="B149" s="257"/>
      <c r="C149" s="257"/>
      <c r="D149" s="257"/>
      <c r="E149" s="257"/>
      <c r="F149" s="257"/>
      <c r="G149" s="257"/>
      <c r="H149" s="257"/>
    </row>
    <row r="150" spans="1:8" ht="15.75">
      <c r="A150" s="257"/>
      <c r="B150" s="257"/>
      <c r="C150" s="257"/>
      <c r="D150" s="257"/>
      <c r="E150" s="257"/>
      <c r="F150" s="257"/>
      <c r="G150" s="257"/>
      <c r="H150" s="257"/>
    </row>
    <row r="151" spans="1:8" ht="15.75">
      <c r="A151" s="257"/>
      <c r="B151" s="257"/>
      <c r="C151" s="257"/>
      <c r="D151" s="257"/>
      <c r="E151" s="257"/>
      <c r="F151" s="257"/>
      <c r="G151" s="257"/>
      <c r="H151" s="257"/>
    </row>
    <row r="152" spans="1:8" ht="15.75">
      <c r="A152" s="257"/>
      <c r="B152" s="257"/>
      <c r="C152" s="257"/>
      <c r="D152" s="257"/>
      <c r="E152" s="257"/>
      <c r="F152" s="257"/>
      <c r="G152" s="257"/>
      <c r="H152" s="257"/>
    </row>
    <row r="153" spans="1:8" ht="15.75">
      <c r="A153" s="257"/>
      <c r="B153" s="257"/>
      <c r="C153" s="257"/>
      <c r="D153" s="257"/>
      <c r="E153" s="257"/>
      <c r="F153" s="257"/>
      <c r="G153" s="257"/>
      <c r="H153" s="257"/>
    </row>
    <row r="154" spans="1:8" ht="15.75">
      <c r="A154" s="257"/>
      <c r="B154" s="257"/>
      <c r="C154" s="257"/>
      <c r="D154" s="257"/>
      <c r="E154" s="257"/>
      <c r="F154" s="257"/>
      <c r="G154" s="257"/>
      <c r="H154" s="257"/>
    </row>
    <row r="155" spans="1:8" ht="15.75">
      <c r="A155" s="724"/>
      <c r="B155" s="724"/>
      <c r="C155" s="724"/>
      <c r="D155" s="724"/>
      <c r="E155" s="724"/>
      <c r="F155" s="724"/>
      <c r="G155" s="724"/>
      <c r="H155" s="724"/>
    </row>
    <row r="156" spans="1:8" ht="15.75">
      <c r="A156" s="257"/>
      <c r="B156" s="257"/>
      <c r="C156" s="257"/>
      <c r="D156" s="257"/>
      <c r="E156" s="257"/>
      <c r="F156" s="257"/>
      <c r="G156" s="257"/>
      <c r="H156" s="257"/>
    </row>
    <row r="157" spans="1:8" ht="15.75">
      <c r="A157" s="257"/>
      <c r="B157" s="257"/>
      <c r="C157" s="257"/>
      <c r="D157" s="257"/>
      <c r="E157" s="257"/>
      <c r="F157" s="257"/>
      <c r="G157" s="257"/>
      <c r="H157" s="257"/>
    </row>
    <row r="158" spans="1:8" ht="15.75">
      <c r="A158" s="257"/>
      <c r="B158" s="257"/>
      <c r="C158" s="257"/>
      <c r="D158" s="257"/>
      <c r="E158" s="257"/>
      <c r="F158" s="257"/>
      <c r="G158" s="257"/>
      <c r="H158" s="258"/>
    </row>
    <row r="159" spans="1:8" ht="15.75">
      <c r="A159" s="257"/>
      <c r="B159" s="257"/>
      <c r="C159" s="257"/>
      <c r="D159" s="257"/>
      <c r="E159" s="257"/>
      <c r="F159" s="257"/>
      <c r="G159" s="257"/>
      <c r="H159" s="257"/>
    </row>
    <row r="160" spans="1:8" ht="15.75">
      <c r="A160" s="257"/>
      <c r="B160" s="257"/>
      <c r="C160" s="257"/>
      <c r="D160" s="257"/>
      <c r="E160" s="257"/>
      <c r="F160" s="257"/>
      <c r="G160" s="257"/>
      <c r="H160" s="257"/>
    </row>
    <row r="161" spans="1:8" ht="15.75">
      <c r="A161" s="257"/>
      <c r="B161" s="257"/>
      <c r="C161" s="257"/>
      <c r="D161" s="257"/>
      <c r="E161" s="257"/>
      <c r="F161" s="257"/>
      <c r="G161" s="257"/>
      <c r="H161" s="257"/>
    </row>
    <row r="162" spans="1:8" ht="15.75">
      <c r="A162" s="258"/>
      <c r="B162" s="258"/>
      <c r="C162" s="258"/>
      <c r="D162" s="258"/>
      <c r="E162" s="258"/>
      <c r="F162" s="258"/>
      <c r="G162" s="258"/>
      <c r="H162" s="259"/>
    </row>
    <row r="163" spans="1:8" ht="15.75">
      <c r="A163" s="260"/>
      <c r="B163" s="260"/>
      <c r="C163" s="260"/>
      <c r="D163" s="260"/>
      <c r="E163" s="260"/>
      <c r="F163" s="260"/>
      <c r="G163" s="260"/>
      <c r="H163" s="260"/>
    </row>
    <row r="164" spans="1:8" ht="15.75">
      <c r="A164" s="260"/>
      <c r="B164" s="260"/>
      <c r="C164" s="260"/>
      <c r="D164" s="260"/>
      <c r="E164" s="260"/>
      <c r="F164" s="260"/>
      <c r="G164" s="260"/>
      <c r="H164" s="261"/>
    </row>
    <row r="165" spans="1:8" ht="15.75">
      <c r="A165" s="257"/>
      <c r="B165" s="257"/>
      <c r="C165" s="257"/>
      <c r="D165" s="257"/>
      <c r="E165" s="257"/>
      <c r="F165" s="257"/>
      <c r="G165" s="257"/>
      <c r="H165" s="262"/>
    </row>
    <row r="166" spans="1:8" ht="15.75">
      <c r="A166" s="257"/>
      <c r="B166" s="257"/>
      <c r="C166" s="257"/>
      <c r="D166" s="257"/>
      <c r="E166" s="257"/>
      <c r="F166" s="257"/>
      <c r="G166" s="257"/>
      <c r="H166" s="257"/>
    </row>
    <row r="167" spans="1:8" ht="15.75">
      <c r="A167" s="257"/>
      <c r="B167" s="257"/>
      <c r="C167" s="257"/>
      <c r="D167" s="257"/>
      <c r="E167" s="257"/>
      <c r="F167" s="257"/>
      <c r="G167" s="257"/>
      <c r="H167" s="257"/>
    </row>
    <row r="168" spans="1:8" ht="15.75">
      <c r="A168" s="258"/>
      <c r="B168" s="258"/>
      <c r="C168" s="258"/>
      <c r="D168" s="258"/>
      <c r="E168" s="258"/>
      <c r="F168" s="258"/>
      <c r="G168" s="258"/>
      <c r="H168" s="257"/>
    </row>
    <row r="169" spans="1:8" ht="15.75">
      <c r="A169" s="260"/>
      <c r="B169" s="260"/>
      <c r="C169" s="260"/>
      <c r="D169" s="260"/>
      <c r="E169" s="260"/>
      <c r="F169" s="260"/>
      <c r="G169" s="260"/>
      <c r="H169" s="260"/>
    </row>
    <row r="170" spans="1:8" ht="15.75">
      <c r="A170" s="257"/>
      <c r="B170" s="257"/>
      <c r="C170" s="257"/>
      <c r="D170" s="257"/>
      <c r="E170" s="257"/>
      <c r="F170" s="257"/>
      <c r="G170" s="257"/>
      <c r="H170" s="263"/>
    </row>
    <row r="171" spans="1:8" ht="15.75">
      <c r="A171" s="257"/>
      <c r="B171" s="257"/>
      <c r="C171" s="257"/>
      <c r="D171" s="257"/>
      <c r="E171" s="257"/>
      <c r="F171" s="257"/>
      <c r="G171" s="257"/>
      <c r="H171" s="261"/>
    </row>
    <row r="172" spans="1:8" ht="15.75">
      <c r="A172" s="257"/>
      <c r="B172" s="257"/>
      <c r="C172" s="257"/>
      <c r="D172" s="257"/>
      <c r="E172" s="257"/>
      <c r="F172" s="257"/>
      <c r="G172" s="257"/>
      <c r="H172" s="261"/>
    </row>
    <row r="173" spans="1:8" ht="15.75">
      <c r="A173" s="257"/>
      <c r="B173" s="257"/>
      <c r="C173" s="257"/>
      <c r="D173" s="257"/>
      <c r="E173" s="257"/>
      <c r="F173" s="257"/>
      <c r="G173" s="257"/>
      <c r="H173" s="261"/>
    </row>
    <row r="174" spans="1:8" ht="15.75">
      <c r="A174" s="257"/>
      <c r="B174" s="257"/>
      <c r="C174" s="257"/>
      <c r="D174" s="257"/>
      <c r="E174" s="257"/>
      <c r="F174" s="257"/>
      <c r="G174" s="257"/>
      <c r="H174" s="261"/>
    </row>
    <row r="175" spans="1:8" ht="15.75">
      <c r="A175" s="257"/>
      <c r="B175" s="257"/>
      <c r="C175" s="257"/>
      <c r="D175" s="257"/>
      <c r="E175" s="257"/>
      <c r="F175" s="257"/>
      <c r="G175" s="257"/>
      <c r="H175" s="257"/>
    </row>
    <row r="176" spans="1:8" ht="15.75">
      <c r="A176" s="257"/>
      <c r="B176" s="257"/>
      <c r="C176" s="257"/>
      <c r="D176" s="257"/>
      <c r="E176" s="257"/>
      <c r="F176" s="257"/>
      <c r="G176" s="257"/>
      <c r="H176" s="257"/>
    </row>
    <row r="177" spans="1:8" ht="15.75">
      <c r="A177" s="258"/>
      <c r="B177" s="258"/>
      <c r="C177" s="258"/>
      <c r="D177" s="258"/>
      <c r="E177" s="258"/>
      <c r="F177" s="258"/>
      <c r="G177" s="258"/>
      <c r="H177" s="257"/>
    </row>
    <row r="178" spans="1:8" ht="15.75">
      <c r="A178" s="260"/>
      <c r="B178" s="260"/>
      <c r="C178" s="260"/>
      <c r="D178" s="260"/>
      <c r="E178" s="260"/>
      <c r="F178" s="260"/>
      <c r="G178" s="260"/>
      <c r="H178" s="260"/>
    </row>
    <row r="179" spans="1:8" ht="15.75">
      <c r="A179" s="257"/>
      <c r="B179" s="257"/>
      <c r="C179" s="257"/>
      <c r="D179" s="257"/>
      <c r="E179" s="257"/>
      <c r="F179" s="257"/>
      <c r="G179" s="257"/>
      <c r="H179" s="262"/>
    </row>
    <row r="180" spans="1:8" ht="15.75">
      <c r="A180" s="257"/>
      <c r="B180" s="257"/>
      <c r="C180" s="257"/>
      <c r="D180" s="257"/>
      <c r="E180" s="257"/>
      <c r="F180" s="257"/>
      <c r="G180" s="257"/>
      <c r="H180" s="262"/>
    </row>
    <row r="181" spans="1:8" ht="15.75">
      <c r="A181" s="257"/>
      <c r="B181" s="257"/>
      <c r="C181" s="257"/>
      <c r="D181" s="257"/>
      <c r="E181" s="257"/>
      <c r="F181" s="257"/>
      <c r="G181" s="257"/>
      <c r="H181" s="262"/>
    </row>
    <row r="182" spans="1:8" ht="15.75">
      <c r="A182" s="257"/>
      <c r="B182" s="257"/>
      <c r="C182" s="257"/>
      <c r="D182" s="257"/>
      <c r="E182" s="257"/>
      <c r="F182" s="257"/>
      <c r="G182" s="257"/>
      <c r="H182" s="257"/>
    </row>
    <row r="183" spans="1:8" ht="15.75">
      <c r="A183" s="257"/>
      <c r="B183" s="257"/>
      <c r="C183" s="257"/>
      <c r="D183" s="257"/>
      <c r="E183" s="257"/>
      <c r="F183" s="257"/>
      <c r="G183" s="257"/>
      <c r="H183" s="257"/>
    </row>
    <row r="184" spans="1:8" ht="15.75">
      <c r="A184" s="257"/>
      <c r="B184" s="257"/>
      <c r="C184" s="257"/>
      <c r="D184" s="257"/>
      <c r="E184" s="257"/>
      <c r="F184" s="257"/>
      <c r="G184" s="257"/>
      <c r="H184" s="257"/>
    </row>
    <row r="185" spans="1:8" ht="15.75">
      <c r="A185" s="258"/>
      <c r="B185" s="258"/>
      <c r="C185" s="258"/>
      <c r="D185" s="258"/>
      <c r="E185" s="258"/>
      <c r="F185" s="258"/>
      <c r="G185" s="258"/>
      <c r="H185" s="257"/>
    </row>
    <row r="186" spans="1:8" ht="15.75">
      <c r="A186" s="260"/>
      <c r="B186" s="260"/>
      <c r="C186" s="260"/>
      <c r="D186" s="260"/>
      <c r="E186" s="260"/>
      <c r="F186" s="260"/>
      <c r="G186" s="260"/>
      <c r="H186" s="260"/>
    </row>
    <row r="187" spans="1:8" ht="15.75">
      <c r="A187" s="257"/>
      <c r="B187" s="262"/>
      <c r="C187" s="262"/>
      <c r="D187" s="262"/>
      <c r="E187" s="262"/>
      <c r="F187" s="262"/>
      <c r="G187" s="262"/>
      <c r="H187" s="265"/>
    </row>
    <row r="188" spans="1:8" ht="15.75">
      <c r="A188" s="257"/>
      <c r="B188" s="262"/>
      <c r="C188" s="262"/>
      <c r="D188" s="262"/>
      <c r="E188" s="262"/>
      <c r="F188" s="262"/>
      <c r="G188" s="262"/>
      <c r="H188" s="265"/>
    </row>
    <row r="189" spans="1:8" ht="15.75">
      <c r="A189" s="257"/>
      <c r="B189" s="257"/>
      <c r="C189" s="257"/>
      <c r="D189" s="257"/>
      <c r="E189" s="257"/>
      <c r="F189" s="257"/>
      <c r="G189" s="257"/>
      <c r="H189" s="257"/>
    </row>
    <row r="190" spans="1:8" ht="15.75">
      <c r="A190" s="257"/>
      <c r="B190" s="257"/>
      <c r="C190" s="257"/>
      <c r="D190" s="257"/>
      <c r="E190" s="257"/>
      <c r="F190" s="257"/>
      <c r="G190" s="257"/>
      <c r="H190" s="257"/>
    </row>
    <row r="191" spans="1:8" ht="15.75">
      <c r="A191" s="257"/>
      <c r="B191" s="257"/>
      <c r="C191" s="257"/>
      <c r="D191" s="257"/>
      <c r="E191" s="257"/>
      <c r="F191" s="257"/>
      <c r="G191" s="257"/>
      <c r="H191" s="257"/>
    </row>
    <row r="192" spans="1:8" ht="15.75">
      <c r="A192" s="257"/>
      <c r="B192" s="257"/>
      <c r="C192" s="257"/>
      <c r="D192" s="257"/>
      <c r="E192" s="257"/>
      <c r="F192" s="257"/>
      <c r="G192" s="257"/>
      <c r="H192" s="257"/>
    </row>
    <row r="193" spans="1:8" ht="15.75">
      <c r="A193" s="258"/>
      <c r="B193" s="258"/>
      <c r="C193" s="258"/>
      <c r="D193" s="258"/>
      <c r="E193" s="258"/>
      <c r="F193" s="258"/>
      <c r="G193" s="258"/>
      <c r="H193" s="257"/>
    </row>
    <row r="194" spans="1:8" ht="15.75">
      <c r="A194" s="260"/>
      <c r="B194" s="260"/>
      <c r="C194" s="260"/>
      <c r="D194" s="260"/>
      <c r="E194" s="260"/>
      <c r="F194" s="260"/>
      <c r="G194" s="260"/>
      <c r="H194" s="260"/>
    </row>
    <row r="195" spans="1:8" ht="15.75">
      <c r="A195" s="257"/>
      <c r="B195" s="257"/>
      <c r="C195" s="257"/>
      <c r="D195" s="257"/>
      <c r="E195" s="257"/>
      <c r="F195" s="257"/>
      <c r="G195" s="257"/>
      <c r="H195" s="262"/>
    </row>
    <row r="196" spans="1:8" ht="15.75">
      <c r="A196" s="257"/>
      <c r="B196" s="257"/>
      <c r="C196" s="257"/>
      <c r="D196" s="257"/>
      <c r="E196" s="257"/>
      <c r="F196" s="257"/>
      <c r="G196" s="257"/>
      <c r="H196" s="257"/>
    </row>
    <row r="197" spans="1:8" ht="15.75">
      <c r="A197" s="257"/>
      <c r="B197" s="257"/>
      <c r="C197" s="257"/>
      <c r="D197" s="257"/>
      <c r="E197" s="257"/>
      <c r="F197" s="257"/>
      <c r="G197" s="257"/>
      <c r="H197" s="257"/>
    </row>
    <row r="198" spans="1:8" ht="15.75">
      <c r="A198" s="257"/>
      <c r="B198" s="257"/>
      <c r="C198" s="257"/>
      <c r="D198" s="257"/>
      <c r="E198" s="257"/>
      <c r="F198" s="257"/>
      <c r="G198" s="257"/>
      <c r="H198" s="257"/>
    </row>
    <row r="199" spans="1:8" ht="15.75">
      <c r="A199" s="257"/>
      <c r="B199" s="257"/>
      <c r="C199" s="257"/>
      <c r="D199" s="257"/>
      <c r="E199" s="257"/>
      <c r="F199" s="257"/>
      <c r="G199" s="257"/>
      <c r="H199" s="257"/>
    </row>
    <row r="200" spans="1:8" ht="15.75">
      <c r="A200" s="257"/>
      <c r="B200" s="257"/>
      <c r="C200" s="257"/>
      <c r="D200" s="257"/>
      <c r="E200" s="257"/>
      <c r="F200" s="257"/>
      <c r="G200" s="257"/>
      <c r="H200" s="257"/>
    </row>
    <row r="201" spans="1:8" ht="15.75">
      <c r="A201" s="257"/>
      <c r="B201" s="257"/>
      <c r="C201" s="257"/>
      <c r="D201" s="257"/>
      <c r="E201" s="257"/>
      <c r="F201" s="257"/>
      <c r="G201" s="257"/>
      <c r="H201" s="257"/>
    </row>
    <row r="202" spans="1:8" ht="15.75">
      <c r="A202" s="257"/>
      <c r="B202" s="257"/>
      <c r="C202" s="257"/>
      <c r="D202" s="257"/>
      <c r="E202" s="257"/>
      <c r="F202" s="257"/>
      <c r="G202" s="257"/>
      <c r="H202" s="257"/>
    </row>
    <row r="203" spans="1:8" ht="15.75">
      <c r="A203" s="257"/>
      <c r="B203" s="257"/>
      <c r="C203" s="257"/>
      <c r="D203" s="257"/>
      <c r="E203" s="257"/>
      <c r="F203" s="257"/>
      <c r="G203" s="257"/>
      <c r="H203" s="257"/>
    </row>
    <row r="204" spans="1:8" ht="15.75">
      <c r="A204" s="257"/>
      <c r="B204" s="257"/>
      <c r="C204" s="257"/>
      <c r="D204" s="257"/>
      <c r="E204" s="257"/>
      <c r="F204" s="257"/>
      <c r="G204" s="257"/>
      <c r="H204" s="257"/>
    </row>
    <row r="205" spans="1:8" ht="15.75">
      <c r="A205" s="257"/>
      <c r="B205" s="257"/>
      <c r="C205" s="257"/>
      <c r="D205" s="257"/>
      <c r="E205" s="257"/>
      <c r="F205" s="257"/>
      <c r="G205" s="257"/>
      <c r="H205" s="257"/>
    </row>
    <row r="206" spans="1:8" ht="15.75">
      <c r="A206" s="257"/>
      <c r="B206" s="257"/>
      <c r="C206" s="257"/>
      <c r="D206" s="257"/>
      <c r="E206" s="257"/>
      <c r="F206" s="257"/>
      <c r="G206" s="257"/>
      <c r="H206" s="257"/>
    </row>
    <row r="207" spans="1:8" ht="15.75">
      <c r="A207" s="257"/>
      <c r="B207" s="257"/>
      <c r="C207" s="257"/>
      <c r="D207" s="257"/>
      <c r="E207" s="257"/>
      <c r="F207" s="257"/>
      <c r="G207" s="257"/>
      <c r="H207" s="257"/>
    </row>
    <row r="208" spans="1:8" ht="15.75">
      <c r="A208" s="257"/>
      <c r="B208" s="257"/>
      <c r="C208" s="257"/>
      <c r="D208" s="257"/>
      <c r="E208" s="257"/>
      <c r="F208" s="257"/>
      <c r="G208" s="257"/>
      <c r="H208" s="257"/>
    </row>
    <row r="209" spans="1:8" ht="15.75">
      <c r="A209" s="257"/>
      <c r="B209" s="257"/>
      <c r="C209" s="257"/>
      <c r="D209" s="257"/>
      <c r="E209" s="257"/>
      <c r="F209" s="257"/>
      <c r="G209" s="257"/>
      <c r="H209" s="257"/>
    </row>
    <row r="210" spans="1:8" ht="15.75">
      <c r="A210" s="257"/>
      <c r="B210" s="257"/>
      <c r="C210" s="257"/>
      <c r="D210" s="257"/>
      <c r="E210" s="257"/>
      <c r="F210" s="257"/>
      <c r="G210" s="257"/>
      <c r="H210" s="257"/>
    </row>
    <row r="211" spans="1:8" ht="15.75">
      <c r="A211" s="257"/>
      <c r="B211" s="257"/>
      <c r="C211" s="257"/>
      <c r="D211" s="257"/>
      <c r="E211" s="257"/>
      <c r="F211" s="257"/>
      <c r="G211" s="257"/>
      <c r="H211" s="257"/>
    </row>
    <row r="212" spans="1:8" ht="15.75">
      <c r="A212" s="257"/>
      <c r="B212" s="257"/>
      <c r="C212" s="257"/>
      <c r="D212" s="257"/>
      <c r="E212" s="257"/>
      <c r="F212" s="257"/>
      <c r="G212" s="257"/>
      <c r="H212" s="257"/>
    </row>
    <row r="213" spans="1:8" ht="15.75">
      <c r="A213" s="257"/>
      <c r="B213" s="257"/>
      <c r="C213" s="257"/>
      <c r="D213" s="257"/>
      <c r="E213" s="257"/>
      <c r="F213" s="257"/>
      <c r="G213" s="257"/>
      <c r="H213" s="257"/>
    </row>
    <row r="214" spans="1:8" ht="15.75">
      <c r="A214" s="257"/>
      <c r="B214" s="257"/>
      <c r="C214" s="257"/>
      <c r="D214" s="257"/>
      <c r="E214" s="257"/>
      <c r="F214" s="257"/>
      <c r="G214" s="257"/>
      <c r="H214" s="257"/>
    </row>
    <row r="215" spans="1:8" ht="15.75">
      <c r="A215" s="257"/>
      <c r="B215" s="257"/>
      <c r="C215" s="257"/>
      <c r="D215" s="257"/>
      <c r="E215" s="257"/>
      <c r="F215" s="257"/>
      <c r="G215" s="257"/>
      <c r="H215" s="257"/>
    </row>
    <row r="216" spans="1:8" ht="15.75">
      <c r="A216" s="257"/>
      <c r="B216" s="257"/>
      <c r="C216" s="257"/>
      <c r="D216" s="257"/>
      <c r="E216" s="257"/>
      <c r="F216" s="257"/>
      <c r="G216" s="257"/>
      <c r="H216" s="257"/>
    </row>
    <row r="217" spans="1:8" ht="15.75">
      <c r="A217" s="257"/>
      <c r="B217" s="257"/>
      <c r="C217" s="257"/>
      <c r="D217" s="257"/>
      <c r="E217" s="257"/>
      <c r="F217" s="257"/>
      <c r="G217" s="257"/>
      <c r="H217" s="257"/>
    </row>
    <row r="218" spans="1:8" ht="15.75">
      <c r="A218" s="257"/>
      <c r="B218" s="257"/>
      <c r="C218" s="257"/>
      <c r="D218" s="257"/>
      <c r="E218" s="257"/>
      <c r="F218" s="257"/>
      <c r="G218" s="257"/>
      <c r="H218" s="257"/>
    </row>
    <row r="219" spans="1:8" ht="15.75">
      <c r="A219" s="257"/>
      <c r="B219" s="257"/>
      <c r="C219" s="257"/>
      <c r="D219" s="257"/>
      <c r="E219" s="257"/>
      <c r="F219" s="257"/>
      <c r="G219" s="257"/>
      <c r="H219" s="257"/>
    </row>
    <row r="220" spans="1:8" ht="15.75">
      <c r="A220" s="257"/>
      <c r="B220" s="257"/>
      <c r="C220" s="257"/>
      <c r="D220" s="257"/>
      <c r="E220" s="257"/>
      <c r="F220" s="257"/>
      <c r="G220" s="257"/>
      <c r="H220" s="257"/>
    </row>
    <row r="221" spans="1:8" ht="15.75">
      <c r="A221" s="257"/>
      <c r="B221" s="257"/>
      <c r="C221" s="257"/>
      <c r="D221" s="257"/>
      <c r="E221" s="257"/>
      <c r="F221" s="257"/>
      <c r="G221" s="257"/>
      <c r="H221" s="257"/>
    </row>
    <row r="222" spans="1:8" ht="15.75">
      <c r="A222" s="257"/>
      <c r="B222" s="257"/>
      <c r="C222" s="257"/>
      <c r="D222" s="257"/>
      <c r="E222" s="257"/>
      <c r="F222" s="257"/>
      <c r="G222" s="257"/>
      <c r="H222" s="257"/>
    </row>
    <row r="223" spans="1:8" ht="15.75">
      <c r="A223" s="257"/>
      <c r="B223" s="257"/>
      <c r="C223" s="257"/>
      <c r="D223" s="257"/>
      <c r="E223" s="257"/>
      <c r="F223" s="257"/>
      <c r="G223" s="257"/>
      <c r="H223" s="257"/>
    </row>
    <row r="224" spans="1:8" ht="15.75">
      <c r="A224" s="257"/>
      <c r="B224" s="257"/>
      <c r="C224" s="257"/>
      <c r="D224" s="257"/>
      <c r="E224" s="257"/>
      <c r="F224" s="257"/>
      <c r="G224" s="257"/>
      <c r="H224" s="257"/>
    </row>
    <row r="225" spans="1:8" ht="15.75">
      <c r="A225" s="257"/>
      <c r="B225" s="257"/>
      <c r="C225" s="257"/>
      <c r="D225" s="257"/>
      <c r="E225" s="257"/>
      <c r="F225" s="257"/>
      <c r="G225" s="257"/>
      <c r="H225" s="257"/>
    </row>
    <row r="226" spans="1:8" ht="15.75">
      <c r="A226" s="257"/>
      <c r="B226" s="257"/>
      <c r="C226" s="257"/>
      <c r="D226" s="257"/>
      <c r="E226" s="257"/>
      <c r="F226" s="257"/>
      <c r="G226" s="257"/>
      <c r="H226" s="257"/>
    </row>
    <row r="227" spans="1:8" ht="15.75">
      <c r="A227" s="257"/>
      <c r="B227" s="257"/>
      <c r="C227" s="257"/>
      <c r="D227" s="257"/>
      <c r="E227" s="257"/>
      <c r="F227" s="257"/>
      <c r="G227" s="257"/>
      <c r="H227" s="257"/>
    </row>
    <row r="228" spans="1:8" ht="15.75">
      <c r="A228" s="257"/>
      <c r="B228" s="257"/>
      <c r="C228" s="257"/>
      <c r="D228" s="257"/>
      <c r="E228" s="257"/>
      <c r="F228" s="257"/>
      <c r="G228" s="257"/>
      <c r="H228" s="257"/>
    </row>
    <row r="229" spans="1:8" ht="15.75">
      <c r="A229" s="257"/>
      <c r="B229" s="257"/>
      <c r="C229" s="257"/>
      <c r="D229" s="257"/>
      <c r="E229" s="257"/>
      <c r="F229" s="257"/>
      <c r="G229" s="257"/>
      <c r="H229" s="257"/>
    </row>
    <row r="230" spans="1:8" ht="15.75">
      <c r="A230" s="257"/>
      <c r="B230" s="257"/>
      <c r="C230" s="257"/>
      <c r="D230" s="257"/>
      <c r="E230" s="257"/>
      <c r="F230" s="257"/>
      <c r="G230" s="257"/>
      <c r="H230" s="257"/>
    </row>
    <row r="231" spans="1:8" ht="15.75">
      <c r="A231" s="257"/>
      <c r="B231" s="257"/>
      <c r="C231" s="257"/>
      <c r="D231" s="257"/>
      <c r="E231" s="257"/>
      <c r="F231" s="257"/>
      <c r="G231" s="257"/>
      <c r="H231" s="257"/>
    </row>
  </sheetData>
  <mergeCells count="9">
    <mergeCell ref="F63:G63"/>
    <mergeCell ref="A108:H108"/>
    <mergeCell ref="A155:H155"/>
    <mergeCell ref="A1:H1"/>
    <mergeCell ref="A2:H2"/>
    <mergeCell ref="C4:G4"/>
    <mergeCell ref="C5:G5"/>
    <mergeCell ref="A6:H7"/>
    <mergeCell ref="F62:G62"/>
  </mergeCells>
  <printOptions horizontalCentered="1"/>
  <pageMargins left="0.70866141732283472" right="0.70866141732283472" top="0.74803149606299213" bottom="0.74803149606299213" header="0.31496062992125984" footer="0.31496062992125984"/>
  <pageSetup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</sheetPr>
  <dimension ref="A1:I30"/>
  <sheetViews>
    <sheetView view="pageBreakPreview" topLeftCell="A7" zoomScale="91" zoomScaleSheetLayoutView="91" workbookViewId="0">
      <selection activeCell="B31" sqref="B31"/>
    </sheetView>
  </sheetViews>
  <sheetFormatPr baseColWidth="10" defaultColWidth="11.42578125" defaultRowHeight="12.75"/>
  <cols>
    <col min="1" max="1" width="2.7109375" style="359" customWidth="1"/>
    <col min="2" max="2" width="48.7109375" style="358" customWidth="1"/>
    <col min="3" max="3" width="18" style="358" customWidth="1"/>
    <col min="4" max="4" width="17.42578125" style="359" customWidth="1"/>
    <col min="5" max="5" width="11.42578125" style="359" customWidth="1"/>
    <col min="6" max="6" width="21.7109375" style="359" customWidth="1"/>
    <col min="7" max="7" width="18.7109375" style="359" customWidth="1"/>
    <col min="8" max="8" width="16.28515625" style="359" customWidth="1"/>
    <col min="9" max="9" width="12.42578125" style="359" customWidth="1"/>
    <col min="10" max="10" width="15.42578125" style="359" customWidth="1"/>
    <col min="11" max="18" width="12.42578125" style="359" customWidth="1"/>
    <col min="19" max="16384" width="11.42578125" style="359"/>
  </cols>
  <sheetData>
    <row r="1" spans="1:9" s="198" customFormat="1" ht="83.25" customHeight="1">
      <c r="A1" s="371"/>
      <c r="B1" s="775" t="s">
        <v>392</v>
      </c>
      <c r="C1" s="775"/>
      <c r="D1" s="775"/>
      <c r="E1" s="775"/>
      <c r="F1" s="776"/>
      <c r="G1" s="367"/>
      <c r="H1" s="368"/>
      <c r="I1" s="368"/>
    </row>
    <row r="2" spans="1:9" s="198" customFormat="1" ht="45.75" customHeight="1">
      <c r="A2" s="372"/>
      <c r="B2" s="777" t="s">
        <v>393</v>
      </c>
      <c r="C2" s="778"/>
      <c r="D2" s="778"/>
      <c r="E2" s="778"/>
      <c r="F2" s="779"/>
      <c r="G2" s="369"/>
      <c r="H2" s="370"/>
      <c r="I2" s="370"/>
    </row>
    <row r="4" spans="1:9" ht="12.75" customHeight="1">
      <c r="I4" s="360"/>
    </row>
    <row r="5" spans="1:9" ht="20.25">
      <c r="B5" s="781" t="s">
        <v>379</v>
      </c>
      <c r="C5" s="781"/>
      <c r="D5" s="781"/>
      <c r="E5" s="781"/>
      <c r="F5" s="781"/>
      <c r="G5" s="361"/>
      <c r="H5" s="361"/>
    </row>
    <row r="6" spans="1:9" ht="20.25">
      <c r="B6" s="782"/>
      <c r="C6" s="782"/>
      <c r="D6" s="782"/>
      <c r="E6" s="782"/>
      <c r="F6" s="782"/>
      <c r="G6" s="362"/>
      <c r="H6" s="362"/>
    </row>
    <row r="7" spans="1:9" ht="21" thickBot="1">
      <c r="B7" s="362"/>
      <c r="C7" s="362"/>
      <c r="D7" s="362"/>
      <c r="E7" s="362"/>
      <c r="F7" s="362"/>
      <c r="G7" s="362"/>
      <c r="H7" s="362"/>
    </row>
    <row r="8" spans="1:9" ht="21" thickBot="1">
      <c r="B8" s="373"/>
      <c r="C8" s="373"/>
      <c r="D8" s="783" t="s">
        <v>380</v>
      </c>
      <c r="E8" s="784"/>
      <c r="F8" s="374">
        <v>1</v>
      </c>
      <c r="G8" s="363"/>
      <c r="H8" s="362"/>
    </row>
    <row r="9" spans="1:9" ht="14.25">
      <c r="B9" s="375"/>
      <c r="C9" s="375"/>
      <c r="D9" s="376"/>
      <c r="E9" s="376"/>
      <c r="F9" s="376"/>
    </row>
    <row r="10" spans="1:9" ht="30">
      <c r="B10" s="386" t="s">
        <v>142</v>
      </c>
      <c r="C10" s="386" t="s">
        <v>381</v>
      </c>
      <c r="D10" s="387" t="s">
        <v>382</v>
      </c>
      <c r="E10" s="388" t="s">
        <v>383</v>
      </c>
      <c r="F10" s="389" t="s">
        <v>384</v>
      </c>
      <c r="H10" s="364"/>
    </row>
    <row r="11" spans="1:9" ht="18" customHeight="1">
      <c r="B11" s="377" t="s">
        <v>385</v>
      </c>
      <c r="C11" s="378">
        <v>3000000</v>
      </c>
      <c r="D11" s="379">
        <v>0.8</v>
      </c>
      <c r="E11" s="417">
        <v>7.0000000000000007E-2</v>
      </c>
      <c r="F11" s="380">
        <f>E11*D11*C11</f>
        <v>168000.00000000003</v>
      </c>
      <c r="G11" s="365"/>
      <c r="I11" s="366"/>
    </row>
    <row r="12" spans="1:9" ht="18" customHeight="1">
      <c r="B12" s="377" t="s">
        <v>386</v>
      </c>
      <c r="C12" s="378">
        <v>2500000</v>
      </c>
      <c r="D12" s="379">
        <v>0.7</v>
      </c>
      <c r="E12" s="417">
        <f>$E$11</f>
        <v>7.0000000000000007E-2</v>
      </c>
      <c r="F12" s="380">
        <f>E12*D12*C12</f>
        <v>122500</v>
      </c>
      <c r="I12" s="366"/>
    </row>
    <row r="13" spans="1:9" ht="18" customHeight="1">
      <c r="B13" s="377" t="s">
        <v>182</v>
      </c>
      <c r="C13" s="378">
        <v>800000</v>
      </c>
      <c r="D13" s="379">
        <v>0.7</v>
      </c>
      <c r="E13" s="417">
        <f>$E$11</f>
        <v>7.0000000000000007E-2</v>
      </c>
      <c r="F13" s="380">
        <f>E13*D13*C13</f>
        <v>39200</v>
      </c>
      <c r="I13" s="366"/>
    </row>
    <row r="14" spans="1:9" ht="18" customHeight="1">
      <c r="B14" s="785" t="s">
        <v>387</v>
      </c>
      <c r="C14" s="785"/>
      <c r="D14" s="785"/>
      <c r="E14" s="785"/>
      <c r="F14" s="381">
        <f>SUM(F11:F13)</f>
        <v>329700</v>
      </c>
    </row>
    <row r="15" spans="1:9" ht="18" customHeight="1">
      <c r="B15" s="382"/>
      <c r="C15" s="382"/>
      <c r="D15" s="382"/>
      <c r="E15" s="382"/>
      <c r="F15" s="381"/>
    </row>
    <row r="16" spans="1:9" ht="18" customHeight="1">
      <c r="B16" s="377" t="s">
        <v>388</v>
      </c>
      <c r="C16" s="378">
        <v>2000000</v>
      </c>
      <c r="D16" s="379">
        <v>0.4</v>
      </c>
      <c r="E16" s="417">
        <f>$E$11</f>
        <v>7.0000000000000007E-2</v>
      </c>
      <c r="F16" s="380">
        <f>E16*D16*C16</f>
        <v>56000.000000000007</v>
      </c>
    </row>
    <row r="17" spans="2:6" ht="18" customHeight="1">
      <c r="B17" s="377" t="s">
        <v>389</v>
      </c>
      <c r="C17" s="378">
        <v>1500000</v>
      </c>
      <c r="D17" s="379">
        <v>0.6</v>
      </c>
      <c r="E17" s="417">
        <f>$E$11</f>
        <v>7.0000000000000007E-2</v>
      </c>
      <c r="F17" s="380">
        <f t="shared" ref="F17:F19" si="0">E17*D17*C17</f>
        <v>63000.000000000007</v>
      </c>
    </row>
    <row r="18" spans="2:6" ht="18" customHeight="1">
      <c r="B18" s="377" t="s">
        <v>390</v>
      </c>
      <c r="C18" s="378">
        <v>700000</v>
      </c>
      <c r="D18" s="379">
        <v>0.3</v>
      </c>
      <c r="E18" s="417">
        <f>$E$11</f>
        <v>7.0000000000000007E-2</v>
      </c>
      <c r="F18" s="380">
        <f t="shared" si="0"/>
        <v>14700.000000000002</v>
      </c>
    </row>
    <row r="19" spans="2:6" ht="18" customHeight="1">
      <c r="B19" s="377" t="s">
        <v>327</v>
      </c>
      <c r="C19" s="378">
        <v>500000</v>
      </c>
      <c r="D19" s="379">
        <v>0.8</v>
      </c>
      <c r="E19" s="417">
        <f>$E$11</f>
        <v>7.0000000000000007E-2</v>
      </c>
      <c r="F19" s="380">
        <f t="shared" si="0"/>
        <v>28000.000000000004</v>
      </c>
    </row>
    <row r="20" spans="2:6" ht="18" customHeight="1">
      <c r="B20" s="785" t="s">
        <v>323</v>
      </c>
      <c r="C20" s="785"/>
      <c r="D20" s="785"/>
      <c r="E20" s="785"/>
      <c r="F20" s="381">
        <f>SUM(F16:F19)</f>
        <v>161700.00000000003</v>
      </c>
    </row>
    <row r="21" spans="2:6" ht="18" customHeight="1">
      <c r="B21" s="383"/>
      <c r="C21" s="383"/>
      <c r="D21" s="383"/>
      <c r="E21" s="383"/>
      <c r="F21" s="384"/>
    </row>
    <row r="22" spans="2:6" ht="18" customHeight="1">
      <c r="B22" s="786" t="s">
        <v>391</v>
      </c>
      <c r="C22" s="786"/>
      <c r="D22" s="786"/>
      <c r="E22" s="786"/>
      <c r="F22" s="385">
        <f>F20+F14</f>
        <v>491400</v>
      </c>
    </row>
    <row r="23" spans="2:6" ht="18" hidden="1" customHeight="1">
      <c r="B23" s="780" t="s">
        <v>394</v>
      </c>
      <c r="C23" s="780"/>
      <c r="D23" s="780"/>
      <c r="E23" s="780"/>
      <c r="F23" s="390"/>
    </row>
    <row r="24" spans="2:6" ht="18" hidden="1" customHeight="1">
      <c r="B24" s="780" t="s">
        <v>395</v>
      </c>
      <c r="C24" s="780"/>
      <c r="D24" s="780"/>
      <c r="E24" s="780"/>
      <c r="F24" s="390"/>
    </row>
    <row r="29" spans="2:6">
      <c r="B29" s="194" t="s">
        <v>134</v>
      </c>
      <c r="C29" s="194"/>
    </row>
    <row r="30" spans="2:6">
      <c r="B30" s="194" t="s">
        <v>131</v>
      </c>
      <c r="C30" s="194"/>
    </row>
  </sheetData>
  <mergeCells count="10">
    <mergeCell ref="B1:F1"/>
    <mergeCell ref="B2:F2"/>
    <mergeCell ref="B23:E23"/>
    <mergeCell ref="B24:E24"/>
    <mergeCell ref="B5:F5"/>
    <mergeCell ref="B6:F6"/>
    <mergeCell ref="D8:E8"/>
    <mergeCell ref="B14:E14"/>
    <mergeCell ref="B20:E20"/>
    <mergeCell ref="B22:E22"/>
  </mergeCells>
  <pageMargins left="0.7" right="0.7" top="0.75" bottom="0.75" header="0.3" footer="0.3"/>
  <pageSetup orientation="portrait" r:id="rId1"/>
  <colBreaks count="1" manualBreakCount="1">
    <brk id="6" max="1048575" man="1"/>
  </colBreaks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1110A-FA61-4B4E-AEDD-E01BCDF0CE72}">
  <sheetPr>
    <pageSetUpPr fitToPage="1"/>
  </sheetPr>
  <dimension ref="A1:I24"/>
  <sheetViews>
    <sheetView tabSelected="1" zoomScale="55" zoomScaleNormal="55" zoomScaleSheetLayoutView="50" workbookViewId="0">
      <selection activeCell="E8" sqref="E8"/>
    </sheetView>
  </sheetViews>
  <sheetFormatPr baseColWidth="10" defaultRowHeight="40.5" customHeight="1"/>
  <cols>
    <col min="1" max="1" width="9.7109375" style="636" bestFit="1" customWidth="1"/>
    <col min="2" max="2" width="125.7109375" style="636" bestFit="1" customWidth="1"/>
    <col min="3" max="3" width="15" style="637" customWidth="1"/>
    <col min="4" max="4" width="23.28515625" style="637" customWidth="1"/>
    <col min="5" max="5" width="30.7109375" style="636" customWidth="1"/>
    <col min="6" max="6" width="50" style="636" customWidth="1"/>
    <col min="7" max="7" width="11.42578125" style="636"/>
    <col min="8" max="8" width="57.5703125" style="636" customWidth="1"/>
    <col min="9" max="9" width="23.140625" style="636" customWidth="1"/>
    <col min="10" max="10" width="40.7109375" style="636" customWidth="1"/>
    <col min="11" max="15" width="11.42578125" style="636"/>
    <col min="16" max="16" width="27.140625" style="636" customWidth="1"/>
    <col min="17" max="16384" width="11.42578125" style="636"/>
  </cols>
  <sheetData>
    <row r="1" spans="1:9" ht="40.5" customHeight="1">
      <c r="A1" s="787" t="s">
        <v>555</v>
      </c>
      <c r="B1" s="788"/>
      <c r="C1" s="788"/>
      <c r="D1" s="788"/>
      <c r="E1" s="788"/>
      <c r="F1" s="789"/>
    </row>
    <row r="2" spans="1:9" ht="78" customHeight="1" thickBot="1">
      <c r="A2" s="790"/>
      <c r="B2" s="791"/>
      <c r="C2" s="791"/>
      <c r="D2" s="791"/>
      <c r="E2" s="791"/>
      <c r="F2" s="792"/>
    </row>
    <row r="3" spans="1:9" ht="40.5" customHeight="1">
      <c r="A3" s="797" t="s">
        <v>553</v>
      </c>
      <c r="B3" s="799" t="s">
        <v>132</v>
      </c>
      <c r="C3" s="799" t="s">
        <v>544</v>
      </c>
      <c r="D3" s="799"/>
      <c r="E3" s="799"/>
      <c r="F3" s="801"/>
    </row>
    <row r="4" spans="1:9" ht="40.5" customHeight="1">
      <c r="A4" s="798"/>
      <c r="B4" s="800"/>
      <c r="C4" s="646" t="s">
        <v>545</v>
      </c>
      <c r="D4" s="646" t="s">
        <v>546</v>
      </c>
      <c r="E4" s="646" t="s">
        <v>547</v>
      </c>
      <c r="F4" s="647" t="s">
        <v>548</v>
      </c>
    </row>
    <row r="5" spans="1:9" ht="15.75" customHeight="1">
      <c r="A5" s="639"/>
      <c r="B5" s="640"/>
      <c r="C5" s="640"/>
      <c r="D5" s="640"/>
      <c r="E5" s="641"/>
      <c r="F5" s="656"/>
    </row>
    <row r="6" spans="1:9" ht="65.25" customHeight="1">
      <c r="A6" s="648">
        <v>1</v>
      </c>
      <c r="B6" s="649" t="s">
        <v>550</v>
      </c>
      <c r="C6" s="645" t="s">
        <v>77</v>
      </c>
      <c r="D6" s="650">
        <f>11.3*4000</f>
        <v>45200</v>
      </c>
      <c r="E6" s="1035">
        <v>1120</v>
      </c>
      <c r="F6" s="657">
        <f>+ROUND((D6*E6),2)</f>
        <v>50624000</v>
      </c>
    </row>
    <row r="7" spans="1:9" ht="65.25" customHeight="1">
      <c r="A7" s="648">
        <v>2</v>
      </c>
      <c r="B7" s="649" t="s">
        <v>554</v>
      </c>
      <c r="C7" s="644" t="s">
        <v>0</v>
      </c>
      <c r="D7" s="651">
        <f>+D6/20</f>
        <v>2260</v>
      </c>
      <c r="E7" s="1036">
        <v>25615</v>
      </c>
      <c r="F7" s="657">
        <f>+ROUND((D7*E7),0)</f>
        <v>57889900</v>
      </c>
    </row>
    <row r="8" spans="1:9" ht="65.25" customHeight="1">
      <c r="A8" s="648">
        <v>3</v>
      </c>
      <c r="B8" s="649" t="s">
        <v>551</v>
      </c>
      <c r="C8" s="645" t="s">
        <v>549</v>
      </c>
      <c r="D8" s="651">
        <f>+D7*3</f>
        <v>6780</v>
      </c>
      <c r="E8" s="1037">
        <v>1023</v>
      </c>
      <c r="F8" s="657">
        <f>+ROUND((D8*E8),0)</f>
        <v>6935940</v>
      </c>
    </row>
    <row r="9" spans="1:9" ht="51" customHeight="1" thickBot="1">
      <c r="A9" s="652"/>
      <c r="B9" s="653"/>
      <c r="C9" s="1032" t="s">
        <v>552</v>
      </c>
      <c r="D9" s="1033"/>
      <c r="E9" s="1034"/>
      <c r="F9" s="654">
        <f>+F6+F7+F8</f>
        <v>115449840</v>
      </c>
      <c r="H9" s="1038"/>
    </row>
    <row r="10" spans="1:9" ht="28.5" customHeight="1" thickBot="1">
      <c r="A10" s="802"/>
      <c r="B10" s="795"/>
      <c r="C10" s="795"/>
      <c r="D10" s="795"/>
      <c r="E10" s="795"/>
      <c r="F10" s="803"/>
      <c r="H10" s="1040"/>
    </row>
    <row r="11" spans="1:9" ht="25.5">
      <c r="A11" s="655"/>
      <c r="B11" s="793" t="s">
        <v>588</v>
      </c>
      <c r="C11" s="793"/>
      <c r="D11" s="793"/>
      <c r="E11" s="793"/>
      <c r="F11" s="1030">
        <f>+F9*0.23</f>
        <v>26553463.200000003</v>
      </c>
    </row>
    <row r="12" spans="1:9" ht="28.5" customHeight="1">
      <c r="A12" s="655"/>
      <c r="B12" s="793" t="s">
        <v>589</v>
      </c>
      <c r="C12" s="793"/>
      <c r="D12" s="793"/>
      <c r="E12" s="793"/>
      <c r="F12" s="1030">
        <f>+F9*0.05</f>
        <v>5772492</v>
      </c>
    </row>
    <row r="13" spans="1:9" ht="28.5" customHeight="1" thickBot="1">
      <c r="A13" s="1026"/>
      <c r="B13" s="1027" t="s">
        <v>590</v>
      </c>
      <c r="C13" s="1028"/>
      <c r="D13" s="1028"/>
      <c r="E13" s="1029"/>
      <c r="F13" s="1031">
        <f>+F9*0.02</f>
        <v>2308996.8000000003</v>
      </c>
      <c r="I13" s="1038"/>
    </row>
    <row r="14" spans="1:9" s="638" customFormat="1" ht="30.75" customHeight="1" thickBot="1">
      <c r="A14" s="642"/>
      <c r="B14" s="794" t="s">
        <v>587</v>
      </c>
      <c r="C14" s="795"/>
      <c r="D14" s="795"/>
      <c r="E14" s="796"/>
      <c r="F14" s="643">
        <f>SUM(F9:F13)</f>
        <v>150084792</v>
      </c>
    </row>
    <row r="15" spans="1:9" ht="40.5" customHeight="1">
      <c r="H15" s="1041"/>
    </row>
    <row r="17" spans="6:8" ht="40.5" customHeight="1">
      <c r="F17" s="1038"/>
    </row>
    <row r="20" spans="6:8" ht="40.5" customHeight="1">
      <c r="H20" s="1041"/>
    </row>
    <row r="24" spans="6:8" ht="40.5" customHeight="1">
      <c r="F24" s="1039"/>
    </row>
  </sheetData>
  <mergeCells count="9">
    <mergeCell ref="A1:F2"/>
    <mergeCell ref="B12:E12"/>
    <mergeCell ref="B14:E14"/>
    <mergeCell ref="A3:A4"/>
    <mergeCell ref="B3:B4"/>
    <mergeCell ref="C3:F3"/>
    <mergeCell ref="B11:E11"/>
    <mergeCell ref="A10:F10"/>
    <mergeCell ref="C9:E9"/>
  </mergeCells>
  <pageMargins left="0.70866141732283472" right="0.70866141732283472" top="1.3385826771653544" bottom="0.74803149606299213" header="0.31496062992125984" footer="0.31496062992125984"/>
  <pageSetup scale="4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40DF6-86E1-4C99-BA28-1317613980CC}">
  <sheetPr>
    <tabColor rgb="FF00B050"/>
  </sheetPr>
  <dimension ref="A1:G59"/>
  <sheetViews>
    <sheetView view="pageBreakPreview" topLeftCell="A4" zoomScaleNormal="100" zoomScaleSheetLayoutView="100" workbookViewId="0">
      <selection activeCell="J26" sqref="J26"/>
    </sheetView>
  </sheetViews>
  <sheetFormatPr baseColWidth="10" defaultRowHeight="12.75"/>
  <cols>
    <col min="1" max="1" width="29.85546875" style="1043" customWidth="1"/>
    <col min="2" max="2" width="16.5703125" style="1043" customWidth="1"/>
    <col min="3" max="3" width="11.140625" style="1043" customWidth="1"/>
    <col min="4" max="4" width="15.7109375" style="1043" customWidth="1"/>
    <col min="5" max="5" width="11" style="1043" customWidth="1"/>
    <col min="6" max="6" width="12.85546875" style="1043" customWidth="1"/>
    <col min="7" max="16384" width="11.42578125" style="1043"/>
  </cols>
  <sheetData>
    <row r="1" spans="1:7" ht="59.25" customHeight="1" thickBot="1">
      <c r="A1" s="1042" t="s">
        <v>555</v>
      </c>
      <c r="B1" s="1042"/>
      <c r="C1" s="1042"/>
      <c r="D1" s="1042"/>
      <c r="E1" s="1042"/>
      <c r="F1" s="1042"/>
    </row>
    <row r="2" spans="1:7" ht="15.75">
      <c r="A2" s="1044" t="s">
        <v>556</v>
      </c>
      <c r="B2" s="1045"/>
      <c r="C2" s="1046" t="str">
        <f>'[3]HOJA MATRIZ'!C2:G3</f>
        <v>ANÁLISIS DE PRECIOS UNITARIOS</v>
      </c>
      <c r="D2" s="1047"/>
      <c r="E2" s="1047"/>
      <c r="F2" s="1048"/>
    </row>
    <row r="3" spans="1:7" s="1052" customFormat="1" ht="17.25" customHeight="1" thickBot="1">
      <c r="A3" s="1049" t="str">
        <f>+'[3]HOJA MATRIZ'!A3:B3</f>
        <v>MUNICIPIO DE SALADOBLANCO</v>
      </c>
      <c r="B3" s="1050"/>
      <c r="C3" s="1049"/>
      <c r="D3" s="1051"/>
      <c r="E3" s="1051"/>
      <c r="F3" s="1050"/>
    </row>
    <row r="4" spans="1:7" s="1052" customFormat="1" ht="11.25">
      <c r="A4" s="1053"/>
      <c r="B4" s="1054"/>
      <c r="C4" s="1054"/>
      <c r="D4" s="1054"/>
      <c r="E4" s="1054"/>
      <c r="F4" s="1055"/>
    </row>
    <row r="5" spans="1:7" s="1052" customFormat="1" ht="25.5" customHeight="1">
      <c r="A5" s="1056" t="s">
        <v>48</v>
      </c>
      <c r="B5" s="1057">
        <f>'[3]PPTO VIAS'!B5</f>
        <v>1</v>
      </c>
      <c r="C5" s="1058" t="s">
        <v>585</v>
      </c>
      <c r="D5" s="1058"/>
      <c r="E5" s="1058"/>
      <c r="F5" s="1059"/>
    </row>
    <row r="6" spans="1:7" s="1052" customFormat="1" ht="11.25">
      <c r="A6" s="1060"/>
      <c r="B6" s="1061"/>
      <c r="C6" s="1061"/>
      <c r="D6" s="1061"/>
      <c r="E6" s="1061"/>
      <c r="F6" s="1062"/>
    </row>
    <row r="7" spans="1:7" s="1052" customFormat="1">
      <c r="A7" s="1063"/>
      <c r="B7" s="1054"/>
      <c r="C7" s="1064"/>
      <c r="D7" s="1065" t="s">
        <v>558</v>
      </c>
      <c r="E7" s="1066" t="str">
        <f>'[3]PPTO VIAS'!D5</f>
        <v>M2</v>
      </c>
      <c r="F7" s="1067"/>
    </row>
    <row r="8" spans="1:7" s="1052" customFormat="1" ht="12" customHeight="1">
      <c r="A8" s="1068"/>
      <c r="B8" s="1054"/>
      <c r="C8" s="1065"/>
      <c r="D8" s="1065" t="str">
        <f>'[3]HOJA MATRIZ'!D8</f>
        <v xml:space="preserve">ITEM DE PAGO: </v>
      </c>
      <c r="E8" s="1069">
        <v>1</v>
      </c>
      <c r="F8" s="1070"/>
    </row>
    <row r="9" spans="1:7" s="1052" customFormat="1">
      <c r="A9" s="1071" t="s">
        <v>3</v>
      </c>
      <c r="B9" s="1054"/>
      <c r="C9" s="1054"/>
      <c r="D9" s="1054"/>
      <c r="E9" s="1054"/>
      <c r="F9" s="1055"/>
    </row>
    <row r="10" spans="1:7" s="1052" customFormat="1" ht="11.25">
      <c r="A10" s="1072" t="s">
        <v>4</v>
      </c>
      <c r="B10" s="1073"/>
      <c r="C10" s="1074" t="s">
        <v>5</v>
      </c>
      <c r="D10" s="1074" t="s">
        <v>6</v>
      </c>
      <c r="E10" s="1074" t="s">
        <v>7</v>
      </c>
      <c r="F10" s="1075" t="s">
        <v>8</v>
      </c>
    </row>
    <row r="11" spans="1:7" s="1052" customFormat="1" ht="11.25">
      <c r="A11" s="1076" t="str">
        <f>'[3]INSUMOS-EQUIPO'!C18</f>
        <v>MOTONIVELADORA &gt;120 HP.</v>
      </c>
      <c r="B11" s="1077"/>
      <c r="C11" s="1078"/>
      <c r="D11" s="1079">
        <v>180000</v>
      </c>
      <c r="E11" s="1080">
        <v>200</v>
      </c>
      <c r="F11" s="1081">
        <f>ROUND(D11/E11,0)</f>
        <v>900</v>
      </c>
    </row>
    <row r="12" spans="1:7" s="1052" customFormat="1" ht="23.25" customHeight="1">
      <c r="A12" s="1082" t="str">
        <f>'[3]INSUMOS-EQUIPO'!C26</f>
        <v xml:space="preserve">TANQUE CAP. 500L IRRIGADOR DE AGUA ACCIONADO CON TIRO. </v>
      </c>
      <c r="B12" s="1058"/>
      <c r="C12" s="1078"/>
      <c r="D12" s="1079">
        <v>99000</v>
      </c>
      <c r="E12" s="1080">
        <v>450</v>
      </c>
      <c r="F12" s="1081">
        <f>ROUND(D12/E12,0)</f>
        <v>220</v>
      </c>
    </row>
    <row r="13" spans="1:7" s="1052" customFormat="1" ht="12" thickBot="1">
      <c r="A13" s="1053"/>
      <c r="B13" s="1054"/>
      <c r="C13" s="1054"/>
      <c r="D13" s="1083" t="s">
        <v>9</v>
      </c>
      <c r="E13" s="1084"/>
      <c r="F13" s="1085">
        <f>SUM(F11:F12)</f>
        <v>1120</v>
      </c>
    </row>
    <row r="14" spans="1:7" s="1052" customFormat="1" ht="13.5" thickBot="1">
      <c r="A14" s="1071" t="s">
        <v>559</v>
      </c>
      <c r="B14" s="1054"/>
      <c r="C14" s="1054"/>
      <c r="D14" s="1054"/>
      <c r="E14" s="1054"/>
      <c r="F14" s="1055"/>
    </row>
    <row r="15" spans="1:7" s="1052" customFormat="1" ht="12.75" customHeight="1">
      <c r="A15" s="1086" t="s">
        <v>4</v>
      </c>
      <c r="B15" s="1087"/>
      <c r="C15" s="1088" t="s">
        <v>11</v>
      </c>
      <c r="D15" s="1088" t="s">
        <v>12</v>
      </c>
      <c r="E15" s="1088" t="s">
        <v>13</v>
      </c>
      <c r="F15" s="1089" t="s">
        <v>8</v>
      </c>
    </row>
    <row r="16" spans="1:7" s="1052" customFormat="1" ht="15" customHeight="1">
      <c r="A16" s="1076"/>
      <c r="B16" s="1077"/>
      <c r="C16" s="1074"/>
      <c r="D16" s="1079"/>
      <c r="E16" s="1074"/>
      <c r="F16" s="1090"/>
      <c r="G16" s="1091"/>
    </row>
    <row r="17" spans="1:7" s="1052" customFormat="1" ht="12.75" customHeight="1" thickBot="1">
      <c r="A17" s="1076"/>
      <c r="B17" s="1077"/>
      <c r="C17" s="1074"/>
      <c r="D17" s="1079"/>
      <c r="E17" s="1074"/>
      <c r="F17" s="1092"/>
    </row>
    <row r="18" spans="1:7" s="1052" customFormat="1" ht="12" thickBot="1">
      <c r="A18" s="1053"/>
      <c r="B18" s="1054"/>
      <c r="C18" s="1054"/>
      <c r="D18" s="1093" t="s">
        <v>9</v>
      </c>
      <c r="E18" s="1094"/>
      <c r="F18" s="1095">
        <f>SUM(F16:F17)</f>
        <v>0</v>
      </c>
    </row>
    <row r="19" spans="1:7" s="1052" customFormat="1" ht="13.5" thickBot="1">
      <c r="A19" s="1071" t="s">
        <v>14</v>
      </c>
      <c r="B19" s="1054"/>
      <c r="C19" s="1054"/>
      <c r="D19" s="1054"/>
      <c r="E19" s="1054"/>
      <c r="F19" s="1055"/>
    </row>
    <row r="20" spans="1:7" s="1052" customFormat="1" ht="11.25">
      <c r="A20" s="1096" t="s">
        <v>15</v>
      </c>
      <c r="B20" s="1097" t="s">
        <v>560</v>
      </c>
      <c r="C20" s="1088" t="s">
        <v>17</v>
      </c>
      <c r="D20" s="1088" t="s">
        <v>561</v>
      </c>
      <c r="E20" s="1088" t="s">
        <v>19</v>
      </c>
      <c r="F20" s="1089" t="s">
        <v>8</v>
      </c>
    </row>
    <row r="21" spans="1:7" s="1052" customFormat="1" ht="12" thickBot="1">
      <c r="A21" s="1098"/>
      <c r="B21" s="1074"/>
      <c r="C21" s="1074"/>
      <c r="D21" s="1074"/>
      <c r="E21" s="1099"/>
      <c r="F21" s="1092">
        <f>+E21*D21</f>
        <v>0</v>
      </c>
    </row>
    <row r="22" spans="1:7" s="1052" customFormat="1" ht="12" thickBot="1">
      <c r="A22" s="1053"/>
      <c r="B22" s="1054"/>
      <c r="C22" s="1054"/>
      <c r="D22" s="1093" t="s">
        <v>9</v>
      </c>
      <c r="E22" s="1094"/>
      <c r="F22" s="1095">
        <f>SUM(F21:F21)</f>
        <v>0</v>
      </c>
    </row>
    <row r="23" spans="1:7" s="1052" customFormat="1" ht="13.5" thickBot="1">
      <c r="A23" s="1071" t="s">
        <v>20</v>
      </c>
      <c r="B23" s="1054"/>
      <c r="C23" s="1054"/>
      <c r="D23" s="1054"/>
      <c r="E23" s="1054"/>
      <c r="F23" s="1055"/>
    </row>
    <row r="24" spans="1:7" s="1052" customFormat="1" ht="11.25">
      <c r="A24" s="1096" t="s">
        <v>21</v>
      </c>
      <c r="B24" s="1100" t="s">
        <v>562</v>
      </c>
      <c r="C24" s="1088" t="s">
        <v>23</v>
      </c>
      <c r="D24" s="1101" t="s">
        <v>24</v>
      </c>
      <c r="E24" s="1089" t="s">
        <v>7</v>
      </c>
      <c r="F24" s="1089" t="s">
        <v>8</v>
      </c>
    </row>
    <row r="25" spans="1:7" s="1052" customFormat="1" ht="12" thickBot="1">
      <c r="A25" s="1102"/>
      <c r="B25" s="1103"/>
      <c r="C25" s="1074"/>
      <c r="D25" s="1103"/>
      <c r="E25" s="1080"/>
      <c r="F25" s="1104"/>
    </row>
    <row r="26" spans="1:7" s="1052" customFormat="1" ht="12" thickBot="1">
      <c r="A26" s="1053"/>
      <c r="B26" s="1054"/>
      <c r="C26" s="1054"/>
      <c r="D26" s="1093" t="s">
        <v>9</v>
      </c>
      <c r="E26" s="1093"/>
      <c r="F26" s="1105">
        <f>SUM(F25:F25)</f>
        <v>0</v>
      </c>
    </row>
    <row r="27" spans="1:7" s="1052" customFormat="1" ht="12" thickBot="1">
      <c r="A27" s="1053"/>
      <c r="B27" s="1054"/>
      <c r="C27" s="1054"/>
      <c r="D27" s="1054"/>
      <c r="E27" s="1054"/>
      <c r="F27" s="1106"/>
    </row>
    <row r="28" spans="1:7" s="1052" customFormat="1" ht="13.5" customHeight="1" thickBot="1">
      <c r="A28" s="1053"/>
      <c r="B28" s="1054"/>
      <c r="C28" s="1107" t="s">
        <v>25</v>
      </c>
      <c r="D28" s="1107"/>
      <c r="E28" s="1107"/>
      <c r="F28" s="1105">
        <f>ROUND(SUM(F13+F18+F22+F26),0)</f>
        <v>1120</v>
      </c>
      <c r="G28" s="1108"/>
    </row>
    <row r="29" spans="1:7" s="1052" customFormat="1" ht="13.5" thickBot="1">
      <c r="A29" s="1071" t="s">
        <v>563</v>
      </c>
      <c r="B29" s="1054"/>
      <c r="C29" s="1054"/>
      <c r="D29" s="1054"/>
      <c r="E29" s="1054"/>
      <c r="F29" s="1055"/>
    </row>
    <row r="30" spans="1:7" s="1052" customFormat="1" ht="11.25">
      <c r="A30" s="1109" t="s">
        <v>4</v>
      </c>
      <c r="B30" s="1110"/>
      <c r="C30" s="1110"/>
      <c r="D30" s="1097"/>
      <c r="E30" s="1088" t="s">
        <v>564</v>
      </c>
      <c r="F30" s="1089" t="s">
        <v>565</v>
      </c>
    </row>
    <row r="31" spans="1:7" s="1052" customFormat="1" ht="11.25">
      <c r="A31" s="1111" t="s">
        <v>566</v>
      </c>
      <c r="B31" s="1112"/>
      <c r="C31" s="1112"/>
      <c r="D31" s="1113"/>
      <c r="E31" s="970">
        <v>0.23</v>
      </c>
      <c r="F31" s="1090">
        <f>ROUND($F$28*E31,0)</f>
        <v>258</v>
      </c>
    </row>
    <row r="32" spans="1:7" s="1052" customFormat="1" ht="11.25">
      <c r="A32" s="1111" t="s">
        <v>567</v>
      </c>
      <c r="B32" s="1112"/>
      <c r="C32" s="1112"/>
      <c r="D32" s="1113"/>
      <c r="E32" s="970">
        <v>0.05</v>
      </c>
      <c r="F32" s="1090">
        <f>ROUND($F$28*E32,0)</f>
        <v>56</v>
      </c>
    </row>
    <row r="33" spans="1:6" s="1052" customFormat="1" ht="12" thickBot="1">
      <c r="A33" s="1111" t="s">
        <v>568</v>
      </c>
      <c r="B33" s="1112"/>
      <c r="C33" s="1112"/>
      <c r="D33" s="1113"/>
      <c r="E33" s="970">
        <v>0.02</v>
      </c>
      <c r="F33" s="1090">
        <f>ROUND($F$28*E33,0)</f>
        <v>22</v>
      </c>
    </row>
    <row r="34" spans="1:6" s="1052" customFormat="1" ht="12" thickBot="1">
      <c r="A34" s="1053"/>
      <c r="B34" s="1054"/>
      <c r="C34" s="1054"/>
      <c r="D34" s="1093" t="s">
        <v>9</v>
      </c>
      <c r="E34" s="1083"/>
      <c r="F34" s="1095">
        <f>(SUM(F31:F33))</f>
        <v>336</v>
      </c>
    </row>
    <row r="35" spans="1:6" s="1052" customFormat="1" ht="12" thickBot="1">
      <c r="A35" s="1053"/>
      <c r="B35" s="1054"/>
      <c r="C35" s="1054"/>
      <c r="D35" s="1054"/>
      <c r="E35" s="1054"/>
      <c r="F35" s="1055"/>
    </row>
    <row r="36" spans="1:6" s="1052" customFormat="1" ht="13.5" thickBot="1">
      <c r="A36" s="1114"/>
      <c r="B36" s="1107" t="s">
        <v>569</v>
      </c>
      <c r="C36" s="1107"/>
      <c r="D36" s="1107"/>
      <c r="E36" s="1107"/>
      <c r="F36" s="1095">
        <f>ROUND((F28+F34),0)</f>
        <v>1456</v>
      </c>
    </row>
    <row r="37" spans="1:6" s="1052" customFormat="1" ht="12" thickBot="1">
      <c r="A37" s="1068"/>
      <c r="B37" s="1054"/>
      <c r="C37" s="1115"/>
      <c r="D37" s="1116"/>
      <c r="E37" s="1116"/>
      <c r="F37" s="1117"/>
    </row>
    <row r="38" spans="1:6" s="1052" customFormat="1" ht="10.5" customHeight="1">
      <c r="A38" s="1118"/>
      <c r="B38" s="1119"/>
      <c r="C38" s="1119"/>
      <c r="D38" s="1119"/>
      <c r="E38" s="1119"/>
      <c r="F38" s="1120"/>
    </row>
    <row r="39" spans="1:6" s="1052" customFormat="1" ht="17.25" customHeight="1">
      <c r="A39" s="1121"/>
      <c r="B39" s="1122"/>
      <c r="C39" s="1122"/>
      <c r="D39" s="1122"/>
      <c r="E39" s="1122"/>
      <c r="F39" s="1123"/>
    </row>
    <row r="40" spans="1:6" s="1052" customFormat="1" ht="11.25"/>
    <row r="41" spans="1:6" s="1052" customFormat="1" ht="11.25"/>
    <row r="42" spans="1:6" s="1052" customFormat="1" ht="11.25"/>
    <row r="43" spans="1:6" s="1052" customFormat="1" ht="11.25">
      <c r="A43" s="1124"/>
      <c r="B43" s="1107"/>
      <c r="C43" s="1107"/>
      <c r="D43" s="1107"/>
      <c r="E43" s="1107"/>
      <c r="F43" s="1125"/>
    </row>
    <row r="44" spans="1:6" s="1052" customFormat="1" ht="11.25">
      <c r="A44" s="1126"/>
      <c r="B44" s="1127"/>
      <c r="C44" s="1127"/>
      <c r="D44" s="1127"/>
      <c r="E44" s="1127"/>
      <c r="F44" s="1128"/>
    </row>
    <row r="45" spans="1:6" s="1052" customFormat="1" ht="11.25">
      <c r="A45" s="1126"/>
      <c r="B45" s="1127"/>
      <c r="C45" s="1127"/>
      <c r="D45" s="1127"/>
      <c r="E45" s="1127"/>
      <c r="F45" s="1128"/>
    </row>
    <row r="46" spans="1:6" s="1052" customFormat="1" ht="12" thickBot="1">
      <c r="A46" s="1129"/>
      <c r="B46" s="1130"/>
      <c r="C46" s="1130"/>
      <c r="D46" s="1130"/>
      <c r="E46" s="1130"/>
      <c r="F46" s="1131"/>
    </row>
    <row r="47" spans="1:6" s="1052" customFormat="1" ht="11.25"/>
    <row r="48" spans="1:6" s="1052" customFormat="1" ht="11.25"/>
    <row r="49" s="1052" customFormat="1" ht="11.25"/>
    <row r="50" s="1052" customFormat="1" ht="11.25"/>
    <row r="51" s="1052" customFormat="1" ht="11.25"/>
    <row r="52" s="1052" customFormat="1" ht="11.25"/>
    <row r="53" s="1052" customFormat="1" ht="11.25"/>
    <row r="54" s="1052" customFormat="1" ht="11.25"/>
    <row r="55" s="1052" customFormat="1" ht="11.25"/>
    <row r="56" s="1052" customFormat="1" ht="11.25"/>
    <row r="57" s="1052" customFormat="1" ht="11.25"/>
    <row r="58" s="1052" customFormat="1" ht="11.25"/>
    <row r="59" s="1052" customFormat="1" ht="11.25"/>
  </sheetData>
  <mergeCells count="27">
    <mergeCell ref="A44:F44"/>
    <mergeCell ref="A45:F45"/>
    <mergeCell ref="A46:F46"/>
    <mergeCell ref="A33:D33"/>
    <mergeCell ref="D34:E34"/>
    <mergeCell ref="B36:E36"/>
    <mergeCell ref="A38:F38"/>
    <mergeCell ref="A39:F39"/>
    <mergeCell ref="A43:F43"/>
    <mergeCell ref="D18:E18"/>
    <mergeCell ref="D22:E22"/>
    <mergeCell ref="D26:E26"/>
    <mergeCell ref="C28:E28"/>
    <mergeCell ref="A31:D31"/>
    <mergeCell ref="A32:D32"/>
    <mergeCell ref="A11:B11"/>
    <mergeCell ref="A12:B12"/>
    <mergeCell ref="D13:E13"/>
    <mergeCell ref="A15:B15"/>
    <mergeCell ref="A16:B16"/>
    <mergeCell ref="A17:B17"/>
    <mergeCell ref="A1:F1"/>
    <mergeCell ref="A2:B2"/>
    <mergeCell ref="C2:F3"/>
    <mergeCell ref="A3:B3"/>
    <mergeCell ref="C5:F5"/>
    <mergeCell ref="E8:F8"/>
  </mergeCells>
  <pageMargins left="0.78740157480314965" right="0.39370078740157483" top="0.59055118110236227" bottom="0.19685039370078741" header="0.39370078740157483" footer="0"/>
  <pageSetup scale="96" orientation="portrait" verticalDpi="72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B4FB8-7844-40DB-81D9-797F35F5F5CE}">
  <sheetPr>
    <tabColor rgb="FF00B050"/>
  </sheetPr>
  <dimension ref="A1:G60"/>
  <sheetViews>
    <sheetView view="pageBreakPreview" topLeftCell="A4" zoomScaleNormal="100" zoomScaleSheetLayoutView="100" workbookViewId="0">
      <selection activeCell="D34" sqref="D34:E34"/>
    </sheetView>
  </sheetViews>
  <sheetFormatPr baseColWidth="10" defaultRowHeight="12.75"/>
  <cols>
    <col min="1" max="1" width="29.85546875" style="1043" customWidth="1"/>
    <col min="2" max="2" width="17" style="1043" customWidth="1"/>
    <col min="3" max="3" width="11.140625" style="1043" customWidth="1"/>
    <col min="4" max="4" width="15.140625" style="1043" customWidth="1"/>
    <col min="5" max="5" width="10.7109375" style="1043" customWidth="1"/>
    <col min="6" max="6" width="12.140625" style="1043" customWidth="1"/>
    <col min="7" max="16384" width="11.42578125" style="1043"/>
  </cols>
  <sheetData>
    <row r="1" spans="1:7" ht="54.75" customHeight="1" thickBot="1">
      <c r="A1" s="1132" t="s">
        <v>555</v>
      </c>
      <c r="B1" s="1133"/>
      <c r="C1" s="1133"/>
      <c r="D1" s="1133"/>
      <c r="E1" s="1133"/>
      <c r="F1" s="1134"/>
    </row>
    <row r="2" spans="1:7" ht="15.75">
      <c r="A2" s="1044" t="s">
        <v>556</v>
      </c>
      <c r="B2" s="1045"/>
      <c r="C2" s="1046" t="str">
        <f>'[3]HOJA MATRIZ'!C2:G3</f>
        <v>ANÁLISIS DE PRECIOS UNITARIOS</v>
      </c>
      <c r="D2" s="1047"/>
      <c r="E2" s="1047"/>
      <c r="F2" s="1048"/>
      <c r="G2" s="969" t="s">
        <v>570</v>
      </c>
    </row>
    <row r="3" spans="1:7" s="1052" customFormat="1" ht="16.5" customHeight="1" thickBot="1">
      <c r="A3" s="1049" t="str">
        <f>+'[3]1 Conformación '!A3:B3</f>
        <v>MUNICIPIO DE SALADOBLANCO</v>
      </c>
      <c r="B3" s="1050"/>
      <c r="C3" s="1049"/>
      <c r="D3" s="1051"/>
      <c r="E3" s="1051"/>
      <c r="F3" s="1050"/>
    </row>
    <row r="4" spans="1:7" s="1052" customFormat="1" ht="11.25">
      <c r="A4" s="1053"/>
      <c r="B4" s="1054"/>
      <c r="C4" s="1054"/>
      <c r="D4" s="1054"/>
      <c r="E4" s="1054"/>
      <c r="F4" s="1055"/>
    </row>
    <row r="5" spans="1:7" s="1052" customFormat="1" ht="25.5" customHeight="1">
      <c r="A5" s="1056" t="s">
        <v>48</v>
      </c>
      <c r="B5" s="1057">
        <f>+'[3]PPTO VIAS'!B6</f>
        <v>2</v>
      </c>
      <c r="C5" s="1135" t="s">
        <v>571</v>
      </c>
      <c r="D5" s="1135"/>
      <c r="E5" s="1135"/>
      <c r="F5" s="1136"/>
    </row>
    <row r="6" spans="1:7" s="1052" customFormat="1" ht="11.25">
      <c r="A6" s="1060"/>
      <c r="B6" s="1061"/>
      <c r="C6" s="1061"/>
      <c r="D6" s="1061"/>
      <c r="E6" s="1061"/>
      <c r="F6" s="1062"/>
    </row>
    <row r="7" spans="1:7" s="1052" customFormat="1">
      <c r="A7" s="1068"/>
      <c r="B7" s="1054"/>
      <c r="C7" s="1064"/>
      <c r="D7" s="1065" t="s">
        <v>558</v>
      </c>
      <c r="E7" s="1065" t="s">
        <v>0</v>
      </c>
      <c r="F7" s="1067"/>
    </row>
    <row r="8" spans="1:7" s="1052" customFormat="1" ht="12" customHeight="1">
      <c r="A8" s="1068"/>
      <c r="B8" s="1054"/>
      <c r="C8" s="1065"/>
      <c r="D8" s="1065" t="str">
        <f>'[3]HOJA MATRIZ'!D8</f>
        <v xml:space="preserve">ITEM DE PAGO: </v>
      </c>
      <c r="E8" s="1069">
        <v>2</v>
      </c>
      <c r="F8" s="1070"/>
    </row>
    <row r="9" spans="1:7" s="1052" customFormat="1">
      <c r="A9" s="1071" t="s">
        <v>3</v>
      </c>
      <c r="B9" s="1054"/>
      <c r="C9" s="1054"/>
      <c r="D9" s="1054"/>
      <c r="E9" s="1054"/>
      <c r="F9" s="1055"/>
    </row>
    <row r="10" spans="1:7" s="1052" customFormat="1" ht="11.25">
      <c r="A10" s="1072" t="s">
        <v>4</v>
      </c>
      <c r="B10" s="1073"/>
      <c r="C10" s="1074" t="s">
        <v>5</v>
      </c>
      <c r="D10" s="1074" t="s">
        <v>6</v>
      </c>
      <c r="E10" s="1074" t="s">
        <v>7</v>
      </c>
      <c r="F10" s="1075" t="s">
        <v>8</v>
      </c>
    </row>
    <row r="11" spans="1:7" s="1052" customFormat="1" ht="11.25">
      <c r="A11" s="1137" t="str">
        <f>'[3]INSUMOS-EQUIPO'!C18</f>
        <v>MOTONIVELADORA &gt;120 HP.</v>
      </c>
      <c r="B11" s="1138"/>
      <c r="C11" s="1078"/>
      <c r="D11" s="1079">
        <v>180000</v>
      </c>
      <c r="E11" s="1080">
        <v>20</v>
      </c>
      <c r="F11" s="1090">
        <f>ROUND(D11/E11,0)</f>
        <v>9000</v>
      </c>
    </row>
    <row r="12" spans="1:7" s="1052" customFormat="1" ht="11.25" customHeight="1">
      <c r="A12" s="1139" t="str">
        <f>'[3]INSUMOS-EQUIPO'!C19</f>
        <v>VIBROCOMPACTADOR DYNAPAC C-15 O SIMILAR</v>
      </c>
      <c r="B12" s="1140"/>
      <c r="C12" s="1078"/>
      <c r="D12" s="1079">
        <v>102800</v>
      </c>
      <c r="E12" s="1080">
        <v>25</v>
      </c>
      <c r="F12" s="1090">
        <f>ROUND(D12/E12,0)</f>
        <v>4112</v>
      </c>
    </row>
    <row r="13" spans="1:7" s="1052" customFormat="1" ht="23.25" customHeight="1" thickBot="1">
      <c r="A13" s="1137" t="str">
        <f>'[3]INSUMOS-EQUIPO'!C26</f>
        <v xml:space="preserve">TANQUE CAP. 500L IRRIGADOR DE AGUA ACCIONADO CON TIRO. </v>
      </c>
      <c r="B13" s="1138"/>
      <c r="C13" s="1078"/>
      <c r="D13" s="1079">
        <v>12375</v>
      </c>
      <c r="E13" s="1080">
        <v>30</v>
      </c>
      <c r="F13" s="1090">
        <f>ROUND(D13/E13,0)</f>
        <v>413</v>
      </c>
    </row>
    <row r="14" spans="1:7" s="1052" customFormat="1" ht="12" thickBot="1">
      <c r="A14" s="1053"/>
      <c r="B14" s="1054"/>
      <c r="C14" s="1054"/>
      <c r="D14" s="1093" t="s">
        <v>9</v>
      </c>
      <c r="E14" s="1093"/>
      <c r="F14" s="1095">
        <f>SUM(F11:F13)</f>
        <v>13525</v>
      </c>
    </row>
    <row r="15" spans="1:7" s="1052" customFormat="1" ht="13.5" thickBot="1">
      <c r="A15" s="1071" t="s">
        <v>559</v>
      </c>
      <c r="B15" s="1054"/>
      <c r="C15" s="1054"/>
      <c r="D15" s="1054"/>
      <c r="E15" s="1054"/>
      <c r="F15" s="1055"/>
    </row>
    <row r="16" spans="1:7" s="1052" customFormat="1" ht="12.75" customHeight="1">
      <c r="A16" s="1086" t="s">
        <v>4</v>
      </c>
      <c r="B16" s="1087"/>
      <c r="C16" s="1088" t="s">
        <v>11</v>
      </c>
      <c r="D16" s="1088" t="s">
        <v>12</v>
      </c>
      <c r="E16" s="1088" t="s">
        <v>13</v>
      </c>
      <c r="F16" s="1089" t="s">
        <v>8</v>
      </c>
    </row>
    <row r="17" spans="1:6" s="1052" customFormat="1" ht="28.5" customHeight="1" thickBot="1">
      <c r="A17" s="1076" t="str">
        <f>+'[3]INSUMOS-MATERIALES'!C58</f>
        <v>RECEBO COMÚN PROVENIENTE DE MATERIAL DE PRESTAMO I.P.&lt;15%; T.M.=3".</v>
      </c>
      <c r="B17" s="1077"/>
      <c r="C17" s="1074" t="str">
        <f>'[3]INSUMOS-MATERIALES'!D21</f>
        <v>M3</v>
      </c>
      <c r="D17" s="1079">
        <v>9300</v>
      </c>
      <c r="E17" s="1074">
        <v>1.3</v>
      </c>
      <c r="F17" s="1092">
        <f>D17*E17</f>
        <v>12090</v>
      </c>
    </row>
    <row r="18" spans="1:6" s="1052" customFormat="1" ht="12" thickBot="1">
      <c r="A18" s="1053"/>
      <c r="B18" s="1054"/>
      <c r="C18" s="1054"/>
      <c r="D18" s="1093" t="s">
        <v>9</v>
      </c>
      <c r="E18" s="1093"/>
      <c r="F18" s="1095">
        <f>SUM(F17:F17)</f>
        <v>12090</v>
      </c>
    </row>
    <row r="19" spans="1:6" s="1052" customFormat="1" ht="13.5" thickBot="1">
      <c r="A19" s="1071" t="s">
        <v>14</v>
      </c>
      <c r="B19" s="1054"/>
      <c r="C19" s="1054"/>
      <c r="D19" s="1054"/>
      <c r="E19" s="1054"/>
      <c r="F19" s="1055"/>
    </row>
    <row r="20" spans="1:6" s="1052" customFormat="1" ht="11.25">
      <c r="A20" s="1096" t="s">
        <v>15</v>
      </c>
      <c r="B20" s="1097" t="s">
        <v>560</v>
      </c>
      <c r="C20" s="1088" t="s">
        <v>17</v>
      </c>
      <c r="D20" s="1088" t="s">
        <v>561</v>
      </c>
      <c r="E20" s="1088" t="s">
        <v>19</v>
      </c>
      <c r="F20" s="1089" t="s">
        <v>8</v>
      </c>
    </row>
    <row r="21" spans="1:6" s="1052" customFormat="1" ht="23.25" customHeight="1" thickBot="1">
      <c r="A21" s="1102"/>
      <c r="B21" s="1074"/>
      <c r="C21" s="1074"/>
      <c r="D21" s="1074"/>
      <c r="E21" s="1079"/>
      <c r="F21" s="1090">
        <f>D21*E21</f>
        <v>0</v>
      </c>
    </row>
    <row r="22" spans="1:6" s="1052" customFormat="1" ht="12" thickBot="1">
      <c r="A22" s="1053"/>
      <c r="B22" s="1054"/>
      <c r="C22" s="1054"/>
      <c r="D22" s="1093" t="s">
        <v>9</v>
      </c>
      <c r="E22" s="1093"/>
      <c r="F22" s="1095">
        <f>SUM(F21:F21)</f>
        <v>0</v>
      </c>
    </row>
    <row r="23" spans="1:6" s="1052" customFormat="1" ht="13.5" thickBot="1">
      <c r="A23" s="1071" t="s">
        <v>20</v>
      </c>
      <c r="B23" s="1054"/>
      <c r="C23" s="1054"/>
      <c r="D23" s="1054"/>
      <c r="E23" s="1054"/>
      <c r="F23" s="1055"/>
    </row>
    <row r="24" spans="1:6" s="1052" customFormat="1" ht="11.25">
      <c r="A24" s="1096" t="s">
        <v>21</v>
      </c>
      <c r="B24" s="1088" t="s">
        <v>572</v>
      </c>
      <c r="C24" s="1088" t="s">
        <v>23</v>
      </c>
      <c r="D24" s="1101" t="s">
        <v>24</v>
      </c>
      <c r="E24" s="1089" t="s">
        <v>7</v>
      </c>
      <c r="F24" s="1089" t="s">
        <v>8</v>
      </c>
    </row>
    <row r="25" spans="1:6" s="1052" customFormat="1" ht="24" customHeight="1" thickBot="1">
      <c r="A25" s="1102"/>
      <c r="B25" s="1141"/>
      <c r="C25" s="1074"/>
      <c r="D25" s="1141"/>
      <c r="E25" s="1080"/>
      <c r="F25" s="1142"/>
    </row>
    <row r="26" spans="1:6" s="1052" customFormat="1" ht="12" thickBot="1">
      <c r="A26" s="1053"/>
      <c r="B26" s="1054"/>
      <c r="C26" s="1054"/>
      <c r="D26" s="1093" t="s">
        <v>9</v>
      </c>
      <c r="E26" s="1093"/>
      <c r="F26" s="1105">
        <f>SUM(F25:F25)</f>
        <v>0</v>
      </c>
    </row>
    <row r="27" spans="1:6" s="1052" customFormat="1" ht="12" thickBot="1">
      <c r="A27" s="1053"/>
      <c r="B27" s="1054"/>
      <c r="C27" s="1054"/>
      <c r="D27" s="1054"/>
      <c r="E27" s="1054"/>
      <c r="F27" s="1106"/>
    </row>
    <row r="28" spans="1:6" s="1052" customFormat="1" ht="13.5" customHeight="1" thickBot="1">
      <c r="A28" s="1053"/>
      <c r="B28" s="1054"/>
      <c r="C28" s="1107" t="s">
        <v>25</v>
      </c>
      <c r="D28" s="1107"/>
      <c r="E28" s="1107"/>
      <c r="F28" s="1105">
        <f>ROUND(SUM(F14+F18+F22+F26),0)</f>
        <v>25615</v>
      </c>
    </row>
    <row r="29" spans="1:6" s="1052" customFormat="1" ht="13.5" thickBot="1">
      <c r="A29" s="1071" t="s">
        <v>563</v>
      </c>
      <c r="B29" s="1054"/>
      <c r="C29" s="1054"/>
      <c r="D29" s="1054"/>
      <c r="E29" s="1054"/>
      <c r="F29" s="1055"/>
    </row>
    <row r="30" spans="1:6" s="1052" customFormat="1" ht="11.25">
      <c r="A30" s="1109" t="s">
        <v>4</v>
      </c>
      <c r="B30" s="1110"/>
      <c r="C30" s="1110"/>
      <c r="D30" s="1097"/>
      <c r="E30" s="1088" t="s">
        <v>564</v>
      </c>
      <c r="F30" s="1089" t="s">
        <v>565</v>
      </c>
    </row>
    <row r="31" spans="1:6" s="1052" customFormat="1" ht="11.25">
      <c r="A31" s="1111" t="s">
        <v>566</v>
      </c>
      <c r="B31" s="1112"/>
      <c r="C31" s="1112"/>
      <c r="D31" s="1113"/>
      <c r="E31" s="970">
        <v>0.23</v>
      </c>
      <c r="F31" s="1090">
        <f>$F$28*E31</f>
        <v>5891.45</v>
      </c>
    </row>
    <row r="32" spans="1:6" s="1052" customFormat="1" ht="11.25">
      <c r="A32" s="1111" t="s">
        <v>573</v>
      </c>
      <c r="B32" s="1112"/>
      <c r="C32" s="1112"/>
      <c r="D32" s="1113"/>
      <c r="E32" s="970">
        <f>+'[3]1 Conformación '!E34</f>
        <v>0.05</v>
      </c>
      <c r="F32" s="1090">
        <f>$F$28*E32</f>
        <v>1280.75</v>
      </c>
    </row>
    <row r="33" spans="1:6" s="1052" customFormat="1" ht="12" thickBot="1">
      <c r="A33" s="1111" t="s">
        <v>568</v>
      </c>
      <c r="B33" s="1112"/>
      <c r="C33" s="1112"/>
      <c r="D33" s="1113"/>
      <c r="E33" s="970">
        <v>0.02</v>
      </c>
      <c r="F33" s="1092">
        <f>$F$28*E33</f>
        <v>512.29999999999995</v>
      </c>
    </row>
    <row r="34" spans="1:6" s="1052" customFormat="1" ht="12" thickBot="1">
      <c r="A34" s="1053"/>
      <c r="B34" s="1054"/>
      <c r="C34" s="1054"/>
      <c r="D34" s="1093" t="s">
        <v>9</v>
      </c>
      <c r="E34" s="1083"/>
      <c r="F34" s="1095">
        <f>ROUND(SUM(F31:F33),0)</f>
        <v>7685</v>
      </c>
    </row>
    <row r="35" spans="1:6" s="1052" customFormat="1" ht="12" thickBot="1">
      <c r="A35" s="1053"/>
      <c r="B35" s="1054"/>
      <c r="C35" s="1054"/>
      <c r="D35" s="1054"/>
      <c r="E35" s="1054"/>
      <c r="F35" s="1055"/>
    </row>
    <row r="36" spans="1:6" s="1052" customFormat="1" ht="13.5" thickBot="1">
      <c r="A36" s="1114"/>
      <c r="B36" s="1107" t="s">
        <v>569</v>
      </c>
      <c r="C36" s="1107"/>
      <c r="D36" s="1107"/>
      <c r="E36" s="1107"/>
      <c r="F36" s="1095">
        <f>ROUND((F28+F34),0)</f>
        <v>33300</v>
      </c>
    </row>
    <row r="37" spans="1:6" s="1052" customFormat="1" ht="11.25">
      <c r="A37" s="1143"/>
      <c r="B37" s="1069"/>
      <c r="C37" s="1069"/>
      <c r="D37" s="1069"/>
      <c r="E37" s="1069"/>
      <c r="F37" s="1070"/>
    </row>
    <row r="38" spans="1:6" s="1052" customFormat="1" ht="11.25">
      <c r="A38" s="1053"/>
      <c r="B38" s="1054"/>
      <c r="C38" s="1054"/>
      <c r="D38" s="1054"/>
      <c r="E38" s="1054"/>
      <c r="F38" s="1055"/>
    </row>
    <row r="39" spans="1:6" s="1052" customFormat="1" ht="11.25">
      <c r="A39" s="1053"/>
      <c r="B39" s="1054"/>
      <c r="C39" s="1054"/>
      <c r="D39" s="1054"/>
      <c r="E39" s="1054"/>
      <c r="F39" s="1055"/>
    </row>
    <row r="40" spans="1:6" s="1052" customFormat="1">
      <c r="A40" s="1144"/>
      <c r="B40" s="1043"/>
      <c r="C40" s="1043"/>
      <c r="E40" s="1091"/>
      <c r="F40" s="1145"/>
    </row>
    <row r="41" spans="1:6" s="1052" customFormat="1" ht="11.25">
      <c r="A41" s="1063"/>
      <c r="F41" s="1145"/>
    </row>
    <row r="42" spans="1:6" s="1052" customFormat="1" ht="11.25">
      <c r="A42" s="1146"/>
      <c r="F42" s="1145"/>
    </row>
    <row r="43" spans="1:6" s="1052" customFormat="1" ht="11.25">
      <c r="A43" s="1124"/>
      <c r="B43" s="1107"/>
      <c r="C43" s="1107"/>
      <c r="D43" s="1107"/>
      <c r="E43" s="1107"/>
      <c r="F43" s="1125"/>
    </row>
    <row r="44" spans="1:6" s="1052" customFormat="1" ht="11.25">
      <c r="A44" s="1126"/>
      <c r="B44" s="1127"/>
      <c r="C44" s="1127"/>
      <c r="D44" s="1127"/>
      <c r="E44" s="1127"/>
      <c r="F44" s="1128"/>
    </row>
    <row r="45" spans="1:6" s="1052" customFormat="1" ht="11.25">
      <c r="A45" s="1126"/>
      <c r="B45" s="1127"/>
      <c r="C45" s="1127"/>
      <c r="D45" s="1127"/>
      <c r="E45" s="1127"/>
      <c r="F45" s="1128"/>
    </row>
    <row r="46" spans="1:6" s="1052" customFormat="1" ht="12" thickBot="1">
      <c r="A46" s="1129"/>
      <c r="B46" s="1130"/>
      <c r="C46" s="1130"/>
      <c r="D46" s="1130"/>
      <c r="E46" s="1130"/>
      <c r="F46" s="1131"/>
    </row>
    <row r="47" spans="1:6" s="1052" customFormat="1" ht="11.25"/>
    <row r="48" spans="1:6" s="1052" customFormat="1" ht="11.25"/>
    <row r="49" s="1052" customFormat="1" ht="11.25"/>
    <row r="50" s="1052" customFormat="1" ht="11.25"/>
    <row r="51" s="1052" customFormat="1" ht="11.25"/>
    <row r="52" s="1052" customFormat="1" ht="11.25"/>
    <row r="53" s="1052" customFormat="1" ht="11.25"/>
    <row r="54" s="1052" customFormat="1" ht="11.25"/>
    <row r="55" s="1052" customFormat="1" ht="11.25"/>
    <row r="56" s="1052" customFormat="1" ht="11.25"/>
    <row r="57" s="1052" customFormat="1" ht="11.25"/>
    <row r="58" s="1052" customFormat="1" ht="11.25"/>
    <row r="59" s="1052" customFormat="1" ht="11.25"/>
    <row r="60" s="1052" customFormat="1" ht="11.25"/>
  </sheetData>
  <mergeCells count="26">
    <mergeCell ref="A45:F45"/>
    <mergeCell ref="A46:F46"/>
    <mergeCell ref="A33:D33"/>
    <mergeCell ref="D34:E34"/>
    <mergeCell ref="B36:E36"/>
    <mergeCell ref="A37:F37"/>
    <mergeCell ref="A43:F43"/>
    <mergeCell ref="A44:F44"/>
    <mergeCell ref="D18:E18"/>
    <mergeCell ref="D22:E22"/>
    <mergeCell ref="D26:E26"/>
    <mergeCell ref="C28:E28"/>
    <mergeCell ref="A31:D31"/>
    <mergeCell ref="A32:D32"/>
    <mergeCell ref="A11:B11"/>
    <mergeCell ref="A12:B12"/>
    <mergeCell ref="A13:B13"/>
    <mergeCell ref="D14:E14"/>
    <mergeCell ref="A16:B16"/>
    <mergeCell ref="A17:B17"/>
    <mergeCell ref="A1:F1"/>
    <mergeCell ref="A2:B2"/>
    <mergeCell ref="C2:F3"/>
    <mergeCell ref="A3:B3"/>
    <mergeCell ref="C5:F5"/>
    <mergeCell ref="E8:F8"/>
  </mergeCells>
  <hyperlinks>
    <hyperlink ref="G2" location="INDICE!A1" display="INDICE" xr:uid="{CDB232F4-1C0F-4F77-A8AA-59E5D649F662}"/>
  </hyperlinks>
  <pageMargins left="0.78740157480314965" right="0.39370078740157483" top="0.59055118110236227" bottom="0.19685039370078741" header="0.39370078740157483" footer="0"/>
  <pageSetup scale="97" orientation="portrait" verticalDpi="72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A2414-3E4F-4B4F-A813-5E4C48592799}">
  <sheetPr>
    <tabColor rgb="FF00B050"/>
  </sheetPr>
  <dimension ref="A1:N46"/>
  <sheetViews>
    <sheetView view="pageBreakPreview" zoomScaleNormal="100" zoomScaleSheetLayoutView="100" zoomScalePageLayoutView="85" workbookViewId="0">
      <selection activeCell="O19" sqref="O19"/>
    </sheetView>
  </sheetViews>
  <sheetFormatPr baseColWidth="10" defaultRowHeight="12.75"/>
  <cols>
    <col min="1" max="1" width="29.85546875" style="1043" customWidth="1"/>
    <col min="2" max="2" width="16" style="1043" customWidth="1"/>
    <col min="3" max="3" width="11.140625" style="1043" customWidth="1"/>
    <col min="4" max="4" width="18.140625" style="1043" customWidth="1"/>
    <col min="5" max="5" width="11" style="1043" customWidth="1"/>
    <col min="6" max="6" width="19.7109375" style="1043" customWidth="1"/>
    <col min="7" max="7" width="13" style="1043" bestFit="1" customWidth="1"/>
    <col min="8" max="16384" width="11.42578125" style="1043"/>
  </cols>
  <sheetData>
    <row r="1" spans="1:8" ht="57" customHeight="1" thickBot="1">
      <c r="A1" s="1147" t="s">
        <v>555</v>
      </c>
      <c r="B1" s="1148"/>
      <c r="C1" s="1148"/>
      <c r="D1" s="1148"/>
      <c r="E1" s="1148"/>
      <c r="F1" s="1149"/>
    </row>
    <row r="2" spans="1:8" ht="15.75">
      <c r="A2" s="1150" t="s">
        <v>556</v>
      </c>
      <c r="B2" s="1151"/>
      <c r="C2" s="1152" t="str">
        <f>'[3]HOJA MATRIZ'!C2:G3</f>
        <v>ANÁLISIS DE PRECIOS UNITARIOS</v>
      </c>
      <c r="D2" s="1153"/>
      <c r="E2" s="1153"/>
      <c r="F2" s="1154"/>
      <c r="G2" s="1155"/>
      <c r="H2" s="969"/>
    </row>
    <row r="3" spans="1:8" s="1052" customFormat="1" ht="18.75" customHeight="1" thickBot="1">
      <c r="A3" s="1156" t="str">
        <f>'[3]2 AFIRMADO'!A3:B3</f>
        <v>MUNICIPIO DE SALADOBLANCO</v>
      </c>
      <c r="B3" s="1157"/>
      <c r="C3" s="1156"/>
      <c r="D3" s="1158"/>
      <c r="E3" s="1158"/>
      <c r="F3" s="1157"/>
      <c r="G3" s="1155"/>
    </row>
    <row r="4" spans="1:8" s="1052" customFormat="1" ht="11.25">
      <c r="A4" s="1063"/>
      <c r="F4" s="1145"/>
    </row>
    <row r="5" spans="1:8" s="1052" customFormat="1" ht="30.75" customHeight="1">
      <c r="A5" s="1056" t="s">
        <v>48</v>
      </c>
      <c r="B5" s="1057">
        <v>3</v>
      </c>
      <c r="C5" s="1135" t="s">
        <v>551</v>
      </c>
      <c r="D5" s="1135"/>
      <c r="E5" s="1135"/>
      <c r="F5" s="1136"/>
      <c r="G5" s="1061"/>
    </row>
    <row r="6" spans="1:8" s="1052" customFormat="1" ht="4.5" customHeight="1">
      <c r="A6" s="1159"/>
      <c r="B6" s="1160"/>
      <c r="C6" s="1160"/>
      <c r="D6" s="1160"/>
      <c r="E6" s="1160"/>
      <c r="F6" s="1161"/>
      <c r="G6" s="1160"/>
    </row>
    <row r="7" spans="1:8" s="1052" customFormat="1">
      <c r="A7" s="1146">
        <f>'[3]2 AFIRMADO'!A8</f>
        <v>0</v>
      </c>
      <c r="C7" s="1043"/>
      <c r="D7" s="1162" t="s">
        <v>558</v>
      </c>
      <c r="E7" s="1162" t="str">
        <f>+'[3]PPTO VIAS'!D7</f>
        <v>M3/KM</v>
      </c>
      <c r="F7" s="1163"/>
      <c r="G7" s="1162"/>
    </row>
    <row r="8" spans="1:8" s="1052" customFormat="1" ht="12" customHeight="1">
      <c r="A8" s="1146"/>
      <c r="C8" s="1091"/>
      <c r="D8" s="1091" t="str">
        <f>'[3]HOJA MATRIZ'!D8</f>
        <v xml:space="preserve">ITEM DE PAGO: </v>
      </c>
      <c r="E8" s="1164"/>
      <c r="F8" s="1165"/>
      <c r="G8" s="1166"/>
    </row>
    <row r="9" spans="1:8" s="1052" customFormat="1">
      <c r="A9" s="1144" t="s">
        <v>3</v>
      </c>
      <c r="F9" s="1145"/>
    </row>
    <row r="10" spans="1:8" s="1052" customFormat="1" ht="11.25">
      <c r="A10" s="1167" t="s">
        <v>4</v>
      </c>
      <c r="B10" s="1168"/>
      <c r="C10" s="1169" t="s">
        <v>5</v>
      </c>
      <c r="D10" s="1169" t="s">
        <v>19</v>
      </c>
      <c r="E10" s="1169" t="s">
        <v>7</v>
      </c>
      <c r="F10" s="1170" t="s">
        <v>8</v>
      </c>
    </row>
    <row r="11" spans="1:8" s="1052" customFormat="1" ht="11.25">
      <c r="A11" s="1076" t="s">
        <v>586</v>
      </c>
      <c r="B11" s="1077"/>
      <c r="C11" s="1171"/>
      <c r="D11" s="1172">
        <v>300000</v>
      </c>
      <c r="E11" s="1173">
        <v>293</v>
      </c>
      <c r="F11" s="1174">
        <f>+TRUNC((D11/E11),0)</f>
        <v>1023</v>
      </c>
      <c r="G11" s="1175"/>
    </row>
    <row r="12" spans="1:8" s="1052" customFormat="1" ht="12" thickBot="1">
      <c r="A12" s="1176"/>
      <c r="B12" s="1177"/>
      <c r="C12" s="1177"/>
      <c r="D12" s="1093" t="s">
        <v>9</v>
      </c>
      <c r="E12" s="1093"/>
      <c r="F12" s="1178">
        <f>SUM(F11:F11)</f>
        <v>1023</v>
      </c>
      <c r="G12" s="1175"/>
    </row>
    <row r="13" spans="1:8" s="1052" customFormat="1" ht="13.5" thickBot="1">
      <c r="A13" s="1179" t="s">
        <v>559</v>
      </c>
      <c r="B13" s="1177"/>
      <c r="C13" s="1177"/>
      <c r="D13" s="1177"/>
      <c r="E13" s="1177"/>
      <c r="F13" s="1180"/>
      <c r="G13" s="1175"/>
    </row>
    <row r="14" spans="1:8" s="1052" customFormat="1" ht="12.75" customHeight="1">
      <c r="A14" s="1181" t="s">
        <v>4</v>
      </c>
      <c r="B14" s="1182"/>
      <c r="C14" s="1183" t="s">
        <v>11</v>
      </c>
      <c r="D14" s="1183" t="s">
        <v>12</v>
      </c>
      <c r="E14" s="1183" t="s">
        <v>13</v>
      </c>
      <c r="F14" s="1184" t="s">
        <v>8</v>
      </c>
      <c r="G14" s="1175"/>
    </row>
    <row r="15" spans="1:8" s="1052" customFormat="1" ht="11.25">
      <c r="A15" s="1076"/>
      <c r="B15" s="1077"/>
      <c r="C15" s="1169"/>
      <c r="D15" s="1172"/>
      <c r="E15" s="1169"/>
      <c r="F15" s="1174"/>
      <c r="G15" s="1175"/>
    </row>
    <row r="16" spans="1:8" s="1052" customFormat="1" ht="11.25">
      <c r="A16" s="1176"/>
      <c r="B16" s="1177"/>
      <c r="C16" s="1177"/>
      <c r="D16" s="1093" t="s">
        <v>9</v>
      </c>
      <c r="E16" s="1093"/>
      <c r="F16" s="1174">
        <f>SUM(F15:F15)</f>
        <v>0</v>
      </c>
      <c r="G16" s="1175"/>
    </row>
    <row r="17" spans="1:10" s="1052" customFormat="1" ht="13.5" thickBot="1">
      <c r="A17" s="1179" t="s">
        <v>14</v>
      </c>
      <c r="B17" s="1177"/>
      <c r="C17" s="1177"/>
      <c r="D17" s="1177"/>
      <c r="E17" s="1177"/>
      <c r="F17" s="1180"/>
      <c r="G17" s="1175"/>
    </row>
    <row r="18" spans="1:10" s="1052" customFormat="1" ht="11.25">
      <c r="A18" s="1185" t="s">
        <v>15</v>
      </c>
      <c r="B18" s="1186" t="s">
        <v>560</v>
      </c>
      <c r="C18" s="1183" t="s">
        <v>17</v>
      </c>
      <c r="D18" s="1183" t="s">
        <v>561</v>
      </c>
      <c r="E18" s="1183" t="s">
        <v>19</v>
      </c>
      <c r="F18" s="1184" t="s">
        <v>8</v>
      </c>
      <c r="G18" s="1175"/>
    </row>
    <row r="19" spans="1:10" s="1052" customFormat="1" ht="11.25">
      <c r="A19" s="1102"/>
      <c r="B19" s="1169">
        <v>0</v>
      </c>
      <c r="C19" s="1169">
        <v>0</v>
      </c>
      <c r="D19" s="1169">
        <f>B19*C19</f>
        <v>0</v>
      </c>
      <c r="E19" s="1172"/>
      <c r="F19" s="1174">
        <f>D19*E19</f>
        <v>0</v>
      </c>
      <c r="G19" s="1175"/>
    </row>
    <row r="20" spans="1:10" s="1052" customFormat="1" ht="12" thickBot="1">
      <c r="A20" s="1102"/>
      <c r="B20" s="1169">
        <v>0</v>
      </c>
      <c r="C20" s="1169">
        <v>0</v>
      </c>
      <c r="D20" s="1169">
        <f>B20*C20</f>
        <v>0</v>
      </c>
      <c r="E20" s="1172"/>
      <c r="F20" s="1174">
        <f>D20*E20</f>
        <v>0</v>
      </c>
      <c r="G20" s="1175"/>
      <c r="J20" s="1108"/>
    </row>
    <row r="21" spans="1:10" s="1052" customFormat="1" ht="12" thickBot="1">
      <c r="A21" s="1176"/>
      <c r="B21" s="1177"/>
      <c r="C21" s="1177"/>
      <c r="D21" s="1093" t="s">
        <v>9</v>
      </c>
      <c r="E21" s="1093"/>
      <c r="F21" s="1187">
        <f>SUM(F19:F20)</f>
        <v>0</v>
      </c>
      <c r="G21" s="1175"/>
    </row>
    <row r="22" spans="1:10" s="1052" customFormat="1" ht="13.5" thickBot="1">
      <c r="A22" s="1179" t="s">
        <v>20</v>
      </c>
      <c r="B22" s="1177"/>
      <c r="C22" s="1177"/>
      <c r="D22" s="1177"/>
      <c r="E22" s="1177"/>
      <c r="F22" s="1180"/>
      <c r="G22" s="1175"/>
    </row>
    <row r="23" spans="1:10" s="1052" customFormat="1" ht="11.25">
      <c r="A23" s="1185" t="s">
        <v>21</v>
      </c>
      <c r="B23" s="1183" t="s">
        <v>574</v>
      </c>
      <c r="C23" s="1183" t="s">
        <v>23</v>
      </c>
      <c r="D23" s="1188" t="s">
        <v>24</v>
      </c>
      <c r="E23" s="1184" t="s">
        <v>7</v>
      </c>
      <c r="F23" s="1184" t="s">
        <v>8</v>
      </c>
      <c r="G23" s="1175"/>
    </row>
    <row r="24" spans="1:10" s="1052" customFormat="1" ht="24" customHeight="1">
      <c r="A24" s="1102"/>
      <c r="B24" s="1189"/>
      <c r="C24" s="1169"/>
      <c r="D24" s="1189"/>
      <c r="E24" s="1173"/>
      <c r="F24" s="1190">
        <v>0</v>
      </c>
      <c r="G24" s="1175"/>
      <c r="I24" s="1191"/>
    </row>
    <row r="25" spans="1:10" s="1052" customFormat="1" ht="12" thickBot="1">
      <c r="A25" s="1176"/>
      <c r="B25" s="1177"/>
      <c r="C25" s="1177"/>
      <c r="D25" s="1093" t="s">
        <v>9</v>
      </c>
      <c r="E25" s="1093"/>
      <c r="F25" s="1192">
        <f>SUM(F24:F24)</f>
        <v>0</v>
      </c>
      <c r="G25" s="1175"/>
      <c r="I25" s="1108"/>
    </row>
    <row r="26" spans="1:10" s="1052" customFormat="1" ht="12" thickBot="1">
      <c r="A26" s="1176"/>
      <c r="B26" s="1177"/>
      <c r="C26" s="1177"/>
      <c r="D26" s="1177"/>
      <c r="E26" s="1177"/>
      <c r="F26" s="1193"/>
    </row>
    <row r="27" spans="1:10" s="1052" customFormat="1" ht="12" thickBot="1">
      <c r="A27" s="1176"/>
      <c r="B27" s="1177"/>
      <c r="C27" s="1177"/>
      <c r="D27" s="1107" t="s">
        <v>25</v>
      </c>
      <c r="E27" s="1125"/>
      <c r="F27" s="1194">
        <f>ROUND(SUM(F12+F16+F21+F25),0)</f>
        <v>1023</v>
      </c>
      <c r="G27" s="1108"/>
      <c r="I27" s="1108"/>
    </row>
    <row r="28" spans="1:10" s="1052" customFormat="1" ht="13.5" thickBot="1">
      <c r="A28" s="1179" t="s">
        <v>563</v>
      </c>
      <c r="B28" s="1177"/>
      <c r="C28" s="1177"/>
      <c r="D28" s="1177"/>
      <c r="E28" s="1177"/>
      <c r="F28" s="1180"/>
    </row>
    <row r="29" spans="1:10" s="1052" customFormat="1" ht="11.25">
      <c r="A29" s="1195" t="s">
        <v>4</v>
      </c>
      <c r="B29" s="1196"/>
      <c r="C29" s="1196"/>
      <c r="D29" s="1186"/>
      <c r="E29" s="1183" t="s">
        <v>564</v>
      </c>
      <c r="F29" s="1184" t="s">
        <v>565</v>
      </c>
    </row>
    <row r="30" spans="1:10" s="1052" customFormat="1" ht="11.25">
      <c r="A30" s="1197" t="s">
        <v>566</v>
      </c>
      <c r="B30" s="1198"/>
      <c r="C30" s="1198"/>
      <c r="D30" s="1198"/>
      <c r="E30" s="971">
        <v>0.23</v>
      </c>
      <c r="F30" s="1174">
        <f>$F$27*E30</f>
        <v>235.29000000000002</v>
      </c>
    </row>
    <row r="31" spans="1:10" s="1052" customFormat="1" ht="11.25">
      <c r="A31" s="1197" t="s">
        <v>573</v>
      </c>
      <c r="B31" s="1198"/>
      <c r="C31" s="1198"/>
      <c r="D31" s="1198"/>
      <c r="E31" s="971">
        <v>0.05</v>
      </c>
      <c r="F31" s="1174">
        <f>$F$27*E31</f>
        <v>51.150000000000006</v>
      </c>
    </row>
    <row r="32" spans="1:10" s="1052" customFormat="1" ht="11.25">
      <c r="A32" s="1199" t="s">
        <v>568</v>
      </c>
      <c r="B32" s="1200"/>
      <c r="C32" s="1200"/>
      <c r="D32" s="1201"/>
      <c r="E32" s="971">
        <v>0.02</v>
      </c>
      <c r="F32" s="1174">
        <f>$F$27*E32</f>
        <v>20.46</v>
      </c>
      <c r="G32" s="1202"/>
      <c r="H32" s="972"/>
    </row>
    <row r="33" spans="1:14" s="1052" customFormat="1" ht="11.25">
      <c r="A33" s="1176"/>
      <c r="B33" s="1177"/>
      <c r="C33" s="1177"/>
      <c r="D33" s="1093" t="s">
        <v>9</v>
      </c>
      <c r="E33" s="1093"/>
      <c r="F33" s="1203">
        <f>ROUND(SUM(F30:F32),0)</f>
        <v>307</v>
      </c>
      <c r="G33" s="1202"/>
    </row>
    <row r="34" spans="1:14" s="1052" customFormat="1" ht="12" thickBot="1">
      <c r="A34" s="1176"/>
      <c r="B34" s="1177"/>
      <c r="C34" s="1177"/>
      <c r="D34" s="1177"/>
      <c r="E34" s="1177"/>
      <c r="F34" s="1180"/>
    </row>
    <row r="35" spans="1:14" s="1052" customFormat="1" ht="13.5" thickBot="1">
      <c r="A35" s="1204"/>
      <c r="B35" s="1107" t="s">
        <v>569</v>
      </c>
      <c r="C35" s="1107"/>
      <c r="D35" s="1107"/>
      <c r="E35" s="1107"/>
      <c r="F35" s="1187">
        <f>ROUND((F27+F33),0)</f>
        <v>1330</v>
      </c>
      <c r="G35" s="1202"/>
      <c r="I35" s="973"/>
    </row>
    <row r="36" spans="1:14" s="1052" customFormat="1" ht="12" thickBot="1">
      <c r="A36" s="1146"/>
      <c r="C36" s="1205"/>
      <c r="D36" s="1206"/>
      <c r="E36" s="1206"/>
      <c r="F36" s="1207"/>
    </row>
    <row r="37" spans="1:14" s="1052" customFormat="1" ht="11.25">
      <c r="A37" s="1208"/>
      <c r="B37" s="1209"/>
      <c r="C37" s="1209"/>
      <c r="D37" s="1209"/>
      <c r="E37" s="1209"/>
      <c r="F37" s="1210"/>
      <c r="G37" s="1211"/>
    </row>
    <row r="38" spans="1:14" s="1052" customFormat="1" ht="30" customHeight="1">
      <c r="A38" s="1212"/>
      <c r="B38" s="1213"/>
      <c r="C38" s="1213"/>
      <c r="D38" s="1213"/>
      <c r="E38" s="1213"/>
      <c r="F38" s="1214"/>
      <c r="G38" s="1211"/>
    </row>
    <row r="39" spans="1:14" s="1052" customFormat="1" ht="26.25" customHeight="1">
      <c r="A39" s="1063"/>
      <c r="F39" s="1145"/>
    </row>
    <row r="40" spans="1:14" s="1052" customFormat="1">
      <c r="A40" s="1215"/>
      <c r="B40" s="1216"/>
      <c r="C40" s="1216"/>
      <c r="D40" s="1216"/>
      <c r="E40" s="1216"/>
      <c r="F40" s="1217"/>
    </row>
    <row r="41" spans="1:14" s="1052" customFormat="1" ht="11.25">
      <c r="A41" s="1126"/>
      <c r="B41" s="1127"/>
      <c r="C41" s="1127"/>
      <c r="D41" s="1127"/>
      <c r="E41" s="1127"/>
      <c r="F41" s="1128"/>
    </row>
    <row r="42" spans="1:14" s="1052" customFormat="1">
      <c r="A42" s="1126"/>
      <c r="B42" s="1127"/>
      <c r="C42" s="1127"/>
      <c r="D42" s="1127"/>
      <c r="E42" s="1127"/>
      <c r="F42" s="1128"/>
      <c r="N42" s="1043"/>
    </row>
    <row r="43" spans="1:14" s="1052" customFormat="1" ht="13.5" thickBot="1">
      <c r="A43" s="1129"/>
      <c r="B43" s="1130"/>
      <c r="C43" s="1130"/>
      <c r="D43" s="1130"/>
      <c r="E43" s="1130"/>
      <c r="F43" s="1131"/>
      <c r="N43" s="1043"/>
    </row>
    <row r="44" spans="1:14" s="1052" customFormat="1">
      <c r="N44" s="1043"/>
    </row>
    <row r="45" spans="1:14" s="1052" customFormat="1">
      <c r="N45" s="1043"/>
    </row>
    <row r="46" spans="1:14" s="1052" customFormat="1">
      <c r="N46" s="1043"/>
    </row>
  </sheetData>
  <mergeCells count="25">
    <mergeCell ref="A43:F43"/>
    <mergeCell ref="B35:E35"/>
    <mergeCell ref="A37:F37"/>
    <mergeCell ref="A38:F38"/>
    <mergeCell ref="A40:F40"/>
    <mergeCell ref="A41:F41"/>
    <mergeCell ref="A42:F42"/>
    <mergeCell ref="D25:E25"/>
    <mergeCell ref="D27:E27"/>
    <mergeCell ref="A30:D30"/>
    <mergeCell ref="A31:D31"/>
    <mergeCell ref="A32:D32"/>
    <mergeCell ref="D33:E33"/>
    <mergeCell ref="A11:B11"/>
    <mergeCell ref="D12:E12"/>
    <mergeCell ref="A14:B14"/>
    <mergeCell ref="A15:B15"/>
    <mergeCell ref="D16:E16"/>
    <mergeCell ref="D21:E21"/>
    <mergeCell ref="A1:F1"/>
    <mergeCell ref="A2:B2"/>
    <mergeCell ref="C2:F3"/>
    <mergeCell ref="A3:B3"/>
    <mergeCell ref="C5:F5"/>
    <mergeCell ref="E8:F8"/>
  </mergeCells>
  <pageMargins left="0.78740157480314965" right="0.39370078740157483" top="0.59055118110236227" bottom="0.19685039370078741" header="0.39370078740157483" footer="0"/>
  <pageSetup scale="88" orientation="portrait" verticalDpi="72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54315-1F5D-4CCD-8F92-7971EDC707CB}">
  <sheetPr>
    <tabColor rgb="FF7030A0"/>
  </sheetPr>
  <dimension ref="A1:L18"/>
  <sheetViews>
    <sheetView showGridLines="0" view="pageBreakPreview" zoomScale="85" zoomScaleNormal="85" zoomScaleSheetLayoutView="85" workbookViewId="0">
      <selection activeCell="N19" sqref="N19"/>
    </sheetView>
  </sheetViews>
  <sheetFormatPr baseColWidth="10" defaultColWidth="11.42578125" defaultRowHeight="15"/>
  <cols>
    <col min="1" max="1" width="6.28515625" style="978" customWidth="1"/>
    <col min="2" max="2" width="54.42578125" style="978" customWidth="1"/>
    <col min="3" max="3" width="9.140625" style="978" bestFit="1" customWidth="1"/>
    <col min="4" max="4" width="14.140625" style="978" bestFit="1" customWidth="1"/>
    <col min="5" max="5" width="11.42578125" style="978" bestFit="1" customWidth="1"/>
    <col min="6" max="6" width="12.85546875" style="978" bestFit="1" customWidth="1"/>
    <col min="7" max="7" width="16.42578125" style="978" bestFit="1" customWidth="1"/>
    <col min="8" max="8" width="11.42578125" style="977" bestFit="1" customWidth="1"/>
    <col min="9" max="12" width="11.42578125" style="977"/>
    <col min="13" max="16384" width="11.42578125" style="978"/>
  </cols>
  <sheetData>
    <row r="1" spans="1:12" ht="18.75" customHeight="1">
      <c r="A1" s="974" t="s">
        <v>555</v>
      </c>
      <c r="B1" s="975"/>
      <c r="C1" s="975"/>
      <c r="D1" s="975"/>
      <c r="E1" s="975"/>
      <c r="F1" s="975"/>
      <c r="G1" s="975"/>
      <c r="H1" s="976"/>
    </row>
    <row r="2" spans="1:12" ht="18.75" customHeight="1">
      <c r="A2" s="979"/>
      <c r="B2" s="1019"/>
      <c r="C2" s="1019"/>
      <c r="D2" s="1019"/>
      <c r="E2" s="1019"/>
      <c r="F2" s="1019"/>
      <c r="G2" s="1019"/>
      <c r="H2" s="981"/>
    </row>
    <row r="3" spans="1:12" s="986" customFormat="1" ht="12.75" customHeight="1">
      <c r="A3" s="979"/>
      <c r="B3" s="1019"/>
      <c r="C3" s="1019"/>
      <c r="D3" s="1019"/>
      <c r="E3" s="1019"/>
      <c r="F3" s="1019"/>
      <c r="G3" s="1019"/>
      <c r="H3" s="981"/>
      <c r="I3" s="985"/>
      <c r="J3" s="985"/>
      <c r="K3" s="985"/>
      <c r="L3" s="985"/>
    </row>
    <row r="4" spans="1:12" ht="20.25" customHeight="1">
      <c r="A4" s="979"/>
      <c r="B4" s="1019"/>
      <c r="C4" s="1019"/>
      <c r="D4" s="1019"/>
      <c r="E4" s="1019"/>
      <c r="F4" s="1019"/>
      <c r="G4" s="1019"/>
      <c r="H4" s="981"/>
    </row>
    <row r="5" spans="1:12" s="986" customFormat="1" ht="12.75">
      <c r="A5" s="982"/>
      <c r="B5" s="983"/>
      <c r="C5" s="983"/>
      <c r="D5" s="983"/>
      <c r="E5" s="983"/>
      <c r="F5" s="983"/>
      <c r="G5" s="983"/>
      <c r="H5" s="984"/>
      <c r="I5" s="985"/>
      <c r="J5" s="985"/>
      <c r="K5" s="985"/>
      <c r="L5" s="985"/>
    </row>
    <row r="6" spans="1:12" ht="18.75">
      <c r="A6" s="979" t="s">
        <v>575</v>
      </c>
      <c r="B6" s="980"/>
      <c r="C6" s="980"/>
      <c r="D6" s="980"/>
      <c r="E6" s="980"/>
      <c r="F6" s="980"/>
      <c r="G6" s="980"/>
      <c r="H6" s="981"/>
    </row>
    <row r="7" spans="1:12" s="986" customFormat="1" ht="12.75">
      <c r="A7" s="987"/>
      <c r="B7" s="988"/>
      <c r="C7" s="988"/>
      <c r="D7" s="988"/>
      <c r="E7" s="988"/>
      <c r="F7" s="988"/>
      <c r="G7" s="988"/>
      <c r="H7" s="989"/>
      <c r="I7" s="985"/>
      <c r="J7" s="985"/>
      <c r="K7" s="985"/>
      <c r="L7" s="985"/>
    </row>
    <row r="8" spans="1:12" s="994" customFormat="1" ht="15.75">
      <c r="A8" s="990"/>
      <c r="B8" s="991"/>
      <c r="C8" s="991"/>
      <c r="D8" s="991"/>
      <c r="E8" s="991"/>
      <c r="F8" s="991"/>
      <c r="G8" s="991"/>
      <c r="H8" s="992"/>
      <c r="I8" s="993"/>
      <c r="J8" s="993"/>
      <c r="K8" s="993"/>
      <c r="L8" s="993"/>
    </row>
    <row r="9" spans="1:12" s="994" customFormat="1" ht="15.75">
      <c r="A9" s="995" t="s">
        <v>48</v>
      </c>
      <c r="B9" s="996" t="s">
        <v>33</v>
      </c>
      <c r="C9" s="996" t="s">
        <v>34</v>
      </c>
      <c r="D9" s="996" t="s">
        <v>576</v>
      </c>
      <c r="E9" s="996" t="s">
        <v>577</v>
      </c>
      <c r="F9" s="996" t="s">
        <v>578</v>
      </c>
      <c r="G9" s="996" t="s">
        <v>579</v>
      </c>
      <c r="H9" s="997" t="s">
        <v>580</v>
      </c>
      <c r="I9" s="993"/>
      <c r="J9" s="993"/>
      <c r="K9" s="993"/>
      <c r="L9" s="993"/>
    </row>
    <row r="10" spans="1:12" s="994" customFormat="1" ht="15.75">
      <c r="A10" s="998">
        <f>+'[3]PPTO VIAS'!B5</f>
        <v>1</v>
      </c>
      <c r="B10" s="999" t="s">
        <v>557</v>
      </c>
      <c r="C10" s="999"/>
      <c r="D10" s="999"/>
      <c r="E10" s="999"/>
      <c r="F10" s="999"/>
      <c r="G10" s="999"/>
      <c r="H10" s="1000">
        <f>SUM(G11:G11)</f>
        <v>45200</v>
      </c>
      <c r="I10" s="993"/>
      <c r="J10" s="993"/>
      <c r="K10" s="993"/>
      <c r="L10" s="993"/>
    </row>
    <row r="11" spans="1:12" s="994" customFormat="1" ht="15.75">
      <c r="A11" s="1020"/>
      <c r="B11" s="1001"/>
      <c r="C11" s="1021" t="s">
        <v>363</v>
      </c>
      <c r="D11" s="1002">
        <v>11300</v>
      </c>
      <c r="E11" s="1002">
        <v>4</v>
      </c>
      <c r="F11" s="1003"/>
      <c r="G11" s="1004">
        <f>ROUND(+D11*E11,2)</f>
        <v>45200</v>
      </c>
      <c r="H11" s="1005"/>
      <c r="I11" s="993"/>
      <c r="J11" s="993"/>
      <c r="K11" s="993"/>
      <c r="L11" s="993"/>
    </row>
    <row r="12" spans="1:12" s="994" customFormat="1" ht="15.75">
      <c r="A12" s="998">
        <f>+'[3]PPTO VIAS'!B6</f>
        <v>2</v>
      </c>
      <c r="B12" s="1022" t="s">
        <v>571</v>
      </c>
      <c r="C12" s="1023"/>
      <c r="D12" s="1023"/>
      <c r="E12" s="1023"/>
      <c r="F12" s="1023"/>
      <c r="G12" s="1024"/>
      <c r="H12" s="1000">
        <f>SUM(G13:G13)</f>
        <v>2260</v>
      </c>
      <c r="I12" s="993"/>
      <c r="J12" s="993"/>
      <c r="K12" s="993"/>
      <c r="L12" s="993"/>
    </row>
    <row r="13" spans="1:12" s="994" customFormat="1" ht="15.75">
      <c r="A13" s="1020"/>
      <c r="B13" s="1001"/>
      <c r="C13" s="1021" t="s">
        <v>581</v>
      </c>
      <c r="D13" s="1002">
        <f>+D11</f>
        <v>11300</v>
      </c>
      <c r="E13" s="1002">
        <f>+E11</f>
        <v>4</v>
      </c>
      <c r="F13" s="1003">
        <v>0.05</v>
      </c>
      <c r="G13" s="1004">
        <f>ROUND(+D13*E13*F13,2)</f>
        <v>2260</v>
      </c>
      <c r="H13" s="1005"/>
      <c r="I13" s="993"/>
      <c r="J13" s="993"/>
      <c r="K13" s="993"/>
      <c r="L13" s="993"/>
    </row>
    <row r="14" spans="1:12" s="977" customFormat="1" ht="31.5">
      <c r="A14" s="1006">
        <f>+'[3]PPTO VIAS'!B7</f>
        <v>3</v>
      </c>
      <c r="B14" s="1007" t="s">
        <v>582</v>
      </c>
      <c r="C14" s="1008"/>
      <c r="D14" s="1008" t="s">
        <v>583</v>
      </c>
      <c r="E14" s="1008" t="s">
        <v>0</v>
      </c>
      <c r="F14" s="1008"/>
      <c r="G14" s="1009"/>
      <c r="H14" s="1000">
        <f>SUM(G15:G15)</f>
        <v>6780</v>
      </c>
    </row>
    <row r="15" spans="1:12" s="977" customFormat="1" ht="15.75">
      <c r="A15" s="1010"/>
      <c r="B15" s="1011"/>
      <c r="C15" s="1012" t="s">
        <v>584</v>
      </c>
      <c r="D15" s="1013">
        <v>3</v>
      </c>
      <c r="E15" s="1002">
        <f>+H12</f>
        <v>2260</v>
      </c>
      <c r="F15" s="1002"/>
      <c r="G15" s="1014">
        <f>+D15*E15</f>
        <v>6780</v>
      </c>
      <c r="H15" s="1005"/>
    </row>
    <row r="16" spans="1:12" s="977" customFormat="1">
      <c r="A16" s="1015"/>
      <c r="B16" s="978"/>
      <c r="C16" s="978"/>
      <c r="D16" s="978"/>
      <c r="E16" s="978"/>
      <c r="F16" s="978"/>
      <c r="G16" s="978"/>
      <c r="H16" s="1016"/>
    </row>
    <row r="17" spans="1:8" s="977" customFormat="1">
      <c r="A17" s="1015"/>
      <c r="B17" s="978"/>
      <c r="C17" s="978"/>
      <c r="D17" s="978"/>
      <c r="E17" s="978"/>
      <c r="F17" s="978"/>
      <c r="G17" s="978"/>
      <c r="H17" s="1016"/>
    </row>
    <row r="18" spans="1:8" s="977" customFormat="1">
      <c r="A18" s="1015"/>
      <c r="B18" s="1017"/>
      <c r="C18" s="1017"/>
      <c r="D18" s="1018"/>
      <c r="E18" s="1018"/>
      <c r="F18" s="1018"/>
      <c r="G18" s="978"/>
      <c r="H18" s="1025"/>
    </row>
  </sheetData>
  <mergeCells count="5">
    <mergeCell ref="B12:G12"/>
    <mergeCell ref="A6:H6"/>
    <mergeCell ref="A8:H8"/>
    <mergeCell ref="B10:G10"/>
    <mergeCell ref="A1:H4"/>
  </mergeCells>
  <printOptions horizontalCentered="1"/>
  <pageMargins left="0.43307086614173229" right="0.23622047244094491" top="0.35433070866141736" bottom="0.35433070866141736" header="0.31496062992125984" footer="0.31496062992125984"/>
  <pageSetup scale="71" fitToWidth="0" fitToHeight="0" orientation="portrait" horizontalDpi="360" verticalDpi="36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313BB-9F0B-4C34-BAD0-218D247E16DA}">
  <sheetPr>
    <pageSetUpPr fitToPage="1"/>
  </sheetPr>
  <dimension ref="A1:I24"/>
  <sheetViews>
    <sheetView zoomScale="55" zoomScaleNormal="55" zoomScaleSheetLayoutView="50" workbookViewId="0">
      <selection activeCell="M14" sqref="M14"/>
    </sheetView>
  </sheetViews>
  <sheetFormatPr baseColWidth="10" defaultRowHeight="40.5" customHeight="1"/>
  <cols>
    <col min="1" max="1" width="9.7109375" style="636" bestFit="1" customWidth="1"/>
    <col min="2" max="2" width="125.7109375" style="636" bestFit="1" customWidth="1"/>
    <col min="3" max="3" width="15" style="637" customWidth="1"/>
    <col min="4" max="4" width="23.28515625" style="637" customWidth="1"/>
    <col min="5" max="5" width="30.7109375" style="636" customWidth="1"/>
    <col min="6" max="6" width="50" style="636" customWidth="1"/>
    <col min="7" max="7" width="11.42578125" style="636"/>
    <col min="8" max="8" width="57.5703125" style="636" customWidth="1"/>
    <col min="9" max="9" width="23.140625" style="636" customWidth="1"/>
    <col min="10" max="10" width="40.7109375" style="636" customWidth="1"/>
    <col min="11" max="15" width="11.42578125" style="636"/>
    <col min="16" max="16" width="27.140625" style="636" customWidth="1"/>
    <col min="17" max="16384" width="11.42578125" style="636"/>
  </cols>
  <sheetData>
    <row r="1" spans="1:9" ht="40.5" customHeight="1">
      <c r="A1" s="787" t="s">
        <v>555</v>
      </c>
      <c r="B1" s="788"/>
      <c r="C1" s="788"/>
      <c r="D1" s="788"/>
      <c r="E1" s="788"/>
      <c r="F1" s="789"/>
    </row>
    <row r="2" spans="1:9" ht="78" customHeight="1" thickBot="1">
      <c r="A2" s="790"/>
      <c r="B2" s="791"/>
      <c r="C2" s="791"/>
      <c r="D2" s="791"/>
      <c r="E2" s="791"/>
      <c r="F2" s="792"/>
    </row>
    <row r="3" spans="1:9" ht="40.5" customHeight="1">
      <c r="A3" s="797" t="s">
        <v>553</v>
      </c>
      <c r="B3" s="799" t="s">
        <v>132</v>
      </c>
      <c r="C3" s="799" t="s">
        <v>544</v>
      </c>
      <c r="D3" s="799"/>
      <c r="E3" s="799"/>
      <c r="F3" s="801"/>
    </row>
    <row r="4" spans="1:9" ht="40.5" customHeight="1">
      <c r="A4" s="798"/>
      <c r="B4" s="800"/>
      <c r="C4" s="646" t="s">
        <v>545</v>
      </c>
      <c r="D4" s="646" t="s">
        <v>546</v>
      </c>
      <c r="E4" s="646" t="s">
        <v>547</v>
      </c>
      <c r="F4" s="647" t="s">
        <v>548</v>
      </c>
    </row>
    <row r="5" spans="1:9" ht="15.75" customHeight="1">
      <c r="A5" s="639"/>
      <c r="B5" s="640"/>
      <c r="C5" s="640"/>
      <c r="D5" s="640"/>
      <c r="E5" s="641"/>
      <c r="F5" s="656"/>
    </row>
    <row r="6" spans="1:9" ht="65.25" customHeight="1">
      <c r="A6" s="648">
        <v>1</v>
      </c>
      <c r="B6" s="649" t="s">
        <v>550</v>
      </c>
      <c r="C6" s="645" t="s">
        <v>77</v>
      </c>
      <c r="D6" s="650">
        <f>11.3*4000</f>
        <v>45200</v>
      </c>
      <c r="E6" s="1035"/>
      <c r="F6" s="657">
        <f>+ROUND((D6*E6),2)</f>
        <v>0</v>
      </c>
    </row>
    <row r="7" spans="1:9" ht="65.25" customHeight="1">
      <c r="A7" s="648">
        <v>2</v>
      </c>
      <c r="B7" s="649" t="s">
        <v>554</v>
      </c>
      <c r="C7" s="644" t="s">
        <v>0</v>
      </c>
      <c r="D7" s="651">
        <f>+D6/20</f>
        <v>2260</v>
      </c>
      <c r="E7" s="1036"/>
      <c r="F7" s="657">
        <f>+ROUND((D7*E7),0)</f>
        <v>0</v>
      </c>
    </row>
    <row r="8" spans="1:9" ht="65.25" customHeight="1">
      <c r="A8" s="648">
        <v>3</v>
      </c>
      <c r="B8" s="649" t="s">
        <v>551</v>
      </c>
      <c r="C8" s="645" t="s">
        <v>549</v>
      </c>
      <c r="D8" s="651">
        <f>+D7*3</f>
        <v>6780</v>
      </c>
      <c r="E8" s="1037"/>
      <c r="F8" s="657">
        <f>+ROUND((D8*E8),0)</f>
        <v>0</v>
      </c>
    </row>
    <row r="9" spans="1:9" ht="51" customHeight="1" thickBot="1">
      <c r="A9" s="652"/>
      <c r="B9" s="653"/>
      <c r="C9" s="1032" t="s">
        <v>552</v>
      </c>
      <c r="D9" s="1033"/>
      <c r="E9" s="1034"/>
      <c r="F9" s="654">
        <f>+F6+F7+F8</f>
        <v>0</v>
      </c>
      <c r="H9" s="1038"/>
    </row>
    <row r="10" spans="1:9" ht="28.5" customHeight="1" thickBot="1">
      <c r="A10" s="802"/>
      <c r="B10" s="795"/>
      <c r="C10" s="795"/>
      <c r="D10" s="795"/>
      <c r="E10" s="795"/>
      <c r="F10" s="803"/>
      <c r="H10" s="1040"/>
    </row>
    <row r="11" spans="1:9" ht="25.5">
      <c r="A11" s="655"/>
      <c r="B11" s="793" t="s">
        <v>588</v>
      </c>
      <c r="C11" s="793"/>
      <c r="D11" s="793"/>
      <c r="E11" s="793"/>
      <c r="F11" s="1030">
        <f>+F9*0.23</f>
        <v>0</v>
      </c>
    </row>
    <row r="12" spans="1:9" ht="28.5" customHeight="1">
      <c r="A12" s="655"/>
      <c r="B12" s="793" t="s">
        <v>589</v>
      </c>
      <c r="C12" s="793"/>
      <c r="D12" s="793"/>
      <c r="E12" s="793"/>
      <c r="F12" s="1030">
        <f>+F9*0.05</f>
        <v>0</v>
      </c>
    </row>
    <row r="13" spans="1:9" ht="28.5" customHeight="1" thickBot="1">
      <c r="A13" s="1026"/>
      <c r="B13" s="1027" t="s">
        <v>590</v>
      </c>
      <c r="C13" s="1028"/>
      <c r="D13" s="1028"/>
      <c r="E13" s="1029"/>
      <c r="F13" s="1031">
        <f>+F9*0.02</f>
        <v>0</v>
      </c>
      <c r="I13" s="1038"/>
    </row>
    <row r="14" spans="1:9" s="638" customFormat="1" ht="30.75" customHeight="1" thickBot="1">
      <c r="A14" s="642"/>
      <c r="B14" s="794" t="s">
        <v>587</v>
      </c>
      <c r="C14" s="795"/>
      <c r="D14" s="795"/>
      <c r="E14" s="796"/>
      <c r="F14" s="643">
        <f>SUM(F9:F13)</f>
        <v>0</v>
      </c>
    </row>
    <row r="15" spans="1:9" ht="40.5" customHeight="1">
      <c r="H15" s="1041"/>
    </row>
    <row r="17" spans="6:8" ht="40.5" customHeight="1">
      <c r="F17" s="1038"/>
    </row>
    <row r="20" spans="6:8" ht="40.5" customHeight="1">
      <c r="H20" s="1041"/>
    </row>
    <row r="24" spans="6:8" ht="40.5" customHeight="1">
      <c r="F24" s="1039"/>
    </row>
  </sheetData>
  <mergeCells count="9">
    <mergeCell ref="B11:E11"/>
    <mergeCell ref="B12:E12"/>
    <mergeCell ref="B14:E14"/>
    <mergeCell ref="A1:F2"/>
    <mergeCell ref="A3:A4"/>
    <mergeCell ref="B3:B4"/>
    <mergeCell ref="C3:F3"/>
    <mergeCell ref="C9:E9"/>
    <mergeCell ref="A10:F10"/>
  </mergeCells>
  <pageMargins left="0.70866141732283472" right="0.70866141732283472" top="1.3385826771653544" bottom="0.74803149606299213" header="0.31496062992125984" footer="0.31496062992125984"/>
  <pageSetup scale="4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9" tint="0.59999389629810485"/>
  </sheetPr>
  <dimension ref="C1:Y61"/>
  <sheetViews>
    <sheetView view="pageBreakPreview" zoomScale="40" zoomScaleNormal="60" zoomScaleSheetLayoutView="40" workbookViewId="0">
      <selection activeCell="I14" sqref="I14:O15"/>
    </sheetView>
  </sheetViews>
  <sheetFormatPr baseColWidth="10" defaultColWidth="11.42578125" defaultRowHeight="15.75"/>
  <cols>
    <col min="1" max="1" width="16" style="555" customWidth="1"/>
    <col min="2" max="2" width="5.7109375" style="555" customWidth="1"/>
    <col min="3" max="3" width="14.42578125" style="555" customWidth="1"/>
    <col min="4" max="4" width="22.42578125" style="555" customWidth="1"/>
    <col min="5" max="5" width="17.5703125" style="555" customWidth="1"/>
    <col min="6" max="6" width="34.7109375" style="555" customWidth="1"/>
    <col min="7" max="7" width="32.28515625" style="555" customWidth="1"/>
    <col min="8" max="8" width="50.28515625" style="555" customWidth="1"/>
    <col min="9" max="9" width="17.28515625" style="555" customWidth="1"/>
    <col min="10" max="10" width="15.42578125" style="555" customWidth="1"/>
    <col min="11" max="11" width="15.28515625" style="555" customWidth="1"/>
    <col min="12" max="12" width="21.28515625" style="555" customWidth="1"/>
    <col min="13" max="13" width="18" style="555" customWidth="1"/>
    <col min="14" max="14" width="20.7109375" style="560" customWidth="1"/>
    <col min="15" max="15" width="19.28515625" style="561" customWidth="1"/>
    <col min="16" max="16" width="5.7109375" style="555" customWidth="1"/>
    <col min="17" max="17" width="11.42578125" style="555"/>
    <col min="18" max="18" width="73.28515625" style="555" bestFit="1" customWidth="1"/>
    <col min="19" max="16384" width="11.42578125" style="555"/>
  </cols>
  <sheetData>
    <row r="1" spans="3:25" ht="16.5" thickBot="1"/>
    <row r="2" spans="3:25" ht="21.75" customHeight="1">
      <c r="C2" s="847"/>
      <c r="D2" s="848"/>
      <c r="E2" s="849"/>
      <c r="F2" s="853" t="s">
        <v>518</v>
      </c>
      <c r="G2" s="853"/>
      <c r="H2" s="853"/>
      <c r="I2" s="853"/>
      <c r="J2" s="853"/>
      <c r="K2" s="854"/>
      <c r="L2" s="878"/>
      <c r="M2" s="853"/>
      <c r="N2" s="857" t="s">
        <v>523</v>
      </c>
      <c r="O2" s="858"/>
    </row>
    <row r="3" spans="3:25" ht="57" customHeight="1" thickBot="1">
      <c r="C3" s="850"/>
      <c r="D3" s="851"/>
      <c r="E3" s="852"/>
      <c r="F3" s="855"/>
      <c r="G3" s="855"/>
      <c r="H3" s="855"/>
      <c r="I3" s="855"/>
      <c r="J3" s="855"/>
      <c r="K3" s="856"/>
      <c r="L3" s="879"/>
      <c r="M3" s="855"/>
      <c r="N3" s="859" t="s">
        <v>524</v>
      </c>
      <c r="O3" s="860"/>
    </row>
    <row r="4" spans="3:25" ht="19.5" customHeight="1">
      <c r="C4" s="850"/>
      <c r="D4" s="851"/>
      <c r="E4" s="852"/>
      <c r="F4" s="601" t="s">
        <v>507</v>
      </c>
      <c r="G4" s="861" t="s">
        <v>525</v>
      </c>
      <c r="H4" s="862"/>
      <c r="I4" s="861"/>
      <c r="J4" s="861"/>
      <c r="K4" s="863" t="s">
        <v>528</v>
      </c>
      <c r="L4" s="864"/>
      <c r="M4" s="864"/>
      <c r="N4" s="864"/>
      <c r="O4" s="865"/>
    </row>
    <row r="5" spans="3:25" ht="19.5" customHeight="1">
      <c r="C5" s="850"/>
      <c r="D5" s="851"/>
      <c r="E5" s="852"/>
      <c r="F5" s="602" t="s">
        <v>526</v>
      </c>
      <c r="G5" s="872" t="e">
        <f>#REF!</f>
        <v>#REF!</v>
      </c>
      <c r="H5" s="873"/>
      <c r="I5" s="872"/>
      <c r="J5" s="872"/>
      <c r="K5" s="866"/>
      <c r="L5" s="867"/>
      <c r="M5" s="867"/>
      <c r="N5" s="867"/>
      <c r="O5" s="868"/>
    </row>
    <row r="6" spans="3:25" ht="19.5" customHeight="1" thickBot="1">
      <c r="C6" s="839"/>
      <c r="D6" s="840"/>
      <c r="E6" s="841"/>
      <c r="F6" s="602" t="s">
        <v>527</v>
      </c>
      <c r="G6" s="872" t="e">
        <f>#REF!</f>
        <v>#REF!</v>
      </c>
      <c r="H6" s="873"/>
      <c r="I6" s="872"/>
      <c r="J6" s="872"/>
      <c r="K6" s="866"/>
      <c r="L6" s="867"/>
      <c r="M6" s="867"/>
      <c r="N6" s="867"/>
      <c r="O6" s="868"/>
    </row>
    <row r="7" spans="3:25" ht="51" customHeight="1">
      <c r="C7" s="874" t="s">
        <v>517</v>
      </c>
      <c r="D7" s="875"/>
      <c r="E7" s="875"/>
      <c r="F7" s="876"/>
      <c r="G7" s="876"/>
      <c r="H7" s="877"/>
      <c r="I7" s="876"/>
      <c r="J7" s="876"/>
      <c r="K7" s="869"/>
      <c r="L7" s="870"/>
      <c r="M7" s="870"/>
      <c r="N7" s="870"/>
      <c r="O7" s="871"/>
    </row>
    <row r="8" spans="3:25" ht="18" customHeight="1">
      <c r="C8" s="880" t="e">
        <f>#REF!</f>
        <v>#REF!</v>
      </c>
      <c r="D8" s="861"/>
      <c r="E8" s="861"/>
      <c r="F8" s="861"/>
      <c r="G8" s="883" t="s">
        <v>508</v>
      </c>
      <c r="H8" s="888" t="e">
        <f>#REF!</f>
        <v>#REF!</v>
      </c>
      <c r="I8" s="888"/>
      <c r="J8" s="889"/>
      <c r="K8" s="861" t="s">
        <v>519</v>
      </c>
      <c r="L8" s="885"/>
      <c r="M8" s="861"/>
      <c r="N8" s="861"/>
      <c r="O8" s="886"/>
    </row>
    <row r="9" spans="3:25" ht="18.75" customHeight="1" thickBot="1">
      <c r="C9" s="881"/>
      <c r="D9" s="882"/>
      <c r="E9" s="882"/>
      <c r="F9" s="882"/>
      <c r="G9" s="884"/>
      <c r="H9" s="888"/>
      <c r="I9" s="888"/>
      <c r="J9" s="890"/>
      <c r="K9" s="882" t="s">
        <v>509</v>
      </c>
      <c r="L9" s="887"/>
      <c r="M9" s="882"/>
      <c r="N9" s="882"/>
      <c r="O9" s="562" t="s">
        <v>520</v>
      </c>
    </row>
    <row r="10" spans="3:25" ht="19.5" thickBot="1">
      <c r="C10" s="839"/>
      <c r="D10" s="840"/>
      <c r="E10" s="840"/>
      <c r="F10" s="840"/>
      <c r="G10" s="840"/>
      <c r="H10" s="840"/>
      <c r="I10" s="840"/>
      <c r="J10" s="840"/>
      <c r="K10" s="840"/>
      <c r="L10" s="840"/>
      <c r="M10" s="840"/>
      <c r="N10" s="840"/>
      <c r="O10" s="841"/>
    </row>
    <row r="11" spans="3:25" ht="18">
      <c r="C11" s="842" t="s">
        <v>510</v>
      </c>
      <c r="D11" s="843"/>
      <c r="E11" s="843"/>
      <c r="F11" s="843"/>
      <c r="G11" s="844" t="s">
        <v>511</v>
      </c>
      <c r="H11" s="844"/>
      <c r="I11" s="844"/>
      <c r="J11" s="844"/>
      <c r="K11" s="844"/>
      <c r="L11" s="844"/>
      <c r="M11" s="844"/>
      <c r="N11" s="844"/>
      <c r="O11" s="845"/>
    </row>
    <row r="12" spans="3:25" ht="45" customHeight="1" thickBot="1">
      <c r="C12" s="563" t="s">
        <v>512</v>
      </c>
      <c r="D12" s="564" t="s">
        <v>34</v>
      </c>
      <c r="E12" s="846" t="s">
        <v>513</v>
      </c>
      <c r="F12" s="846"/>
      <c r="G12" s="832" t="e">
        <f>C13</f>
        <v>#REF!</v>
      </c>
      <c r="H12" s="838" t="e">
        <f>#REF!</f>
        <v>#REF!</v>
      </c>
      <c r="I12" s="838"/>
      <c r="J12" s="838"/>
      <c r="K12" s="838"/>
      <c r="L12" s="838"/>
      <c r="M12" s="838"/>
      <c r="N12" s="838"/>
      <c r="O12" s="834" t="e">
        <f>D13</f>
        <v>#REF!</v>
      </c>
    </row>
    <row r="13" spans="3:25" ht="18.75" thickBot="1">
      <c r="C13" s="603" t="e">
        <f>#REF!</f>
        <v>#REF!</v>
      </c>
      <c r="D13" s="604" t="e">
        <f>#REF!</f>
        <v>#REF!</v>
      </c>
      <c r="E13" s="836">
        <v>1</v>
      </c>
      <c r="F13" s="837"/>
      <c r="G13" s="833"/>
      <c r="H13" s="833"/>
      <c r="I13" s="833"/>
      <c r="J13" s="833"/>
      <c r="K13" s="833"/>
      <c r="L13" s="833"/>
      <c r="M13" s="833"/>
      <c r="N13" s="833"/>
      <c r="O13" s="835"/>
    </row>
    <row r="14" spans="3:25" ht="19.5" thickBot="1">
      <c r="C14" s="806" t="s">
        <v>531</v>
      </c>
      <c r="D14" s="807"/>
      <c r="E14" s="807"/>
      <c r="F14" s="808"/>
      <c r="G14" s="630" t="s">
        <v>514</v>
      </c>
      <c r="H14" s="631"/>
      <c r="I14" s="631"/>
      <c r="J14" s="632"/>
      <c r="K14" s="633" t="s">
        <v>515</v>
      </c>
      <c r="L14" s="635"/>
      <c r="M14" s="634"/>
      <c r="N14" s="809" t="s">
        <v>521</v>
      </c>
      <c r="O14" s="830" t="s">
        <v>407</v>
      </c>
    </row>
    <row r="15" spans="3:25" ht="34.5" customHeight="1" thickBot="1">
      <c r="C15" s="565"/>
      <c r="D15" s="566"/>
      <c r="E15" s="566"/>
      <c r="F15" s="566"/>
      <c r="G15" s="624" t="str">
        <f>G4</f>
        <v>PLACA HUELLAS EN EL SUR DEL HUILA</v>
      </c>
      <c r="H15" s="624" t="s">
        <v>532</v>
      </c>
      <c r="I15" s="625" t="s">
        <v>522</v>
      </c>
      <c r="J15" s="617" t="s">
        <v>506</v>
      </c>
      <c r="K15" s="615" t="s">
        <v>505</v>
      </c>
      <c r="L15" s="616" t="s">
        <v>535</v>
      </c>
      <c r="M15" s="616" t="s">
        <v>534</v>
      </c>
      <c r="N15" s="810"/>
      <c r="O15" s="831"/>
    </row>
    <row r="16" spans="3:25" ht="18.75">
      <c r="C16" s="565"/>
      <c r="D16" s="566"/>
      <c r="E16" s="566"/>
      <c r="F16" s="566"/>
      <c r="G16" s="605"/>
      <c r="H16" s="626"/>
      <c r="I16" s="606"/>
      <c r="J16" s="607"/>
      <c r="K16" s="608"/>
      <c r="L16" s="609"/>
      <c r="M16" s="609"/>
      <c r="N16" s="610"/>
      <c r="O16" s="611"/>
      <c r="R16" s="556"/>
      <c r="V16" s="557"/>
      <c r="W16" s="557"/>
      <c r="X16" s="558"/>
      <c r="Y16" s="557"/>
    </row>
    <row r="17" spans="3:25" ht="18.75">
      <c r="C17" s="565"/>
      <c r="D17" s="566"/>
      <c r="E17" s="566"/>
      <c r="F17" s="566"/>
      <c r="G17" s="568" t="s">
        <v>536</v>
      </c>
      <c r="H17" s="627"/>
      <c r="I17" s="569" t="s">
        <v>537</v>
      </c>
      <c r="J17" s="569">
        <v>3.3</v>
      </c>
      <c r="K17" s="570">
        <v>6</v>
      </c>
      <c r="L17" s="570">
        <v>94</v>
      </c>
      <c r="M17" s="570">
        <v>2</v>
      </c>
      <c r="N17" s="572">
        <v>0.99399999999999999</v>
      </c>
      <c r="O17" s="573">
        <f>J17*K17*L17*M17*N17</f>
        <v>3700.0655999999994</v>
      </c>
      <c r="V17" s="557"/>
      <c r="W17" s="557"/>
      <c r="X17" s="558"/>
      <c r="Y17" s="557"/>
    </row>
    <row r="18" spans="3:25" ht="18.75">
      <c r="C18" s="565"/>
      <c r="D18" s="566"/>
      <c r="E18" s="566"/>
      <c r="F18" s="566"/>
      <c r="G18" s="568"/>
      <c r="H18" s="627"/>
      <c r="I18" s="569" t="s">
        <v>538</v>
      </c>
      <c r="J18" s="569">
        <v>0.8</v>
      </c>
      <c r="K18" s="570">
        <v>10</v>
      </c>
      <c r="L18" s="570">
        <v>94</v>
      </c>
      <c r="M18" s="570">
        <v>2</v>
      </c>
      <c r="N18" s="572">
        <v>0.25</v>
      </c>
      <c r="O18" s="573">
        <f t="shared" ref="O18:O24" si="0">J18*K18*L18*M18*N18</f>
        <v>376</v>
      </c>
      <c r="V18" s="557"/>
      <c r="W18" s="557"/>
      <c r="X18" s="558"/>
      <c r="Y18" s="557"/>
    </row>
    <row r="19" spans="3:25" ht="18.75">
      <c r="C19" s="565"/>
      <c r="D19" s="566"/>
      <c r="E19" s="566"/>
      <c r="F19" s="566"/>
      <c r="G19" s="568" t="s">
        <v>539</v>
      </c>
      <c r="H19" s="627"/>
      <c r="I19" s="569" t="s">
        <v>537</v>
      </c>
      <c r="J19" s="569">
        <f>4.5-0.1</f>
        <v>4.4000000000000004</v>
      </c>
      <c r="K19" s="570">
        <v>4</v>
      </c>
      <c r="L19" s="571">
        <v>95</v>
      </c>
      <c r="M19" s="571">
        <v>1</v>
      </c>
      <c r="N19" s="572">
        <v>0.99399999999999999</v>
      </c>
      <c r="O19" s="573">
        <f t="shared" si="0"/>
        <v>1661.9680000000003</v>
      </c>
      <c r="V19" s="557"/>
      <c r="W19" s="557"/>
      <c r="X19" s="558"/>
      <c r="Y19" s="557"/>
    </row>
    <row r="20" spans="3:25" ht="18.75">
      <c r="C20" s="565"/>
      <c r="D20" s="566"/>
      <c r="E20" s="566"/>
      <c r="F20" s="566"/>
      <c r="G20" s="568"/>
      <c r="H20" s="627"/>
      <c r="I20" s="569" t="s">
        <v>538</v>
      </c>
      <c r="J20" s="569">
        <v>0.78</v>
      </c>
      <c r="K20" s="570">
        <v>27</v>
      </c>
      <c r="L20" s="571">
        <v>95</v>
      </c>
      <c r="M20" s="571">
        <v>1</v>
      </c>
      <c r="N20" s="572">
        <v>0.25</v>
      </c>
      <c r="O20" s="573">
        <f t="shared" si="0"/>
        <v>500.17500000000007</v>
      </c>
      <c r="V20" s="557"/>
      <c r="W20" s="557"/>
      <c r="X20" s="558"/>
      <c r="Y20" s="557"/>
    </row>
    <row r="21" spans="3:25" ht="18.75">
      <c r="C21" s="565"/>
      <c r="D21" s="566"/>
      <c r="E21" s="566"/>
      <c r="F21" s="566"/>
      <c r="G21" s="578" t="s">
        <v>540</v>
      </c>
      <c r="H21" s="628"/>
      <c r="I21" s="569" t="s">
        <v>537</v>
      </c>
      <c r="J21" s="569">
        <v>3.3</v>
      </c>
      <c r="K21" s="570">
        <v>5</v>
      </c>
      <c r="L21" s="570">
        <v>94</v>
      </c>
      <c r="M21" s="570">
        <v>2</v>
      </c>
      <c r="N21" s="572">
        <v>0.99399999999999999</v>
      </c>
      <c r="O21" s="573">
        <f t="shared" si="0"/>
        <v>3083.3879999999999</v>
      </c>
      <c r="V21" s="557"/>
      <c r="W21" s="557"/>
      <c r="X21" s="558"/>
      <c r="Y21" s="557"/>
    </row>
    <row r="22" spans="3:25" ht="18.75">
      <c r="C22" s="565"/>
      <c r="D22" s="566"/>
      <c r="E22" s="566"/>
      <c r="F22" s="566"/>
      <c r="G22" s="578"/>
      <c r="H22" s="628"/>
      <c r="I22" s="569" t="s">
        <v>538</v>
      </c>
      <c r="J22" s="569">
        <v>1</v>
      </c>
      <c r="K22" s="570">
        <v>10</v>
      </c>
      <c r="L22" s="570">
        <v>94</v>
      </c>
      <c r="M22" s="570">
        <v>2</v>
      </c>
      <c r="N22" s="572">
        <v>0.25</v>
      </c>
      <c r="O22" s="573">
        <f t="shared" si="0"/>
        <v>470</v>
      </c>
      <c r="V22" s="557"/>
      <c r="W22" s="557"/>
      <c r="X22" s="558"/>
      <c r="Y22" s="557"/>
    </row>
    <row r="23" spans="3:25" ht="18.75">
      <c r="C23" s="565"/>
      <c r="D23" s="566"/>
      <c r="E23" s="566"/>
      <c r="F23" s="566"/>
      <c r="G23" s="578" t="s">
        <v>541</v>
      </c>
      <c r="H23" s="628"/>
      <c r="I23" s="629" t="s">
        <v>542</v>
      </c>
      <c r="J23" s="569">
        <v>0.6</v>
      </c>
      <c r="K23" s="570">
        <v>934</v>
      </c>
      <c r="L23" s="570">
        <v>2</v>
      </c>
      <c r="M23" s="570">
        <v>1</v>
      </c>
      <c r="N23" s="572">
        <v>0.56000000000000005</v>
      </c>
      <c r="O23" s="573">
        <f t="shared" si="0"/>
        <v>627.64800000000002</v>
      </c>
      <c r="V23" s="557"/>
      <c r="W23" s="557"/>
      <c r="X23" s="558"/>
      <c r="Y23" s="557"/>
    </row>
    <row r="24" spans="3:25" ht="18.75">
      <c r="C24" s="565"/>
      <c r="D24" s="566"/>
      <c r="E24" s="566"/>
      <c r="F24" s="566"/>
      <c r="G24" s="578"/>
      <c r="H24" s="628"/>
      <c r="I24" s="569" t="s">
        <v>538</v>
      </c>
      <c r="J24" s="569">
        <v>280</v>
      </c>
      <c r="K24" s="570">
        <v>2</v>
      </c>
      <c r="L24" s="570">
        <v>1</v>
      </c>
      <c r="M24" s="570">
        <v>1</v>
      </c>
      <c r="N24" s="572">
        <v>0.25</v>
      </c>
      <c r="O24" s="573">
        <f t="shared" si="0"/>
        <v>140</v>
      </c>
      <c r="V24" s="557"/>
      <c r="W24" s="557"/>
      <c r="X24" s="558"/>
      <c r="Y24" s="557"/>
    </row>
    <row r="25" spans="3:25" ht="18.75">
      <c r="C25" s="565"/>
      <c r="D25" s="566"/>
      <c r="E25" s="566"/>
      <c r="F25" s="566"/>
      <c r="G25" s="578"/>
      <c r="H25" s="628"/>
      <c r="I25" s="569"/>
      <c r="J25" s="569"/>
      <c r="K25" s="570"/>
      <c r="L25" s="570"/>
      <c r="M25" s="570"/>
      <c r="N25" s="572"/>
      <c r="O25" s="573"/>
      <c r="V25" s="557"/>
      <c r="W25" s="557"/>
      <c r="X25" s="558"/>
      <c r="Y25" s="557"/>
    </row>
    <row r="26" spans="3:25" ht="18.75">
      <c r="C26" s="565"/>
      <c r="D26" s="566"/>
      <c r="E26" s="566"/>
      <c r="F26" s="566"/>
      <c r="G26" s="578"/>
      <c r="H26" s="628"/>
      <c r="I26" s="569"/>
      <c r="J26" s="569"/>
      <c r="K26" s="570"/>
      <c r="L26" s="570"/>
      <c r="M26" s="570"/>
      <c r="N26" s="572"/>
      <c r="O26" s="573"/>
      <c r="V26" s="557"/>
      <c r="W26" s="557"/>
      <c r="X26" s="558"/>
      <c r="Y26" s="557"/>
    </row>
    <row r="27" spans="3:25" ht="18.75">
      <c r="C27" s="565"/>
      <c r="D27" s="566"/>
      <c r="E27" s="566"/>
      <c r="F27" s="566"/>
      <c r="G27" s="578"/>
      <c r="H27" s="628"/>
      <c r="I27" s="569"/>
      <c r="J27" s="569"/>
      <c r="K27" s="570"/>
      <c r="L27" s="570"/>
      <c r="M27" s="570"/>
      <c r="N27" s="572"/>
      <c r="O27" s="573"/>
      <c r="V27" s="557"/>
      <c r="W27" s="557"/>
      <c r="X27" s="558"/>
      <c r="Y27" s="557"/>
    </row>
    <row r="28" spans="3:25" ht="18.75">
      <c r="C28" s="565"/>
      <c r="D28" s="566"/>
      <c r="E28" s="566"/>
      <c r="F28" s="566"/>
      <c r="G28" s="578"/>
      <c r="H28" s="628"/>
      <c r="I28" s="579"/>
      <c r="J28" s="579"/>
      <c r="K28" s="570"/>
      <c r="L28" s="577"/>
      <c r="M28" s="577"/>
      <c r="N28" s="575"/>
      <c r="O28" s="573"/>
      <c r="V28" s="557"/>
      <c r="W28" s="557"/>
      <c r="X28" s="558"/>
      <c r="Y28" s="557"/>
    </row>
    <row r="29" spans="3:25" ht="18.75">
      <c r="C29" s="565"/>
      <c r="D29" s="566"/>
      <c r="E29" s="566"/>
      <c r="F29" s="566"/>
      <c r="G29" s="578"/>
      <c r="H29" s="628"/>
      <c r="I29" s="579"/>
      <c r="J29" s="579"/>
      <c r="K29" s="570"/>
      <c r="L29" s="577"/>
      <c r="M29" s="577"/>
      <c r="N29" s="575"/>
      <c r="O29" s="576"/>
      <c r="V29" s="557"/>
      <c r="W29" s="557"/>
      <c r="X29" s="558"/>
      <c r="Y29" s="557"/>
    </row>
    <row r="30" spans="3:25" ht="19.5" thickBot="1">
      <c r="C30" s="565"/>
      <c r="D30" s="566"/>
      <c r="E30" s="566"/>
      <c r="F30" s="566"/>
      <c r="G30" s="568"/>
      <c r="H30" s="627"/>
      <c r="I30" s="574"/>
      <c r="J30" s="574"/>
      <c r="K30" s="577"/>
      <c r="L30" s="567"/>
      <c r="M30" s="567"/>
      <c r="N30" s="618"/>
      <c r="O30" s="613"/>
      <c r="V30" s="557"/>
      <c r="W30" s="557"/>
      <c r="X30" s="558"/>
      <c r="Y30" s="557"/>
    </row>
    <row r="31" spans="3:25" ht="19.5" thickBot="1">
      <c r="C31" s="565"/>
      <c r="D31" s="580"/>
      <c r="E31" s="580"/>
      <c r="F31" s="580"/>
      <c r="G31" s="620"/>
      <c r="H31" s="621"/>
      <c r="I31" s="621"/>
      <c r="J31" s="621"/>
      <c r="K31" s="622"/>
      <c r="L31" s="622"/>
      <c r="M31" s="622"/>
      <c r="N31" s="623" t="s">
        <v>210</v>
      </c>
      <c r="O31" s="614">
        <f>SUM(O17:O30)</f>
        <v>10559.2446</v>
      </c>
      <c r="R31" s="556"/>
      <c r="V31" s="557"/>
      <c r="W31" s="557"/>
      <c r="X31" s="558"/>
      <c r="Y31" s="557"/>
    </row>
    <row r="32" spans="3:25" ht="19.5" thickBot="1">
      <c r="C32" s="565"/>
      <c r="D32" s="580"/>
      <c r="E32" s="580"/>
      <c r="F32" s="580"/>
      <c r="G32" s="811"/>
      <c r="H32" s="812"/>
      <c r="I32" s="812"/>
      <c r="J32" s="812"/>
      <c r="K32" s="812"/>
      <c r="L32" s="812"/>
      <c r="M32" s="812"/>
      <c r="N32" s="813"/>
      <c r="O32" s="619"/>
    </row>
    <row r="33" spans="3:25" ht="19.5" thickBot="1">
      <c r="C33" s="565"/>
      <c r="D33" s="580"/>
      <c r="E33" s="580"/>
      <c r="F33" s="580"/>
      <c r="G33" s="814" t="s">
        <v>516</v>
      </c>
      <c r="H33" s="815"/>
      <c r="I33" s="815"/>
      <c r="J33" s="815"/>
      <c r="K33" s="816"/>
      <c r="L33" s="816"/>
      <c r="M33" s="816"/>
      <c r="N33" s="817"/>
      <c r="O33" s="612">
        <f>SUM(O31)</f>
        <v>10559.2446</v>
      </c>
      <c r="R33" s="559"/>
      <c r="S33" s="560"/>
      <c r="T33" s="560"/>
      <c r="U33" s="560"/>
      <c r="V33" s="560"/>
      <c r="W33" s="560"/>
      <c r="X33" s="560"/>
      <c r="Y33" s="560"/>
    </row>
    <row r="34" spans="3:25" ht="19.5" thickBot="1">
      <c r="C34" s="565"/>
      <c r="D34" s="580"/>
      <c r="E34" s="580"/>
      <c r="F34" s="581"/>
      <c r="G34" s="818" t="s">
        <v>543</v>
      </c>
      <c r="H34" s="819"/>
      <c r="I34" s="819"/>
      <c r="J34" s="819"/>
      <c r="K34" s="819"/>
      <c r="L34" s="819"/>
      <c r="M34" s="819"/>
      <c r="N34" s="819"/>
      <c r="O34" s="820"/>
      <c r="V34" s="557"/>
      <c r="W34" s="557"/>
      <c r="X34" s="558"/>
      <c r="Y34" s="557"/>
    </row>
    <row r="35" spans="3:25" ht="18.75">
      <c r="C35" s="565"/>
      <c r="D35" s="580"/>
      <c r="E35" s="580"/>
      <c r="F35" s="581"/>
      <c r="G35" s="583"/>
      <c r="H35" s="584"/>
      <c r="I35" s="584"/>
      <c r="J35" s="584"/>
      <c r="K35" s="566"/>
      <c r="L35" s="566"/>
      <c r="M35" s="566"/>
      <c r="N35" s="580"/>
      <c r="O35" s="582"/>
      <c r="V35" s="557"/>
      <c r="W35" s="557"/>
      <c r="X35" s="558"/>
      <c r="Y35" s="557"/>
    </row>
    <row r="36" spans="3:25" ht="18.75">
      <c r="C36" s="565"/>
      <c r="D36" s="580"/>
      <c r="E36" s="580"/>
      <c r="F36" s="581"/>
      <c r="G36" s="583"/>
      <c r="H36" s="584"/>
      <c r="I36" s="584"/>
      <c r="J36" s="584"/>
      <c r="K36" s="566"/>
      <c r="L36" s="566"/>
      <c r="M36" s="566"/>
      <c r="N36" s="580"/>
      <c r="O36" s="582"/>
      <c r="V36" s="557"/>
      <c r="W36" s="557"/>
      <c r="X36" s="558"/>
      <c r="Y36" s="557"/>
    </row>
    <row r="37" spans="3:25" ht="18.75">
      <c r="C37" s="565"/>
      <c r="D37" s="580"/>
      <c r="E37" s="580"/>
      <c r="F37" s="581"/>
      <c r="G37" s="583"/>
      <c r="H37" s="584"/>
      <c r="I37" s="584"/>
      <c r="J37" s="584"/>
      <c r="K37" s="566"/>
      <c r="L37" s="566"/>
      <c r="M37" s="566"/>
      <c r="N37" s="580"/>
      <c r="O37" s="582"/>
      <c r="V37" s="557"/>
      <c r="W37" s="557"/>
      <c r="X37" s="558"/>
      <c r="Y37" s="557"/>
    </row>
    <row r="38" spans="3:25" ht="18.75">
      <c r="C38" s="565"/>
      <c r="D38" s="580"/>
      <c r="E38" s="580"/>
      <c r="F38" s="581"/>
      <c r="G38" s="583"/>
      <c r="H38" s="584"/>
      <c r="I38" s="584"/>
      <c r="J38" s="584"/>
      <c r="K38" s="566"/>
      <c r="L38" s="566"/>
      <c r="M38" s="566"/>
      <c r="N38" s="580"/>
      <c r="O38" s="582"/>
      <c r="W38" s="557"/>
      <c r="X38" s="558"/>
      <c r="Y38" s="557"/>
    </row>
    <row r="39" spans="3:25" ht="18.75">
      <c r="C39" s="565"/>
      <c r="D39" s="580"/>
      <c r="E39" s="580"/>
      <c r="F39" s="581"/>
      <c r="G39" s="583"/>
      <c r="H39" s="584"/>
      <c r="I39" s="584"/>
      <c r="J39" s="584"/>
      <c r="K39" s="566"/>
      <c r="L39" s="566"/>
      <c r="M39" s="566"/>
      <c r="N39" s="580"/>
      <c r="O39" s="582"/>
      <c r="V39" s="557"/>
      <c r="W39" s="557"/>
      <c r="X39" s="558"/>
      <c r="Y39" s="557"/>
    </row>
    <row r="40" spans="3:25" ht="18.75">
      <c r="C40" s="565"/>
      <c r="D40" s="580"/>
      <c r="E40" s="580"/>
      <c r="F40" s="581"/>
      <c r="G40" s="583"/>
      <c r="H40" s="584"/>
      <c r="I40" s="584"/>
      <c r="J40" s="584"/>
      <c r="K40" s="566"/>
      <c r="L40" s="566"/>
      <c r="M40" s="566"/>
      <c r="N40" s="580"/>
      <c r="O40" s="582"/>
      <c r="V40" s="557"/>
      <c r="W40" s="557"/>
      <c r="X40" s="558"/>
      <c r="Y40" s="557"/>
    </row>
    <row r="41" spans="3:25" ht="18.75">
      <c r="C41" s="565"/>
      <c r="D41" s="580"/>
      <c r="E41" s="580"/>
      <c r="F41" s="581"/>
      <c r="G41" s="583"/>
      <c r="H41" s="584"/>
      <c r="I41" s="584"/>
      <c r="J41" s="584"/>
      <c r="K41" s="566"/>
      <c r="L41" s="566"/>
      <c r="M41" s="566"/>
      <c r="N41" s="580"/>
      <c r="O41" s="582"/>
      <c r="V41" s="557"/>
      <c r="W41" s="557"/>
      <c r="X41" s="558"/>
      <c r="Y41" s="557"/>
    </row>
    <row r="42" spans="3:25" ht="18.75">
      <c r="C42" s="565"/>
      <c r="D42" s="580"/>
      <c r="E42" s="580"/>
      <c r="F42" s="581"/>
      <c r="G42" s="583"/>
      <c r="H42" s="584"/>
      <c r="I42" s="584"/>
      <c r="J42" s="584"/>
      <c r="K42" s="566"/>
      <c r="L42" s="566"/>
      <c r="M42" s="566"/>
      <c r="N42" s="580"/>
      <c r="O42" s="582"/>
      <c r="V42" s="557"/>
      <c r="W42" s="557"/>
      <c r="X42" s="558"/>
      <c r="Y42" s="557"/>
    </row>
    <row r="43" spans="3:25" ht="18.75">
      <c r="C43" s="565"/>
      <c r="D43" s="580"/>
      <c r="E43" s="580"/>
      <c r="F43" s="581"/>
      <c r="G43" s="583"/>
      <c r="H43" s="584"/>
      <c r="I43" s="584"/>
      <c r="J43" s="584"/>
      <c r="K43" s="566"/>
      <c r="L43" s="566"/>
      <c r="M43" s="566"/>
      <c r="N43" s="580"/>
      <c r="O43" s="582"/>
      <c r="V43" s="557"/>
      <c r="W43" s="557"/>
      <c r="X43" s="558"/>
      <c r="Y43" s="557"/>
    </row>
    <row r="44" spans="3:25" ht="18.75">
      <c r="C44" s="565"/>
      <c r="D44" s="580"/>
      <c r="E44" s="580"/>
      <c r="F44" s="581"/>
      <c r="G44" s="583"/>
      <c r="H44" s="584"/>
      <c r="I44" s="584"/>
      <c r="J44" s="584"/>
      <c r="K44" s="566"/>
      <c r="L44" s="566"/>
      <c r="M44" s="566"/>
      <c r="N44" s="580"/>
      <c r="O44" s="582"/>
      <c r="W44" s="557"/>
      <c r="X44" s="558"/>
      <c r="Y44" s="557"/>
    </row>
    <row r="45" spans="3:25" ht="18.75">
      <c r="C45" s="565"/>
      <c r="D45" s="580"/>
      <c r="E45" s="580"/>
      <c r="F45" s="581"/>
      <c r="G45" s="583"/>
      <c r="H45" s="584"/>
      <c r="I45" s="584"/>
      <c r="J45" s="584"/>
      <c r="K45" s="566"/>
      <c r="L45" s="566"/>
      <c r="M45" s="566"/>
      <c r="N45" s="580"/>
      <c r="O45" s="582"/>
      <c r="V45" s="557"/>
      <c r="W45" s="557"/>
      <c r="X45" s="558"/>
      <c r="Y45" s="557"/>
    </row>
    <row r="46" spans="3:25" ht="18.75">
      <c r="C46" s="565"/>
      <c r="D46" s="580"/>
      <c r="E46" s="580"/>
      <c r="F46" s="581"/>
      <c r="G46" s="583"/>
      <c r="H46" s="584"/>
      <c r="I46" s="584"/>
      <c r="J46" s="584"/>
      <c r="K46" s="566"/>
      <c r="L46" s="566"/>
      <c r="M46" s="566"/>
      <c r="N46" s="580"/>
      <c r="O46" s="582"/>
      <c r="R46" s="556"/>
      <c r="Y46" s="557"/>
    </row>
    <row r="47" spans="3:25" ht="18.75">
      <c r="C47" s="565"/>
      <c r="D47" s="580"/>
      <c r="E47" s="580"/>
      <c r="F47" s="581"/>
      <c r="G47" s="583"/>
      <c r="H47" s="584"/>
      <c r="I47" s="584"/>
      <c r="J47" s="584"/>
      <c r="K47" s="566"/>
      <c r="L47" s="566"/>
      <c r="M47" s="566"/>
      <c r="N47" s="580"/>
      <c r="O47" s="582"/>
      <c r="Y47" s="557"/>
    </row>
    <row r="48" spans="3:25" ht="18.75">
      <c r="C48" s="565"/>
      <c r="D48" s="580"/>
      <c r="E48" s="580"/>
      <c r="F48" s="581"/>
      <c r="G48" s="583"/>
      <c r="H48" s="584"/>
      <c r="I48" s="584"/>
      <c r="J48" s="584"/>
      <c r="K48" s="566"/>
      <c r="L48" s="566"/>
      <c r="M48" s="566"/>
      <c r="N48" s="580"/>
      <c r="O48" s="582"/>
      <c r="Y48" s="557"/>
    </row>
    <row r="49" spans="3:25" ht="18.75">
      <c r="C49" s="565"/>
      <c r="D49" s="580"/>
      <c r="E49" s="580"/>
      <c r="F49" s="581"/>
      <c r="G49" s="583"/>
      <c r="H49" s="584"/>
      <c r="I49" s="584"/>
      <c r="J49" s="584"/>
      <c r="K49" s="566"/>
      <c r="L49" s="566"/>
      <c r="M49" s="566"/>
      <c r="N49" s="580"/>
      <c r="O49" s="582"/>
      <c r="R49" s="559"/>
    </row>
    <row r="50" spans="3:25" ht="18.75">
      <c r="C50" s="565"/>
      <c r="D50" s="580"/>
      <c r="E50" s="580"/>
      <c r="F50" s="581"/>
      <c r="G50" s="585"/>
      <c r="H50" s="566"/>
      <c r="I50" s="566"/>
      <c r="J50" s="566"/>
      <c r="K50" s="566"/>
      <c r="L50" s="566"/>
      <c r="M50" s="566"/>
      <c r="N50" s="580"/>
      <c r="O50" s="582"/>
      <c r="V50" s="557"/>
      <c r="W50" s="557"/>
      <c r="X50" s="558"/>
      <c r="Y50" s="557"/>
    </row>
    <row r="51" spans="3:25" ht="19.5" thickBot="1">
      <c r="C51" s="586"/>
      <c r="D51" s="587"/>
      <c r="E51" s="587"/>
      <c r="F51" s="588"/>
      <c r="G51" s="589"/>
      <c r="H51" s="590"/>
      <c r="I51" s="590"/>
      <c r="J51" s="590"/>
      <c r="K51" s="591"/>
      <c r="L51" s="592"/>
      <c r="M51" s="592"/>
      <c r="N51" s="587"/>
      <c r="O51" s="593"/>
      <c r="V51" s="557"/>
      <c r="W51" s="557"/>
      <c r="X51" s="558"/>
      <c r="Y51" s="557"/>
    </row>
    <row r="52" spans="3:25" ht="19.5" thickBot="1">
      <c r="C52" s="818" t="s">
        <v>533</v>
      </c>
      <c r="D52" s="819"/>
      <c r="E52" s="819"/>
      <c r="F52" s="819"/>
      <c r="G52" s="819"/>
      <c r="H52" s="819"/>
      <c r="I52" s="819"/>
      <c r="J52" s="819"/>
      <c r="K52" s="819"/>
      <c r="L52" s="819"/>
      <c r="M52" s="819"/>
      <c r="N52" s="819"/>
      <c r="O52" s="820"/>
      <c r="R52" s="556"/>
      <c r="Y52" s="557"/>
    </row>
    <row r="53" spans="3:25" ht="18.75" customHeight="1">
      <c r="C53" s="821"/>
      <c r="D53" s="822"/>
      <c r="E53" s="822"/>
      <c r="F53" s="822"/>
      <c r="G53" s="822"/>
      <c r="H53" s="822"/>
      <c r="I53" s="822"/>
      <c r="J53" s="822"/>
      <c r="K53" s="822"/>
      <c r="L53" s="822"/>
      <c r="M53" s="822"/>
      <c r="N53" s="822"/>
      <c r="O53" s="823"/>
      <c r="R53" s="556"/>
      <c r="Y53" s="557"/>
    </row>
    <row r="54" spans="3:25" ht="18.75" customHeight="1">
      <c r="C54" s="824"/>
      <c r="D54" s="825"/>
      <c r="E54" s="825"/>
      <c r="F54" s="825"/>
      <c r="G54" s="825"/>
      <c r="H54" s="825"/>
      <c r="I54" s="825"/>
      <c r="J54" s="825"/>
      <c r="K54" s="825"/>
      <c r="L54" s="825"/>
      <c r="M54" s="825"/>
      <c r="N54" s="825"/>
      <c r="O54" s="826"/>
      <c r="R54" s="556"/>
      <c r="Y54" s="557"/>
    </row>
    <row r="55" spans="3:25" ht="18.75" customHeight="1" thickBot="1">
      <c r="C55" s="827"/>
      <c r="D55" s="828"/>
      <c r="E55" s="828"/>
      <c r="F55" s="828"/>
      <c r="G55" s="828"/>
      <c r="H55" s="828"/>
      <c r="I55" s="828"/>
      <c r="J55" s="828"/>
      <c r="K55" s="828"/>
      <c r="L55" s="828"/>
      <c r="M55" s="828"/>
      <c r="N55" s="828"/>
      <c r="O55" s="829"/>
      <c r="R55" s="556"/>
      <c r="Y55" s="557"/>
    </row>
    <row r="56" spans="3:25" ht="18.75">
      <c r="C56" s="565"/>
      <c r="D56" s="580"/>
      <c r="E56" s="580"/>
      <c r="F56" s="580"/>
      <c r="G56" s="594"/>
      <c r="H56" s="594"/>
      <c r="I56" s="594"/>
      <c r="J56" s="594"/>
      <c r="K56" s="566"/>
      <c r="L56" s="595"/>
      <c r="M56" s="595"/>
      <c r="N56" s="580"/>
      <c r="O56" s="582"/>
    </row>
    <row r="57" spans="3:25" ht="18.75">
      <c r="C57" s="565"/>
      <c r="D57" s="580"/>
      <c r="E57" s="580"/>
      <c r="F57" s="580"/>
      <c r="G57" s="594"/>
      <c r="H57" s="594"/>
      <c r="I57" s="594"/>
      <c r="J57" s="594"/>
      <c r="K57" s="566"/>
      <c r="L57" s="595"/>
      <c r="M57" s="595"/>
      <c r="N57" s="580"/>
      <c r="O57" s="582"/>
    </row>
    <row r="58" spans="3:25" ht="18.75">
      <c r="C58" s="565"/>
      <c r="D58" s="580"/>
      <c r="E58" s="580"/>
      <c r="F58" s="580"/>
      <c r="G58" s="594"/>
      <c r="H58" s="594"/>
      <c r="I58" s="594"/>
      <c r="J58" s="594"/>
      <c r="K58" s="566"/>
      <c r="L58" s="595"/>
      <c r="M58" s="595"/>
      <c r="N58" s="580"/>
      <c r="O58" s="582"/>
      <c r="Y58" s="557"/>
    </row>
    <row r="59" spans="3:25" ht="18.75">
      <c r="C59" s="565"/>
      <c r="D59" s="596"/>
      <c r="E59" s="596"/>
      <c r="F59" s="596"/>
      <c r="G59" s="594"/>
      <c r="H59" s="594"/>
      <c r="I59" s="594"/>
      <c r="J59" s="594"/>
      <c r="K59" s="597"/>
      <c r="L59" s="598"/>
      <c r="M59" s="598"/>
      <c r="N59" s="596"/>
      <c r="O59" s="582"/>
    </row>
    <row r="60" spans="3:25" ht="18.75">
      <c r="C60" s="585"/>
      <c r="D60" s="804" t="s">
        <v>529</v>
      </c>
      <c r="E60" s="804"/>
      <c r="F60" s="804"/>
      <c r="G60" s="594"/>
      <c r="H60" s="594"/>
      <c r="I60" s="594"/>
      <c r="J60" s="594"/>
      <c r="K60" s="804" t="s">
        <v>530</v>
      </c>
      <c r="L60" s="805"/>
      <c r="M60" s="804"/>
      <c r="N60" s="804"/>
      <c r="O60" s="582"/>
    </row>
    <row r="61" spans="3:25" ht="19.5" thickBot="1">
      <c r="C61" s="599"/>
      <c r="D61" s="591"/>
      <c r="E61" s="591"/>
      <c r="F61" s="587"/>
      <c r="G61" s="600"/>
      <c r="H61" s="600"/>
      <c r="I61" s="600"/>
      <c r="J61" s="600"/>
      <c r="K61" s="587"/>
      <c r="L61" s="587"/>
      <c r="M61" s="587"/>
      <c r="N61" s="587"/>
      <c r="O61" s="593"/>
    </row>
  </sheetData>
  <mergeCells count="34">
    <mergeCell ref="C8:F9"/>
    <mergeCell ref="G8:G9"/>
    <mergeCell ref="K8:O8"/>
    <mergeCell ref="K9:N9"/>
    <mergeCell ref="H8:I9"/>
    <mergeCell ref="J8:J9"/>
    <mergeCell ref="C2:E6"/>
    <mergeCell ref="F2:K3"/>
    <mergeCell ref="N2:O2"/>
    <mergeCell ref="N3:O3"/>
    <mergeCell ref="G4:J4"/>
    <mergeCell ref="K4:O7"/>
    <mergeCell ref="G5:J5"/>
    <mergeCell ref="G6:J6"/>
    <mergeCell ref="C7:J7"/>
    <mergeCell ref="L2:M3"/>
    <mergeCell ref="G12:G13"/>
    <mergeCell ref="O12:O13"/>
    <mergeCell ref="E13:F13"/>
    <mergeCell ref="H12:N13"/>
    <mergeCell ref="C10:O10"/>
    <mergeCell ref="C11:F11"/>
    <mergeCell ref="G11:O11"/>
    <mergeCell ref="E12:F12"/>
    <mergeCell ref="D60:F60"/>
    <mergeCell ref="K60:N60"/>
    <mergeCell ref="C14:F14"/>
    <mergeCell ref="N14:N15"/>
    <mergeCell ref="G32:N32"/>
    <mergeCell ref="G33:N33"/>
    <mergeCell ref="G34:O34"/>
    <mergeCell ref="C52:O52"/>
    <mergeCell ref="C53:O55"/>
    <mergeCell ref="O14:O15"/>
  </mergeCells>
  <pageMargins left="0.7" right="0.7" top="0.75" bottom="0.75" header="0.3" footer="0.3"/>
  <pageSetup paperSize="9" scale="25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7">
    <tabColor rgb="FFFF0000"/>
  </sheetPr>
  <dimension ref="A1:H43"/>
  <sheetViews>
    <sheetView view="pageBreakPreview" zoomScale="112" zoomScaleSheetLayoutView="112" workbookViewId="0">
      <selection activeCell="D17" sqref="D17"/>
    </sheetView>
  </sheetViews>
  <sheetFormatPr baseColWidth="10" defaultColWidth="9.28515625" defaultRowHeight="12"/>
  <cols>
    <col min="1" max="1" width="11.42578125" style="56" customWidth="1"/>
    <col min="2" max="2" width="10.42578125" style="56" customWidth="1"/>
    <col min="3" max="3" width="12.28515625" style="56" customWidth="1"/>
    <col min="4" max="4" width="10.42578125" style="56" customWidth="1"/>
    <col min="5" max="5" width="12" style="56" customWidth="1"/>
    <col min="6" max="6" width="8.42578125" style="56" customWidth="1"/>
    <col min="7" max="8" width="12.42578125" style="56" customWidth="1"/>
    <col min="9" max="249" width="11.42578125" style="56" customWidth="1"/>
    <col min="250" max="250" width="10.42578125" style="56" customWidth="1"/>
    <col min="251" max="251" width="13" style="56" customWidth="1"/>
    <col min="252" max="505" width="11.42578125" style="56" customWidth="1"/>
    <col min="506" max="506" width="10.42578125" style="56" customWidth="1"/>
    <col min="507" max="507" width="13" style="56" customWidth="1"/>
    <col min="508" max="761" width="11.42578125" style="56" customWidth="1"/>
    <col min="762" max="762" width="10.42578125" style="56" customWidth="1"/>
    <col min="763" max="763" width="13" style="56" customWidth="1"/>
    <col min="764" max="1017" width="11.42578125" style="56" customWidth="1"/>
    <col min="1018" max="1018" width="10.42578125" style="56" customWidth="1"/>
    <col min="1019" max="1019" width="13" style="56" customWidth="1"/>
    <col min="1020" max="1273" width="11.42578125" style="56" customWidth="1"/>
    <col min="1274" max="1274" width="10.42578125" style="56" customWidth="1"/>
    <col min="1275" max="1275" width="13" style="56" customWidth="1"/>
    <col min="1276" max="1529" width="11.42578125" style="56" customWidth="1"/>
    <col min="1530" max="1530" width="10.42578125" style="56" customWidth="1"/>
    <col min="1531" max="1531" width="13" style="56" customWidth="1"/>
    <col min="1532" max="1785" width="11.42578125" style="56" customWidth="1"/>
    <col min="1786" max="1786" width="10.42578125" style="56" customWidth="1"/>
    <col min="1787" max="1787" width="13" style="56" customWidth="1"/>
    <col min="1788" max="2041" width="11.42578125" style="56" customWidth="1"/>
    <col min="2042" max="2042" width="10.42578125" style="56" customWidth="1"/>
    <col min="2043" max="2043" width="13" style="56" customWidth="1"/>
    <col min="2044" max="2297" width="11.42578125" style="56" customWidth="1"/>
    <col min="2298" max="2298" width="10.42578125" style="56" customWidth="1"/>
    <col min="2299" max="2299" width="13" style="56" customWidth="1"/>
    <col min="2300" max="2553" width="11.42578125" style="56" customWidth="1"/>
    <col min="2554" max="2554" width="10.42578125" style="56" customWidth="1"/>
    <col min="2555" max="2555" width="13" style="56" customWidth="1"/>
    <col min="2556" max="2809" width="11.42578125" style="56" customWidth="1"/>
    <col min="2810" max="2810" width="10.42578125" style="56" customWidth="1"/>
    <col min="2811" max="2811" width="13" style="56" customWidth="1"/>
    <col min="2812" max="3065" width="11.42578125" style="56" customWidth="1"/>
    <col min="3066" max="3066" width="10.42578125" style="56" customWidth="1"/>
    <col min="3067" max="3067" width="13" style="56" customWidth="1"/>
    <col min="3068" max="3321" width="11.42578125" style="56" customWidth="1"/>
    <col min="3322" max="3322" width="10.42578125" style="56" customWidth="1"/>
    <col min="3323" max="3323" width="13" style="56" customWidth="1"/>
    <col min="3324" max="3577" width="11.42578125" style="56" customWidth="1"/>
    <col min="3578" max="3578" width="10.42578125" style="56" customWidth="1"/>
    <col min="3579" max="3579" width="13" style="56" customWidth="1"/>
    <col min="3580" max="3833" width="11.42578125" style="56" customWidth="1"/>
    <col min="3834" max="3834" width="10.42578125" style="56" customWidth="1"/>
    <col min="3835" max="3835" width="13" style="56" customWidth="1"/>
    <col min="3836" max="4089" width="11.42578125" style="56" customWidth="1"/>
    <col min="4090" max="4090" width="10.42578125" style="56" customWidth="1"/>
    <col min="4091" max="4091" width="13" style="56" customWidth="1"/>
    <col min="4092" max="4345" width="11.42578125" style="56" customWidth="1"/>
    <col min="4346" max="4346" width="10.42578125" style="56" customWidth="1"/>
    <col min="4347" max="4347" width="13" style="56" customWidth="1"/>
    <col min="4348" max="4601" width="11.42578125" style="56" customWidth="1"/>
    <col min="4602" max="4602" width="10.42578125" style="56" customWidth="1"/>
    <col min="4603" max="4603" width="13" style="56" customWidth="1"/>
    <col min="4604" max="4857" width="11.42578125" style="56" customWidth="1"/>
    <col min="4858" max="4858" width="10.42578125" style="56" customWidth="1"/>
    <col min="4859" max="4859" width="13" style="56" customWidth="1"/>
    <col min="4860" max="5113" width="11.42578125" style="56" customWidth="1"/>
    <col min="5114" max="5114" width="10.42578125" style="56" customWidth="1"/>
    <col min="5115" max="5115" width="13" style="56" customWidth="1"/>
    <col min="5116" max="5369" width="11.42578125" style="56" customWidth="1"/>
    <col min="5370" max="5370" width="10.42578125" style="56" customWidth="1"/>
    <col min="5371" max="5371" width="13" style="56" customWidth="1"/>
    <col min="5372" max="5625" width="11.42578125" style="56" customWidth="1"/>
    <col min="5626" max="5626" width="10.42578125" style="56" customWidth="1"/>
    <col min="5627" max="5627" width="13" style="56" customWidth="1"/>
    <col min="5628" max="5881" width="11.42578125" style="56" customWidth="1"/>
    <col min="5882" max="5882" width="10.42578125" style="56" customWidth="1"/>
    <col min="5883" max="5883" width="13" style="56" customWidth="1"/>
    <col min="5884" max="6137" width="11.42578125" style="56" customWidth="1"/>
    <col min="6138" max="6138" width="10.42578125" style="56" customWidth="1"/>
    <col min="6139" max="6139" width="13" style="56" customWidth="1"/>
    <col min="6140" max="6393" width="11.42578125" style="56" customWidth="1"/>
    <col min="6394" max="6394" width="10.42578125" style="56" customWidth="1"/>
    <col min="6395" max="6395" width="13" style="56" customWidth="1"/>
    <col min="6396" max="6649" width="11.42578125" style="56" customWidth="1"/>
    <col min="6650" max="6650" width="10.42578125" style="56" customWidth="1"/>
    <col min="6651" max="6651" width="13" style="56" customWidth="1"/>
    <col min="6652" max="6905" width="11.42578125" style="56" customWidth="1"/>
    <col min="6906" max="6906" width="10.42578125" style="56" customWidth="1"/>
    <col min="6907" max="6907" width="13" style="56" customWidth="1"/>
    <col min="6908" max="7161" width="11.42578125" style="56" customWidth="1"/>
    <col min="7162" max="7162" width="10.42578125" style="56" customWidth="1"/>
    <col min="7163" max="7163" width="13" style="56" customWidth="1"/>
    <col min="7164" max="7417" width="11.42578125" style="56" customWidth="1"/>
    <col min="7418" max="7418" width="10.42578125" style="56" customWidth="1"/>
    <col min="7419" max="7419" width="13" style="56" customWidth="1"/>
    <col min="7420" max="7673" width="11.42578125" style="56" customWidth="1"/>
    <col min="7674" max="7674" width="10.42578125" style="56" customWidth="1"/>
    <col min="7675" max="7675" width="13" style="56" customWidth="1"/>
    <col min="7676" max="7929" width="11.42578125" style="56" customWidth="1"/>
    <col min="7930" max="7930" width="10.42578125" style="56" customWidth="1"/>
    <col min="7931" max="7931" width="13" style="56" customWidth="1"/>
    <col min="7932" max="8185" width="11.42578125" style="56" customWidth="1"/>
    <col min="8186" max="8186" width="10.42578125" style="56" customWidth="1"/>
    <col min="8187" max="8187" width="13" style="56" customWidth="1"/>
    <col min="8188" max="8441" width="11.42578125" style="56" customWidth="1"/>
    <col min="8442" max="8442" width="10.42578125" style="56" customWidth="1"/>
    <col min="8443" max="8443" width="13" style="56" customWidth="1"/>
    <col min="8444" max="8697" width="11.42578125" style="56" customWidth="1"/>
    <col min="8698" max="8698" width="10.42578125" style="56" customWidth="1"/>
    <col min="8699" max="8699" width="13" style="56" customWidth="1"/>
    <col min="8700" max="8953" width="11.42578125" style="56" customWidth="1"/>
    <col min="8954" max="8954" width="10.42578125" style="56" customWidth="1"/>
    <col min="8955" max="8955" width="13" style="56" customWidth="1"/>
    <col min="8956" max="9209" width="11.42578125" style="56" customWidth="1"/>
    <col min="9210" max="9210" width="10.42578125" style="56" customWidth="1"/>
    <col min="9211" max="9211" width="13" style="56" customWidth="1"/>
    <col min="9212" max="9465" width="11.42578125" style="56" customWidth="1"/>
    <col min="9466" max="9466" width="10.42578125" style="56" customWidth="1"/>
    <col min="9467" max="9467" width="13" style="56" customWidth="1"/>
    <col min="9468" max="9721" width="11.42578125" style="56" customWidth="1"/>
    <col min="9722" max="9722" width="10.42578125" style="56" customWidth="1"/>
    <col min="9723" max="9723" width="13" style="56" customWidth="1"/>
    <col min="9724" max="9977" width="11.42578125" style="56" customWidth="1"/>
    <col min="9978" max="9978" width="10.42578125" style="56" customWidth="1"/>
    <col min="9979" max="9979" width="13" style="56" customWidth="1"/>
    <col min="9980" max="10233" width="11.42578125" style="56" customWidth="1"/>
    <col min="10234" max="10234" width="10.42578125" style="56" customWidth="1"/>
    <col min="10235" max="10235" width="13" style="56" customWidth="1"/>
    <col min="10236" max="10489" width="11.42578125" style="56" customWidth="1"/>
    <col min="10490" max="10490" width="10.42578125" style="56" customWidth="1"/>
    <col min="10491" max="10491" width="13" style="56" customWidth="1"/>
    <col min="10492" max="10745" width="11.42578125" style="56" customWidth="1"/>
    <col min="10746" max="10746" width="10.42578125" style="56" customWidth="1"/>
    <col min="10747" max="10747" width="13" style="56" customWidth="1"/>
    <col min="10748" max="11001" width="11.42578125" style="56" customWidth="1"/>
    <col min="11002" max="11002" width="10.42578125" style="56" customWidth="1"/>
    <col min="11003" max="11003" width="13" style="56" customWidth="1"/>
    <col min="11004" max="11257" width="11.42578125" style="56" customWidth="1"/>
    <col min="11258" max="11258" width="10.42578125" style="56" customWidth="1"/>
    <col min="11259" max="11259" width="13" style="56" customWidth="1"/>
    <col min="11260" max="11513" width="11.42578125" style="56" customWidth="1"/>
    <col min="11514" max="11514" width="10.42578125" style="56" customWidth="1"/>
    <col min="11515" max="11515" width="13" style="56" customWidth="1"/>
    <col min="11516" max="11769" width="11.42578125" style="56" customWidth="1"/>
    <col min="11770" max="11770" width="10.42578125" style="56" customWidth="1"/>
    <col min="11771" max="11771" width="13" style="56" customWidth="1"/>
    <col min="11772" max="12025" width="11.42578125" style="56" customWidth="1"/>
    <col min="12026" max="12026" width="10.42578125" style="56" customWidth="1"/>
    <col min="12027" max="12027" width="13" style="56" customWidth="1"/>
    <col min="12028" max="12281" width="11.42578125" style="56" customWidth="1"/>
    <col min="12282" max="12282" width="10.42578125" style="56" customWidth="1"/>
    <col min="12283" max="12283" width="13" style="56" customWidth="1"/>
    <col min="12284" max="12537" width="11.42578125" style="56" customWidth="1"/>
    <col min="12538" max="12538" width="10.42578125" style="56" customWidth="1"/>
    <col min="12539" max="12539" width="13" style="56" customWidth="1"/>
    <col min="12540" max="12793" width="11.42578125" style="56" customWidth="1"/>
    <col min="12794" max="12794" width="10.42578125" style="56" customWidth="1"/>
    <col min="12795" max="12795" width="13" style="56" customWidth="1"/>
    <col min="12796" max="13049" width="11.42578125" style="56" customWidth="1"/>
    <col min="13050" max="13050" width="10.42578125" style="56" customWidth="1"/>
    <col min="13051" max="13051" width="13" style="56" customWidth="1"/>
    <col min="13052" max="13305" width="11.42578125" style="56" customWidth="1"/>
    <col min="13306" max="13306" width="10.42578125" style="56" customWidth="1"/>
    <col min="13307" max="13307" width="13" style="56" customWidth="1"/>
    <col min="13308" max="13561" width="11.42578125" style="56" customWidth="1"/>
    <col min="13562" max="13562" width="10.42578125" style="56" customWidth="1"/>
    <col min="13563" max="13563" width="13" style="56" customWidth="1"/>
    <col min="13564" max="13817" width="11.42578125" style="56" customWidth="1"/>
    <col min="13818" max="13818" width="10.42578125" style="56" customWidth="1"/>
    <col min="13819" max="13819" width="13" style="56" customWidth="1"/>
    <col min="13820" max="14073" width="11.42578125" style="56" customWidth="1"/>
    <col min="14074" max="14074" width="10.42578125" style="56" customWidth="1"/>
    <col min="14075" max="14075" width="13" style="56" customWidth="1"/>
    <col min="14076" max="14329" width="11.42578125" style="56" customWidth="1"/>
    <col min="14330" max="14330" width="10.42578125" style="56" customWidth="1"/>
    <col min="14331" max="14331" width="13" style="56" customWidth="1"/>
    <col min="14332" max="14585" width="11.42578125" style="56" customWidth="1"/>
    <col min="14586" max="14586" width="10.42578125" style="56" customWidth="1"/>
    <col min="14587" max="14587" width="13" style="56" customWidth="1"/>
    <col min="14588" max="14841" width="11.42578125" style="56" customWidth="1"/>
    <col min="14842" max="14842" width="10.42578125" style="56" customWidth="1"/>
    <col min="14843" max="14843" width="13" style="56" customWidth="1"/>
    <col min="14844" max="15097" width="11.42578125" style="56" customWidth="1"/>
    <col min="15098" max="15098" width="10.42578125" style="56" customWidth="1"/>
    <col min="15099" max="15099" width="13" style="56" customWidth="1"/>
    <col min="15100" max="15353" width="11.42578125" style="56" customWidth="1"/>
    <col min="15354" max="15354" width="10.42578125" style="56" customWidth="1"/>
    <col min="15355" max="15355" width="13" style="56" customWidth="1"/>
    <col min="15356" max="15609" width="11.42578125" style="56" customWidth="1"/>
    <col min="15610" max="15610" width="10.42578125" style="56" customWidth="1"/>
    <col min="15611" max="15611" width="13" style="56" customWidth="1"/>
    <col min="15612" max="15865" width="11.42578125" style="56" customWidth="1"/>
    <col min="15866" max="15866" width="10.42578125" style="56" customWidth="1"/>
    <col min="15867" max="15867" width="13" style="56" customWidth="1"/>
    <col min="15868" max="16121" width="11.42578125" style="56" customWidth="1"/>
    <col min="16122" max="16122" width="10.42578125" style="56" customWidth="1"/>
    <col min="16123" max="16123" width="13" style="56" customWidth="1"/>
    <col min="16124" max="16384" width="11.42578125" style="56" customWidth="1"/>
  </cols>
  <sheetData>
    <row r="1" spans="1:8" ht="15" customHeight="1">
      <c r="A1" s="891" t="s">
        <v>2</v>
      </c>
      <c r="B1" s="892"/>
      <c r="C1" s="892"/>
      <c r="D1" s="892"/>
      <c r="E1" s="892"/>
      <c r="F1" s="892"/>
      <c r="G1" s="892"/>
      <c r="H1" s="893"/>
    </row>
    <row r="2" spans="1:8" ht="5.25" customHeight="1" thickBot="1">
      <c r="A2" s="894"/>
      <c r="B2" s="895"/>
      <c r="C2" s="895"/>
      <c r="D2" s="895"/>
      <c r="E2" s="895"/>
      <c r="F2" s="895"/>
      <c r="G2" s="895"/>
      <c r="H2" s="896"/>
    </row>
    <row r="3" spans="1:8" ht="56.25" customHeight="1" thickBot="1">
      <c r="A3" s="322"/>
      <c r="B3" s="907" t="s">
        <v>393</v>
      </c>
      <c r="C3" s="908"/>
      <c r="D3" s="908"/>
      <c r="E3" s="908"/>
      <c r="F3" s="908"/>
      <c r="G3" s="908"/>
      <c r="H3" s="909"/>
    </row>
    <row r="4" spans="1:8" ht="13.5" customHeight="1">
      <c r="A4" s="61"/>
      <c r="B4" s="61"/>
      <c r="C4" s="61"/>
      <c r="D4" s="61"/>
      <c r="E4" s="61"/>
      <c r="F4" s="61"/>
      <c r="G4" s="61"/>
      <c r="H4" s="61"/>
    </row>
    <row r="5" spans="1:8">
      <c r="A5" s="57"/>
      <c r="B5" s="58"/>
      <c r="E5" s="58"/>
      <c r="G5" s="59"/>
      <c r="H5" s="60"/>
    </row>
    <row r="6" spans="1:8">
      <c r="A6" s="57" t="s">
        <v>288</v>
      </c>
      <c r="B6" s="906" t="s">
        <v>409</v>
      </c>
      <c r="C6" s="906"/>
      <c r="D6" s="906"/>
      <c r="E6" s="906"/>
      <c r="F6" s="906"/>
      <c r="G6" s="59" t="s">
        <v>30</v>
      </c>
      <c r="H6" s="61" t="s">
        <v>363</v>
      </c>
    </row>
    <row r="7" spans="1:8">
      <c r="A7" s="58"/>
      <c r="B7" s="906"/>
      <c r="C7" s="906"/>
      <c r="D7" s="906"/>
      <c r="E7" s="906"/>
      <c r="F7" s="906"/>
      <c r="G7" s="58"/>
    </row>
    <row r="8" spans="1:8" ht="12.75" thickBot="1">
      <c r="A8" s="58" t="s">
        <v>3</v>
      </c>
      <c r="B8" s="58"/>
    </row>
    <row r="9" spans="1:8">
      <c r="A9" s="897" t="s">
        <v>4</v>
      </c>
      <c r="B9" s="898"/>
      <c r="C9" s="899"/>
      <c r="D9" s="62" t="s">
        <v>11</v>
      </c>
      <c r="E9" s="62" t="s">
        <v>6</v>
      </c>
      <c r="F9" s="62" t="s">
        <v>86</v>
      </c>
      <c r="G9" s="64" t="s">
        <v>8</v>
      </c>
      <c r="H9" s="65"/>
    </row>
    <row r="10" spans="1:8" ht="12" customHeight="1">
      <c r="A10" s="900" t="s">
        <v>305</v>
      </c>
      <c r="B10" s="901"/>
      <c r="C10" s="902"/>
      <c r="D10" s="66"/>
      <c r="E10" s="82"/>
      <c r="F10" s="67"/>
      <c r="G10" s="164">
        <f>H33*0.1</f>
        <v>27.675000000000001</v>
      </c>
      <c r="H10" s="69"/>
    </row>
    <row r="11" spans="1:8">
      <c r="A11" s="900" t="s">
        <v>501</v>
      </c>
      <c r="B11" s="901"/>
      <c r="C11" s="902"/>
      <c r="D11" s="66"/>
      <c r="E11" s="82">
        <f>EQUIPO!D18</f>
        <v>12000</v>
      </c>
      <c r="F11" s="67">
        <v>100</v>
      </c>
      <c r="G11" s="164">
        <f>E11/F11</f>
        <v>120</v>
      </c>
      <c r="H11" s="69"/>
    </row>
    <row r="12" spans="1:8">
      <c r="A12" s="900"/>
      <c r="B12" s="901"/>
      <c r="C12" s="902"/>
      <c r="D12" s="66"/>
      <c r="E12" s="71"/>
      <c r="F12" s="67"/>
      <c r="G12" s="164"/>
      <c r="H12" s="69"/>
    </row>
    <row r="13" spans="1:8" ht="12.75" thickBot="1">
      <c r="A13" s="903"/>
      <c r="B13" s="904"/>
      <c r="C13" s="905"/>
      <c r="D13" s="72"/>
      <c r="E13" s="73"/>
      <c r="F13" s="74"/>
      <c r="G13" s="75"/>
      <c r="H13" s="76"/>
    </row>
    <row r="14" spans="1:8" ht="12.75" thickBot="1">
      <c r="G14" s="61" t="s">
        <v>9</v>
      </c>
      <c r="H14" s="165">
        <f>SUM(G10:G13)</f>
        <v>147.67500000000001</v>
      </c>
    </row>
    <row r="15" spans="1:8" ht="12.75" thickBot="1">
      <c r="A15" s="58" t="s">
        <v>10</v>
      </c>
      <c r="B15" s="58"/>
    </row>
    <row r="16" spans="1:8">
      <c r="A16" s="897" t="s">
        <v>4</v>
      </c>
      <c r="B16" s="898"/>
      <c r="C16" s="899"/>
      <c r="D16" s="62" t="s">
        <v>11</v>
      </c>
      <c r="E16" s="62" t="s">
        <v>12</v>
      </c>
      <c r="F16" s="62" t="s">
        <v>13</v>
      </c>
      <c r="G16" s="64" t="s">
        <v>8</v>
      </c>
      <c r="H16" s="65"/>
    </row>
    <row r="17" spans="1:8">
      <c r="A17" s="79" t="s">
        <v>364</v>
      </c>
      <c r="B17" s="80"/>
      <c r="C17" s="81"/>
      <c r="D17" s="66" t="s">
        <v>112</v>
      </c>
      <c r="E17" s="82">
        <f>'Despiece de Insumos'!D14</f>
        <v>3400</v>
      </c>
      <c r="F17" s="83">
        <v>0.01</v>
      </c>
      <c r="G17" s="68">
        <f>E17*F17</f>
        <v>34</v>
      </c>
      <c r="H17" s="69"/>
    </row>
    <row r="18" spans="1:8">
      <c r="A18" s="84" t="s">
        <v>365</v>
      </c>
      <c r="B18" s="80"/>
      <c r="C18" s="81"/>
      <c r="D18" s="66" t="s">
        <v>133</v>
      </c>
      <c r="E18" s="82">
        <v>2046</v>
      </c>
      <c r="F18" s="67">
        <v>0.5</v>
      </c>
      <c r="G18" s="68">
        <f t="shared" ref="G18:G19" si="0">E18*F18</f>
        <v>1023</v>
      </c>
      <c r="H18" s="69"/>
    </row>
    <row r="19" spans="1:8">
      <c r="A19" s="84" t="s">
        <v>366</v>
      </c>
      <c r="B19" s="80"/>
      <c r="C19" s="81"/>
      <c r="D19" s="70" t="s">
        <v>367</v>
      </c>
      <c r="E19" s="71">
        <f>'Despiece de Insumos'!D8</f>
        <v>2500</v>
      </c>
      <c r="F19" s="83">
        <v>0.01</v>
      </c>
      <c r="G19" s="68">
        <f t="shared" si="0"/>
        <v>25</v>
      </c>
      <c r="H19" s="69"/>
    </row>
    <row r="20" spans="1:8">
      <c r="A20" s="84"/>
      <c r="B20" s="80"/>
      <c r="C20" s="81"/>
      <c r="D20" s="70"/>
      <c r="E20" s="71"/>
      <c r="F20" s="85"/>
      <c r="G20" s="68"/>
      <c r="H20" s="69"/>
    </row>
    <row r="21" spans="1:8" ht="12.75" thickBot="1">
      <c r="A21" s="86"/>
      <c r="B21" s="87"/>
      <c r="C21" s="88"/>
      <c r="D21" s="72"/>
      <c r="E21" s="73"/>
      <c r="F21" s="74"/>
      <c r="G21" s="75"/>
      <c r="H21" s="76"/>
    </row>
    <row r="22" spans="1:8" ht="12.75" thickBot="1">
      <c r="G22" s="61" t="s">
        <v>9</v>
      </c>
      <c r="H22" s="165">
        <f>SUM(G17:G21)</f>
        <v>1082</v>
      </c>
    </row>
    <row r="23" spans="1:8" ht="12.75" thickBot="1">
      <c r="A23" s="89" t="s">
        <v>14</v>
      </c>
      <c r="B23" s="89"/>
      <c r="C23" s="90"/>
    </row>
    <row r="24" spans="1:8">
      <c r="A24" s="128" t="s">
        <v>15</v>
      </c>
      <c r="B24" s="129"/>
      <c r="C24" s="130" t="s">
        <v>16</v>
      </c>
      <c r="D24" s="62" t="s">
        <v>17</v>
      </c>
      <c r="E24" s="62" t="s">
        <v>18</v>
      </c>
      <c r="F24" s="62" t="s">
        <v>19</v>
      </c>
      <c r="G24" s="92" t="s">
        <v>8</v>
      </c>
      <c r="H24" s="65"/>
    </row>
    <row r="25" spans="1:8">
      <c r="A25" s="84"/>
      <c r="B25" s="80"/>
      <c r="C25" s="93"/>
      <c r="D25" s="94"/>
      <c r="E25" s="95"/>
      <c r="F25" s="96"/>
      <c r="G25" s="97"/>
      <c r="H25" s="69"/>
    </row>
    <row r="26" spans="1:8">
      <c r="A26" s="84"/>
      <c r="B26" s="80"/>
      <c r="C26" s="98"/>
      <c r="D26" s="66"/>
      <c r="E26" s="99"/>
      <c r="F26" s="67"/>
      <c r="G26" s="67"/>
      <c r="H26" s="69"/>
    </row>
    <row r="27" spans="1:8" ht="12.75" thickBot="1">
      <c r="A27" s="86"/>
      <c r="B27" s="88"/>
      <c r="C27" s="72"/>
      <c r="D27" s="73"/>
      <c r="E27" s="74"/>
      <c r="F27" s="75"/>
      <c r="G27" s="72"/>
      <c r="H27" s="76"/>
    </row>
    <row r="28" spans="1:8" ht="12.75" thickBot="1">
      <c r="G28" s="61" t="s">
        <v>9</v>
      </c>
      <c r="H28" s="165">
        <f>SUM(G25:G27)</f>
        <v>0</v>
      </c>
    </row>
    <row r="29" spans="1:8" ht="12.75" thickBot="1">
      <c r="A29" s="89" t="s">
        <v>20</v>
      </c>
      <c r="B29" s="89"/>
    </row>
    <row r="30" spans="1:8">
      <c r="A30" s="128" t="s">
        <v>21</v>
      </c>
      <c r="B30" s="129"/>
      <c r="C30" s="100" t="s">
        <v>22</v>
      </c>
      <c r="D30" s="62" t="s">
        <v>23</v>
      </c>
      <c r="E30" s="63" t="s">
        <v>24</v>
      </c>
      <c r="F30" s="62" t="s">
        <v>86</v>
      </c>
      <c r="G30" s="64" t="s">
        <v>8</v>
      </c>
      <c r="H30" s="65"/>
    </row>
    <row r="31" spans="1:8">
      <c r="A31" s="35" t="s">
        <v>502</v>
      </c>
      <c r="B31" s="30"/>
      <c r="C31" s="135">
        <v>55000</v>
      </c>
      <c r="D31" s="172">
        <v>1.8</v>
      </c>
      <c r="E31" s="32">
        <f t="shared" ref="E31" si="1">+D31*C31</f>
        <v>99000</v>
      </c>
      <c r="F31" s="16">
        <v>800</v>
      </c>
      <c r="G31" s="141">
        <f t="shared" ref="G31" si="2">+E31/F31</f>
        <v>123.75</v>
      </c>
      <c r="H31" s="69"/>
    </row>
    <row r="32" spans="1:8" ht="12.75" thickBot="1">
      <c r="A32" s="35" t="s">
        <v>503</v>
      </c>
      <c r="B32" s="30">
        <v>2</v>
      </c>
      <c r="C32" s="135">
        <v>34000</v>
      </c>
      <c r="D32" s="172">
        <v>1.8</v>
      </c>
      <c r="E32" s="32">
        <f>+D32*C32*B32</f>
        <v>122400</v>
      </c>
      <c r="F32" s="16">
        <v>800</v>
      </c>
      <c r="G32" s="141">
        <f>+E32/F32</f>
        <v>153</v>
      </c>
      <c r="H32" s="76"/>
    </row>
    <row r="33" spans="1:8" ht="12.75" thickBot="1">
      <c r="G33" s="61" t="s">
        <v>9</v>
      </c>
      <c r="H33" s="165">
        <f>SUM(G31:G32)</f>
        <v>276.75</v>
      </c>
    </row>
    <row r="34" spans="1:8" ht="12.75" thickBot="1">
      <c r="G34" s="104"/>
    </row>
    <row r="35" spans="1:8" ht="12.75" thickBot="1">
      <c r="E35" s="105" t="s">
        <v>25</v>
      </c>
      <c r="F35" s="106"/>
      <c r="G35" s="106"/>
      <c r="H35" s="165">
        <f>ROUND(H14+H22+H28+H33,0)</f>
        <v>1506</v>
      </c>
    </row>
    <row r="37" spans="1:8" ht="15">
      <c r="A37" s="168"/>
      <c r="B37" s="311"/>
      <c r="C37" s="311"/>
      <c r="D37" s="311"/>
      <c r="E37" s="311"/>
      <c r="F37" s="311"/>
      <c r="H37" s="323"/>
    </row>
    <row r="39" spans="1:8" s="194" customFormat="1" ht="14.25">
      <c r="A39" s="195" t="s">
        <v>134</v>
      </c>
      <c r="B39" s="195"/>
      <c r="C39" s="195"/>
      <c r="D39" s="197"/>
      <c r="E39" s="196"/>
      <c r="F39" s="196"/>
    </row>
    <row r="40" spans="1:8" s="194" customFormat="1" ht="14.25">
      <c r="A40" s="195" t="s">
        <v>131</v>
      </c>
      <c r="B40" s="195"/>
      <c r="C40" s="195"/>
      <c r="D40" s="197"/>
      <c r="E40" s="196"/>
      <c r="F40" s="196"/>
    </row>
    <row r="41" spans="1:8" ht="12.75" customHeight="1"/>
    <row r="43" spans="1:8" ht="3.75" customHeight="1"/>
  </sheetData>
  <mergeCells count="9">
    <mergeCell ref="A1:H2"/>
    <mergeCell ref="A16:C16"/>
    <mergeCell ref="A11:C11"/>
    <mergeCell ref="A12:C12"/>
    <mergeCell ref="A13:C13"/>
    <mergeCell ref="B6:F7"/>
    <mergeCell ref="B3:H3"/>
    <mergeCell ref="A9:C9"/>
    <mergeCell ref="A10:C10"/>
  </mergeCells>
  <printOptions horizontalCentered="1"/>
  <pageMargins left="0.70866141732283472" right="0.70866141732283472" top="1.2598425196850394" bottom="0.9055118110236221" header="0.31496062992125984" footer="0.31496062992125984"/>
  <pageSetup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0">
    <tabColor rgb="FFFF0000"/>
  </sheetPr>
  <dimension ref="A1:H42"/>
  <sheetViews>
    <sheetView view="pageBreakPreview" topLeftCell="A19" zoomScale="106" zoomScaleSheetLayoutView="106" workbookViewId="0">
      <selection activeCell="D17" sqref="D17"/>
    </sheetView>
  </sheetViews>
  <sheetFormatPr baseColWidth="10" defaultColWidth="9.28515625" defaultRowHeight="12"/>
  <cols>
    <col min="1" max="1" width="11.42578125" style="56" customWidth="1"/>
    <col min="2" max="2" width="10.42578125" style="56" customWidth="1"/>
    <col min="3" max="3" width="15" style="56" customWidth="1"/>
    <col min="4" max="5" width="10.7109375" style="56" customWidth="1"/>
    <col min="6" max="6" width="10.28515625" style="56" customWidth="1"/>
    <col min="7" max="7" width="12.28515625" style="56" customWidth="1"/>
    <col min="8" max="8" width="13.7109375" style="56" bestFit="1" customWidth="1"/>
    <col min="9" max="248" width="11.42578125" style="56" customWidth="1"/>
    <col min="249" max="249" width="10.42578125" style="56" customWidth="1"/>
    <col min="250" max="250" width="13" style="56" customWidth="1"/>
    <col min="251" max="504" width="11.42578125" style="56" customWidth="1"/>
    <col min="505" max="505" width="10.42578125" style="56" customWidth="1"/>
    <col min="506" max="506" width="13" style="56" customWidth="1"/>
    <col min="507" max="760" width="11.42578125" style="56" customWidth="1"/>
    <col min="761" max="761" width="10.42578125" style="56" customWidth="1"/>
    <col min="762" max="762" width="13" style="56" customWidth="1"/>
    <col min="763" max="1016" width="11.42578125" style="56" customWidth="1"/>
    <col min="1017" max="1017" width="10.42578125" style="56" customWidth="1"/>
    <col min="1018" max="1018" width="13" style="56" customWidth="1"/>
    <col min="1019" max="1272" width="11.42578125" style="56" customWidth="1"/>
    <col min="1273" max="1273" width="10.42578125" style="56" customWidth="1"/>
    <col min="1274" max="1274" width="13" style="56" customWidth="1"/>
    <col min="1275" max="1528" width="11.42578125" style="56" customWidth="1"/>
    <col min="1529" max="1529" width="10.42578125" style="56" customWidth="1"/>
    <col min="1530" max="1530" width="13" style="56" customWidth="1"/>
    <col min="1531" max="1784" width="11.42578125" style="56" customWidth="1"/>
    <col min="1785" max="1785" width="10.42578125" style="56" customWidth="1"/>
    <col min="1786" max="1786" width="13" style="56" customWidth="1"/>
    <col min="1787" max="2040" width="11.42578125" style="56" customWidth="1"/>
    <col min="2041" max="2041" width="10.42578125" style="56" customWidth="1"/>
    <col min="2042" max="2042" width="13" style="56" customWidth="1"/>
    <col min="2043" max="2296" width="11.42578125" style="56" customWidth="1"/>
    <col min="2297" max="2297" width="10.42578125" style="56" customWidth="1"/>
    <col min="2298" max="2298" width="13" style="56" customWidth="1"/>
    <col min="2299" max="2552" width="11.42578125" style="56" customWidth="1"/>
    <col min="2553" max="2553" width="10.42578125" style="56" customWidth="1"/>
    <col min="2554" max="2554" width="13" style="56" customWidth="1"/>
    <col min="2555" max="2808" width="11.42578125" style="56" customWidth="1"/>
    <col min="2809" max="2809" width="10.42578125" style="56" customWidth="1"/>
    <col min="2810" max="2810" width="13" style="56" customWidth="1"/>
    <col min="2811" max="3064" width="11.42578125" style="56" customWidth="1"/>
    <col min="3065" max="3065" width="10.42578125" style="56" customWidth="1"/>
    <col min="3066" max="3066" width="13" style="56" customWidth="1"/>
    <col min="3067" max="3320" width="11.42578125" style="56" customWidth="1"/>
    <col min="3321" max="3321" width="10.42578125" style="56" customWidth="1"/>
    <col min="3322" max="3322" width="13" style="56" customWidth="1"/>
    <col min="3323" max="3576" width="11.42578125" style="56" customWidth="1"/>
    <col min="3577" max="3577" width="10.42578125" style="56" customWidth="1"/>
    <col min="3578" max="3578" width="13" style="56" customWidth="1"/>
    <col min="3579" max="3832" width="11.42578125" style="56" customWidth="1"/>
    <col min="3833" max="3833" width="10.42578125" style="56" customWidth="1"/>
    <col min="3834" max="3834" width="13" style="56" customWidth="1"/>
    <col min="3835" max="4088" width="11.42578125" style="56" customWidth="1"/>
    <col min="4089" max="4089" width="10.42578125" style="56" customWidth="1"/>
    <col min="4090" max="4090" width="13" style="56" customWidth="1"/>
    <col min="4091" max="4344" width="11.42578125" style="56" customWidth="1"/>
    <col min="4345" max="4345" width="10.42578125" style="56" customWidth="1"/>
    <col min="4346" max="4346" width="13" style="56" customWidth="1"/>
    <col min="4347" max="4600" width="11.42578125" style="56" customWidth="1"/>
    <col min="4601" max="4601" width="10.42578125" style="56" customWidth="1"/>
    <col min="4602" max="4602" width="13" style="56" customWidth="1"/>
    <col min="4603" max="4856" width="11.42578125" style="56" customWidth="1"/>
    <col min="4857" max="4857" width="10.42578125" style="56" customWidth="1"/>
    <col min="4858" max="4858" width="13" style="56" customWidth="1"/>
    <col min="4859" max="5112" width="11.42578125" style="56" customWidth="1"/>
    <col min="5113" max="5113" width="10.42578125" style="56" customWidth="1"/>
    <col min="5114" max="5114" width="13" style="56" customWidth="1"/>
    <col min="5115" max="5368" width="11.42578125" style="56" customWidth="1"/>
    <col min="5369" max="5369" width="10.42578125" style="56" customWidth="1"/>
    <col min="5370" max="5370" width="13" style="56" customWidth="1"/>
    <col min="5371" max="5624" width="11.42578125" style="56" customWidth="1"/>
    <col min="5625" max="5625" width="10.42578125" style="56" customWidth="1"/>
    <col min="5626" max="5626" width="13" style="56" customWidth="1"/>
    <col min="5627" max="5880" width="11.42578125" style="56" customWidth="1"/>
    <col min="5881" max="5881" width="10.42578125" style="56" customWidth="1"/>
    <col min="5882" max="5882" width="13" style="56" customWidth="1"/>
    <col min="5883" max="6136" width="11.42578125" style="56" customWidth="1"/>
    <col min="6137" max="6137" width="10.42578125" style="56" customWidth="1"/>
    <col min="6138" max="6138" width="13" style="56" customWidth="1"/>
    <col min="6139" max="6392" width="11.42578125" style="56" customWidth="1"/>
    <col min="6393" max="6393" width="10.42578125" style="56" customWidth="1"/>
    <col min="6394" max="6394" width="13" style="56" customWidth="1"/>
    <col min="6395" max="6648" width="11.42578125" style="56" customWidth="1"/>
    <col min="6649" max="6649" width="10.42578125" style="56" customWidth="1"/>
    <col min="6650" max="6650" width="13" style="56" customWidth="1"/>
    <col min="6651" max="6904" width="11.42578125" style="56" customWidth="1"/>
    <col min="6905" max="6905" width="10.42578125" style="56" customWidth="1"/>
    <col min="6906" max="6906" width="13" style="56" customWidth="1"/>
    <col min="6907" max="7160" width="11.42578125" style="56" customWidth="1"/>
    <col min="7161" max="7161" width="10.42578125" style="56" customWidth="1"/>
    <col min="7162" max="7162" width="13" style="56" customWidth="1"/>
    <col min="7163" max="7416" width="11.42578125" style="56" customWidth="1"/>
    <col min="7417" max="7417" width="10.42578125" style="56" customWidth="1"/>
    <col min="7418" max="7418" width="13" style="56" customWidth="1"/>
    <col min="7419" max="7672" width="11.42578125" style="56" customWidth="1"/>
    <col min="7673" max="7673" width="10.42578125" style="56" customWidth="1"/>
    <col min="7674" max="7674" width="13" style="56" customWidth="1"/>
    <col min="7675" max="7928" width="11.42578125" style="56" customWidth="1"/>
    <col min="7929" max="7929" width="10.42578125" style="56" customWidth="1"/>
    <col min="7930" max="7930" width="13" style="56" customWidth="1"/>
    <col min="7931" max="8184" width="11.42578125" style="56" customWidth="1"/>
    <col min="8185" max="8185" width="10.42578125" style="56" customWidth="1"/>
    <col min="8186" max="8186" width="13" style="56" customWidth="1"/>
    <col min="8187" max="8440" width="11.42578125" style="56" customWidth="1"/>
    <col min="8441" max="8441" width="10.42578125" style="56" customWidth="1"/>
    <col min="8442" max="8442" width="13" style="56" customWidth="1"/>
    <col min="8443" max="8696" width="11.42578125" style="56" customWidth="1"/>
    <col min="8697" max="8697" width="10.42578125" style="56" customWidth="1"/>
    <col min="8698" max="8698" width="13" style="56" customWidth="1"/>
    <col min="8699" max="8952" width="11.42578125" style="56" customWidth="1"/>
    <col min="8953" max="8953" width="10.42578125" style="56" customWidth="1"/>
    <col min="8954" max="8954" width="13" style="56" customWidth="1"/>
    <col min="8955" max="9208" width="11.42578125" style="56" customWidth="1"/>
    <col min="9209" max="9209" width="10.42578125" style="56" customWidth="1"/>
    <col min="9210" max="9210" width="13" style="56" customWidth="1"/>
    <col min="9211" max="9464" width="11.42578125" style="56" customWidth="1"/>
    <col min="9465" max="9465" width="10.42578125" style="56" customWidth="1"/>
    <col min="9466" max="9466" width="13" style="56" customWidth="1"/>
    <col min="9467" max="9720" width="11.42578125" style="56" customWidth="1"/>
    <col min="9721" max="9721" width="10.42578125" style="56" customWidth="1"/>
    <col min="9722" max="9722" width="13" style="56" customWidth="1"/>
    <col min="9723" max="9976" width="11.42578125" style="56" customWidth="1"/>
    <col min="9977" max="9977" width="10.42578125" style="56" customWidth="1"/>
    <col min="9978" max="9978" width="13" style="56" customWidth="1"/>
    <col min="9979" max="10232" width="11.42578125" style="56" customWidth="1"/>
    <col min="10233" max="10233" width="10.42578125" style="56" customWidth="1"/>
    <col min="10234" max="10234" width="13" style="56" customWidth="1"/>
    <col min="10235" max="10488" width="11.42578125" style="56" customWidth="1"/>
    <col min="10489" max="10489" width="10.42578125" style="56" customWidth="1"/>
    <col min="10490" max="10490" width="13" style="56" customWidth="1"/>
    <col min="10491" max="10744" width="11.42578125" style="56" customWidth="1"/>
    <col min="10745" max="10745" width="10.42578125" style="56" customWidth="1"/>
    <col min="10746" max="10746" width="13" style="56" customWidth="1"/>
    <col min="10747" max="11000" width="11.42578125" style="56" customWidth="1"/>
    <col min="11001" max="11001" width="10.42578125" style="56" customWidth="1"/>
    <col min="11002" max="11002" width="13" style="56" customWidth="1"/>
    <col min="11003" max="11256" width="11.42578125" style="56" customWidth="1"/>
    <col min="11257" max="11257" width="10.42578125" style="56" customWidth="1"/>
    <col min="11258" max="11258" width="13" style="56" customWidth="1"/>
    <col min="11259" max="11512" width="11.42578125" style="56" customWidth="1"/>
    <col min="11513" max="11513" width="10.42578125" style="56" customWidth="1"/>
    <col min="11514" max="11514" width="13" style="56" customWidth="1"/>
    <col min="11515" max="11768" width="11.42578125" style="56" customWidth="1"/>
    <col min="11769" max="11769" width="10.42578125" style="56" customWidth="1"/>
    <col min="11770" max="11770" width="13" style="56" customWidth="1"/>
    <col min="11771" max="12024" width="11.42578125" style="56" customWidth="1"/>
    <col min="12025" max="12025" width="10.42578125" style="56" customWidth="1"/>
    <col min="12026" max="12026" width="13" style="56" customWidth="1"/>
    <col min="12027" max="12280" width="11.42578125" style="56" customWidth="1"/>
    <col min="12281" max="12281" width="10.42578125" style="56" customWidth="1"/>
    <col min="12282" max="12282" width="13" style="56" customWidth="1"/>
    <col min="12283" max="12536" width="11.42578125" style="56" customWidth="1"/>
    <col min="12537" max="12537" width="10.42578125" style="56" customWidth="1"/>
    <col min="12538" max="12538" width="13" style="56" customWidth="1"/>
    <col min="12539" max="12792" width="11.42578125" style="56" customWidth="1"/>
    <col min="12793" max="12793" width="10.42578125" style="56" customWidth="1"/>
    <col min="12794" max="12794" width="13" style="56" customWidth="1"/>
    <col min="12795" max="13048" width="11.42578125" style="56" customWidth="1"/>
    <col min="13049" max="13049" width="10.42578125" style="56" customWidth="1"/>
    <col min="13050" max="13050" width="13" style="56" customWidth="1"/>
    <col min="13051" max="13304" width="11.42578125" style="56" customWidth="1"/>
    <col min="13305" max="13305" width="10.42578125" style="56" customWidth="1"/>
    <col min="13306" max="13306" width="13" style="56" customWidth="1"/>
    <col min="13307" max="13560" width="11.42578125" style="56" customWidth="1"/>
    <col min="13561" max="13561" width="10.42578125" style="56" customWidth="1"/>
    <col min="13562" max="13562" width="13" style="56" customWidth="1"/>
    <col min="13563" max="13816" width="11.42578125" style="56" customWidth="1"/>
    <col min="13817" max="13817" width="10.42578125" style="56" customWidth="1"/>
    <col min="13818" max="13818" width="13" style="56" customWidth="1"/>
    <col min="13819" max="14072" width="11.42578125" style="56" customWidth="1"/>
    <col min="14073" max="14073" width="10.42578125" style="56" customWidth="1"/>
    <col min="14074" max="14074" width="13" style="56" customWidth="1"/>
    <col min="14075" max="14328" width="11.42578125" style="56" customWidth="1"/>
    <col min="14329" max="14329" width="10.42578125" style="56" customWidth="1"/>
    <col min="14330" max="14330" width="13" style="56" customWidth="1"/>
    <col min="14331" max="14584" width="11.42578125" style="56" customWidth="1"/>
    <col min="14585" max="14585" width="10.42578125" style="56" customWidth="1"/>
    <col min="14586" max="14586" width="13" style="56" customWidth="1"/>
    <col min="14587" max="14840" width="11.42578125" style="56" customWidth="1"/>
    <col min="14841" max="14841" width="10.42578125" style="56" customWidth="1"/>
    <col min="14842" max="14842" width="13" style="56" customWidth="1"/>
    <col min="14843" max="15096" width="11.42578125" style="56" customWidth="1"/>
    <col min="15097" max="15097" width="10.42578125" style="56" customWidth="1"/>
    <col min="15098" max="15098" width="13" style="56" customWidth="1"/>
    <col min="15099" max="15352" width="11.42578125" style="56" customWidth="1"/>
    <col min="15353" max="15353" width="10.42578125" style="56" customWidth="1"/>
    <col min="15354" max="15354" width="13" style="56" customWidth="1"/>
    <col min="15355" max="15608" width="11.42578125" style="56" customWidth="1"/>
    <col min="15609" max="15609" width="10.42578125" style="56" customWidth="1"/>
    <col min="15610" max="15610" width="13" style="56" customWidth="1"/>
    <col min="15611" max="15864" width="11.42578125" style="56" customWidth="1"/>
    <col min="15865" max="15865" width="10.42578125" style="56" customWidth="1"/>
    <col min="15866" max="15866" width="13" style="56" customWidth="1"/>
    <col min="15867" max="16120" width="11.42578125" style="56" customWidth="1"/>
    <col min="16121" max="16121" width="10.42578125" style="56" customWidth="1"/>
    <col min="16122" max="16122" width="13" style="56" customWidth="1"/>
    <col min="16123" max="16384" width="11.42578125" style="56" customWidth="1"/>
  </cols>
  <sheetData>
    <row r="1" spans="1:8" ht="15" customHeight="1">
      <c r="A1" s="891" t="s">
        <v>2</v>
      </c>
      <c r="B1" s="892"/>
      <c r="C1" s="892"/>
      <c r="D1" s="892"/>
      <c r="E1" s="892"/>
      <c r="F1" s="892"/>
      <c r="G1" s="892"/>
      <c r="H1" s="893"/>
    </row>
    <row r="2" spans="1:8" ht="5.25" customHeight="1" thickBot="1">
      <c r="A2" s="894"/>
      <c r="B2" s="895"/>
      <c r="C2" s="895"/>
      <c r="D2" s="895"/>
      <c r="E2" s="895"/>
      <c r="F2" s="895"/>
      <c r="G2" s="895"/>
      <c r="H2" s="896"/>
    </row>
    <row r="3" spans="1:8" ht="56.25" customHeight="1" thickBot="1">
      <c r="A3" s="322"/>
      <c r="B3" s="907" t="s">
        <v>393</v>
      </c>
      <c r="C3" s="908"/>
      <c r="D3" s="908"/>
      <c r="E3" s="908"/>
      <c r="F3" s="908"/>
      <c r="G3" s="908"/>
      <c r="H3" s="909"/>
    </row>
    <row r="5" spans="1:8">
      <c r="A5" s="57"/>
      <c r="B5" s="58"/>
      <c r="E5" s="58"/>
      <c r="G5" s="59"/>
      <c r="H5" s="60"/>
    </row>
    <row r="6" spans="1:8">
      <c r="A6" s="910" t="s">
        <v>287</v>
      </c>
      <c r="B6" s="906" t="s">
        <v>369</v>
      </c>
      <c r="C6" s="906"/>
      <c r="D6" s="906"/>
      <c r="E6" s="906"/>
      <c r="F6" s="906"/>
      <c r="G6" s="59" t="s">
        <v>30</v>
      </c>
      <c r="H6" s="61" t="s">
        <v>0</v>
      </c>
    </row>
    <row r="7" spans="1:8">
      <c r="A7" s="910"/>
      <c r="B7" s="906"/>
      <c r="C7" s="906"/>
      <c r="D7" s="906"/>
      <c r="E7" s="906"/>
      <c r="F7" s="906"/>
      <c r="G7" s="58"/>
    </row>
    <row r="8" spans="1:8" ht="12.75" thickBot="1">
      <c r="A8" s="58" t="s">
        <v>3</v>
      </c>
      <c r="B8" s="58"/>
    </row>
    <row r="9" spans="1:8">
      <c r="A9" s="897" t="s">
        <v>4</v>
      </c>
      <c r="B9" s="898"/>
      <c r="C9" s="899"/>
      <c r="D9" s="62" t="s">
        <v>5</v>
      </c>
      <c r="E9" s="63" t="s">
        <v>6</v>
      </c>
      <c r="F9" s="62" t="s">
        <v>7</v>
      </c>
      <c r="G9" s="64" t="s">
        <v>8</v>
      </c>
      <c r="H9" s="65"/>
    </row>
    <row r="10" spans="1:8">
      <c r="A10" s="900" t="s">
        <v>368</v>
      </c>
      <c r="B10" s="901"/>
      <c r="C10" s="902"/>
      <c r="D10" s="66"/>
      <c r="E10" s="82">
        <f>EQUIPO!D17</f>
        <v>100000</v>
      </c>
      <c r="F10" s="83">
        <v>4.4999999999999998E-2</v>
      </c>
      <c r="G10" s="164">
        <f>E10*F10</f>
        <v>4500</v>
      </c>
      <c r="H10" s="69"/>
    </row>
    <row r="11" spans="1:8">
      <c r="A11" s="900" t="s">
        <v>99</v>
      </c>
      <c r="B11" s="901"/>
      <c r="C11" s="902"/>
      <c r="D11" s="66"/>
      <c r="E11" s="82">
        <f>EQUIPO!D15</f>
        <v>115000</v>
      </c>
      <c r="F11" s="83">
        <v>2.5000000000000001E-2</v>
      </c>
      <c r="G11" s="164">
        <f>E11*F11</f>
        <v>2875</v>
      </c>
      <c r="H11" s="69"/>
    </row>
    <row r="12" spans="1:8">
      <c r="A12" s="900" t="s">
        <v>305</v>
      </c>
      <c r="B12" s="901"/>
      <c r="C12" s="902"/>
      <c r="D12" s="66"/>
      <c r="E12" s="82"/>
      <c r="F12" s="67"/>
      <c r="G12" s="164">
        <f>H33*0.1</f>
        <v>71.7</v>
      </c>
      <c r="H12" s="69"/>
    </row>
    <row r="13" spans="1:8" ht="12.75" thickBot="1">
      <c r="A13" s="900"/>
      <c r="B13" s="901"/>
      <c r="C13" s="902"/>
      <c r="D13" s="66"/>
      <c r="E13" s="82"/>
      <c r="F13" s="67"/>
      <c r="G13" s="164"/>
      <c r="H13" s="76"/>
    </row>
    <row r="14" spans="1:8" ht="12.75" thickBot="1">
      <c r="G14" s="61" t="s">
        <v>9</v>
      </c>
      <c r="H14" s="175">
        <f>SUM(G10:G12)</f>
        <v>7446.7</v>
      </c>
    </row>
    <row r="15" spans="1:8" ht="12.75" thickBot="1">
      <c r="A15" s="58" t="s">
        <v>10</v>
      </c>
      <c r="B15" s="58"/>
    </row>
    <row r="16" spans="1:8">
      <c r="A16" s="897" t="s">
        <v>4</v>
      </c>
      <c r="B16" s="898"/>
      <c r="C16" s="899"/>
      <c r="D16" s="62" t="s">
        <v>11</v>
      </c>
      <c r="E16" s="62" t="s">
        <v>12</v>
      </c>
      <c r="F16" s="62" t="s">
        <v>13</v>
      </c>
      <c r="G16" s="64" t="s">
        <v>8</v>
      </c>
      <c r="H16" s="65"/>
    </row>
    <row r="17" spans="1:8">
      <c r="A17" s="79"/>
      <c r="B17" s="80"/>
      <c r="C17" s="81"/>
      <c r="D17" s="66"/>
      <c r="E17" s="82"/>
      <c r="F17" s="83"/>
      <c r="G17" s="68"/>
      <c r="H17" s="69"/>
    </row>
    <row r="18" spans="1:8">
      <c r="A18" s="84"/>
      <c r="B18" s="80"/>
      <c r="C18" s="81"/>
      <c r="D18" s="66"/>
      <c r="E18" s="82"/>
      <c r="F18" s="83"/>
      <c r="G18" s="68"/>
      <c r="H18" s="69"/>
    </row>
    <row r="19" spans="1:8">
      <c r="A19" s="84"/>
      <c r="B19" s="80"/>
      <c r="C19" s="81"/>
      <c r="D19" s="70"/>
      <c r="E19" s="71"/>
      <c r="F19" s="85"/>
      <c r="G19" s="68"/>
      <c r="H19" s="69"/>
    </row>
    <row r="20" spans="1:8">
      <c r="A20" s="84"/>
      <c r="B20" s="80"/>
      <c r="C20" s="81"/>
      <c r="D20" s="70"/>
      <c r="E20" s="71"/>
      <c r="F20" s="85"/>
      <c r="G20" s="68"/>
      <c r="H20" s="69"/>
    </row>
    <row r="21" spans="1:8" ht="12.75" thickBot="1">
      <c r="A21" s="86"/>
      <c r="B21" s="87"/>
      <c r="C21" s="88"/>
      <c r="D21" s="72"/>
      <c r="E21" s="73"/>
      <c r="F21" s="74"/>
      <c r="G21" s="75"/>
      <c r="H21" s="76"/>
    </row>
    <row r="22" spans="1:8" ht="12.75" thickBot="1">
      <c r="G22" s="61" t="s">
        <v>9</v>
      </c>
      <c r="H22" s="165">
        <f>SUM(G17:G21)</f>
        <v>0</v>
      </c>
    </row>
    <row r="23" spans="1:8" ht="12.75" thickBot="1">
      <c r="A23" s="89" t="s">
        <v>14</v>
      </c>
      <c r="B23" s="89"/>
      <c r="C23" s="90"/>
    </row>
    <row r="24" spans="1:8">
      <c r="A24" s="128" t="s">
        <v>15</v>
      </c>
      <c r="B24" s="129"/>
      <c r="C24" s="130" t="s">
        <v>16</v>
      </c>
      <c r="D24" s="62" t="s">
        <v>17</v>
      </c>
      <c r="E24" s="62" t="s">
        <v>18</v>
      </c>
      <c r="F24" s="62" t="s">
        <v>19</v>
      </c>
      <c r="G24" s="92" t="s">
        <v>8</v>
      </c>
      <c r="H24" s="65"/>
    </row>
    <row r="25" spans="1:8">
      <c r="A25" s="84" t="s">
        <v>102</v>
      </c>
      <c r="B25" s="80"/>
      <c r="C25" s="93">
        <v>1.3</v>
      </c>
      <c r="D25" s="94">
        <v>5</v>
      </c>
      <c r="E25" s="95">
        <f>C25*D25</f>
        <v>6.5</v>
      </c>
      <c r="F25" s="96">
        <f>TRANSPORTE!H33</f>
        <v>1500</v>
      </c>
      <c r="G25" s="97">
        <f>E25*F25</f>
        <v>9750</v>
      </c>
      <c r="H25" s="69"/>
    </row>
    <row r="26" spans="1:8">
      <c r="A26" s="84"/>
      <c r="B26" s="80"/>
      <c r="C26" s="98"/>
      <c r="D26" s="66"/>
      <c r="E26" s="99"/>
      <c r="F26" s="67"/>
      <c r="G26" s="67"/>
      <c r="H26" s="69"/>
    </row>
    <row r="27" spans="1:8" ht="12.75" thickBot="1">
      <c r="A27" s="86"/>
      <c r="B27" s="88"/>
      <c r="C27" s="72"/>
      <c r="D27" s="73"/>
      <c r="E27" s="74"/>
      <c r="F27" s="75"/>
      <c r="G27" s="72"/>
      <c r="H27" s="76"/>
    </row>
    <row r="28" spans="1:8" ht="12.75" thickBot="1">
      <c r="G28" s="61" t="s">
        <v>9</v>
      </c>
      <c r="H28" s="165">
        <f>SUM(G25:G27)</f>
        <v>9750</v>
      </c>
    </row>
    <row r="29" spans="1:8" ht="12.75" thickBot="1">
      <c r="A29" s="89" t="s">
        <v>20</v>
      </c>
      <c r="B29" s="89"/>
    </row>
    <row r="30" spans="1:8">
      <c r="A30" s="128" t="s">
        <v>21</v>
      </c>
      <c r="B30" s="129"/>
      <c r="C30" s="100" t="s">
        <v>22</v>
      </c>
      <c r="D30" s="62" t="s">
        <v>23</v>
      </c>
      <c r="E30" s="63" t="s">
        <v>24</v>
      </c>
      <c r="F30" s="100" t="s">
        <v>7</v>
      </c>
      <c r="G30" s="64" t="s">
        <v>8</v>
      </c>
      <c r="H30" s="65"/>
    </row>
    <row r="31" spans="1:8">
      <c r="A31" s="84" t="s">
        <v>39</v>
      </c>
      <c r="B31" s="80">
        <v>1</v>
      </c>
      <c r="C31" s="406">
        <v>31874</v>
      </c>
      <c r="D31" s="192">
        <v>1.8</v>
      </c>
      <c r="E31" s="166">
        <f>+D31*C31*B31</f>
        <v>57373.200000000004</v>
      </c>
      <c r="F31" s="67">
        <v>80</v>
      </c>
      <c r="G31" s="167">
        <f>+E31/F31</f>
        <v>717.16500000000008</v>
      </c>
      <c r="H31" s="69"/>
    </row>
    <row r="32" spans="1:8" ht="12.75" thickBot="1">
      <c r="A32" s="86"/>
      <c r="B32" s="87"/>
      <c r="C32" s="73"/>
      <c r="D32" s="103"/>
      <c r="E32" s="103"/>
      <c r="F32" s="103"/>
      <c r="G32" s="90"/>
      <c r="H32" s="76"/>
    </row>
    <row r="33" spans="1:8" ht="12.75" thickBot="1">
      <c r="G33" s="61" t="s">
        <v>9</v>
      </c>
      <c r="H33" s="175">
        <f>ROUND(G31+G32,0)</f>
        <v>717</v>
      </c>
    </row>
    <row r="34" spans="1:8" ht="12.75" thickBot="1">
      <c r="G34" s="104"/>
    </row>
    <row r="35" spans="1:8" ht="12.75" thickBot="1">
      <c r="E35" s="105" t="s">
        <v>25</v>
      </c>
      <c r="F35" s="106"/>
      <c r="G35" s="106"/>
      <c r="H35" s="175">
        <f>ROUND(H14+H22+H28+H33,0)</f>
        <v>17914</v>
      </c>
    </row>
    <row r="41" spans="1:8" s="194" customFormat="1" ht="14.25">
      <c r="A41" s="195" t="s">
        <v>134</v>
      </c>
      <c r="B41" s="195"/>
      <c r="C41" s="195"/>
      <c r="D41" s="197"/>
      <c r="E41" s="196"/>
      <c r="F41" s="196"/>
    </row>
    <row r="42" spans="1:8" s="194" customFormat="1" ht="14.25">
      <c r="A42" s="195" t="s">
        <v>131</v>
      </c>
      <c r="B42" s="195"/>
      <c r="C42" s="195"/>
      <c r="D42" s="197"/>
      <c r="E42" s="196"/>
      <c r="F42" s="196"/>
    </row>
  </sheetData>
  <mergeCells count="10">
    <mergeCell ref="A1:H2"/>
    <mergeCell ref="B3:H3"/>
    <mergeCell ref="A12:C12"/>
    <mergeCell ref="A13:C13"/>
    <mergeCell ref="A16:C16"/>
    <mergeCell ref="A9:C9"/>
    <mergeCell ref="A10:C10"/>
    <mergeCell ref="A11:C11"/>
    <mergeCell ref="B6:F7"/>
    <mergeCell ref="A6:A7"/>
  </mergeCells>
  <pageMargins left="0.7" right="0.7" top="1.0416666666666667" bottom="1.0729166666666667" header="0.3" footer="0.3"/>
  <pageSetup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8">
    <tabColor rgb="FFFF0000"/>
  </sheetPr>
  <dimension ref="A1:H44"/>
  <sheetViews>
    <sheetView view="pageBreakPreview" topLeftCell="A19" zoomScale="106" zoomScaleSheetLayoutView="106" workbookViewId="0">
      <selection activeCell="D17" sqref="D17"/>
    </sheetView>
  </sheetViews>
  <sheetFormatPr baseColWidth="10" defaultColWidth="9.28515625" defaultRowHeight="12"/>
  <cols>
    <col min="1" max="1" width="11.42578125" style="56" customWidth="1"/>
    <col min="2" max="2" width="9.7109375" style="56" customWidth="1"/>
    <col min="3" max="3" width="18.28515625" style="56" customWidth="1"/>
    <col min="4" max="4" width="11.42578125" style="56" customWidth="1"/>
    <col min="5" max="5" width="12.28515625" style="56" bestFit="1" customWidth="1"/>
    <col min="6" max="6" width="11.42578125" style="56" customWidth="1"/>
    <col min="7" max="7" width="13.28515625" style="56" customWidth="1"/>
    <col min="8" max="8" width="15.7109375" style="56" customWidth="1"/>
    <col min="9" max="248" width="11.42578125" style="56" customWidth="1"/>
    <col min="249" max="249" width="10.42578125" style="56" customWidth="1"/>
    <col min="250" max="250" width="13" style="56" customWidth="1"/>
    <col min="251" max="504" width="11.42578125" style="56" customWidth="1"/>
    <col min="505" max="505" width="10.42578125" style="56" customWidth="1"/>
    <col min="506" max="506" width="13" style="56" customWidth="1"/>
    <col min="507" max="760" width="11.42578125" style="56" customWidth="1"/>
    <col min="761" max="761" width="10.42578125" style="56" customWidth="1"/>
    <col min="762" max="762" width="13" style="56" customWidth="1"/>
    <col min="763" max="1016" width="11.42578125" style="56" customWidth="1"/>
    <col min="1017" max="1017" width="10.42578125" style="56" customWidth="1"/>
    <col min="1018" max="1018" width="13" style="56" customWidth="1"/>
    <col min="1019" max="1272" width="11.42578125" style="56" customWidth="1"/>
    <col min="1273" max="1273" width="10.42578125" style="56" customWidth="1"/>
    <col min="1274" max="1274" width="13" style="56" customWidth="1"/>
    <col min="1275" max="1528" width="11.42578125" style="56" customWidth="1"/>
    <col min="1529" max="1529" width="10.42578125" style="56" customWidth="1"/>
    <col min="1530" max="1530" width="13" style="56" customWidth="1"/>
    <col min="1531" max="1784" width="11.42578125" style="56" customWidth="1"/>
    <col min="1785" max="1785" width="10.42578125" style="56" customWidth="1"/>
    <col min="1786" max="1786" width="13" style="56" customWidth="1"/>
    <col min="1787" max="2040" width="11.42578125" style="56" customWidth="1"/>
    <col min="2041" max="2041" width="10.42578125" style="56" customWidth="1"/>
    <col min="2042" max="2042" width="13" style="56" customWidth="1"/>
    <col min="2043" max="2296" width="11.42578125" style="56" customWidth="1"/>
    <col min="2297" max="2297" width="10.42578125" style="56" customWidth="1"/>
    <col min="2298" max="2298" width="13" style="56" customWidth="1"/>
    <col min="2299" max="2552" width="11.42578125" style="56" customWidth="1"/>
    <col min="2553" max="2553" width="10.42578125" style="56" customWidth="1"/>
    <col min="2554" max="2554" width="13" style="56" customWidth="1"/>
    <col min="2555" max="2808" width="11.42578125" style="56" customWidth="1"/>
    <col min="2809" max="2809" width="10.42578125" style="56" customWidth="1"/>
    <col min="2810" max="2810" width="13" style="56" customWidth="1"/>
    <col min="2811" max="3064" width="11.42578125" style="56" customWidth="1"/>
    <col min="3065" max="3065" width="10.42578125" style="56" customWidth="1"/>
    <col min="3066" max="3066" width="13" style="56" customWidth="1"/>
    <col min="3067" max="3320" width="11.42578125" style="56" customWidth="1"/>
    <col min="3321" max="3321" width="10.42578125" style="56" customWidth="1"/>
    <col min="3322" max="3322" width="13" style="56" customWidth="1"/>
    <col min="3323" max="3576" width="11.42578125" style="56" customWidth="1"/>
    <col min="3577" max="3577" width="10.42578125" style="56" customWidth="1"/>
    <col min="3578" max="3578" width="13" style="56" customWidth="1"/>
    <col min="3579" max="3832" width="11.42578125" style="56" customWidth="1"/>
    <col min="3833" max="3833" width="10.42578125" style="56" customWidth="1"/>
    <col min="3834" max="3834" width="13" style="56" customWidth="1"/>
    <col min="3835" max="4088" width="11.42578125" style="56" customWidth="1"/>
    <col min="4089" max="4089" width="10.42578125" style="56" customWidth="1"/>
    <col min="4090" max="4090" width="13" style="56" customWidth="1"/>
    <col min="4091" max="4344" width="11.42578125" style="56" customWidth="1"/>
    <col min="4345" max="4345" width="10.42578125" style="56" customWidth="1"/>
    <col min="4346" max="4346" width="13" style="56" customWidth="1"/>
    <col min="4347" max="4600" width="11.42578125" style="56" customWidth="1"/>
    <col min="4601" max="4601" width="10.42578125" style="56" customWidth="1"/>
    <col min="4602" max="4602" width="13" style="56" customWidth="1"/>
    <col min="4603" max="4856" width="11.42578125" style="56" customWidth="1"/>
    <col min="4857" max="4857" width="10.42578125" style="56" customWidth="1"/>
    <col min="4858" max="4858" width="13" style="56" customWidth="1"/>
    <col min="4859" max="5112" width="11.42578125" style="56" customWidth="1"/>
    <col min="5113" max="5113" width="10.42578125" style="56" customWidth="1"/>
    <col min="5114" max="5114" width="13" style="56" customWidth="1"/>
    <col min="5115" max="5368" width="11.42578125" style="56" customWidth="1"/>
    <col min="5369" max="5369" width="10.42578125" style="56" customWidth="1"/>
    <col min="5370" max="5370" width="13" style="56" customWidth="1"/>
    <col min="5371" max="5624" width="11.42578125" style="56" customWidth="1"/>
    <col min="5625" max="5625" width="10.42578125" style="56" customWidth="1"/>
    <col min="5626" max="5626" width="13" style="56" customWidth="1"/>
    <col min="5627" max="5880" width="11.42578125" style="56" customWidth="1"/>
    <col min="5881" max="5881" width="10.42578125" style="56" customWidth="1"/>
    <col min="5882" max="5882" width="13" style="56" customWidth="1"/>
    <col min="5883" max="6136" width="11.42578125" style="56" customWidth="1"/>
    <col min="6137" max="6137" width="10.42578125" style="56" customWidth="1"/>
    <col min="6138" max="6138" width="13" style="56" customWidth="1"/>
    <col min="6139" max="6392" width="11.42578125" style="56" customWidth="1"/>
    <col min="6393" max="6393" width="10.42578125" style="56" customWidth="1"/>
    <col min="6394" max="6394" width="13" style="56" customWidth="1"/>
    <col min="6395" max="6648" width="11.42578125" style="56" customWidth="1"/>
    <col min="6649" max="6649" width="10.42578125" style="56" customWidth="1"/>
    <col min="6650" max="6650" width="13" style="56" customWidth="1"/>
    <col min="6651" max="6904" width="11.42578125" style="56" customWidth="1"/>
    <col min="6905" max="6905" width="10.42578125" style="56" customWidth="1"/>
    <col min="6906" max="6906" width="13" style="56" customWidth="1"/>
    <col min="6907" max="7160" width="11.42578125" style="56" customWidth="1"/>
    <col min="7161" max="7161" width="10.42578125" style="56" customWidth="1"/>
    <col min="7162" max="7162" width="13" style="56" customWidth="1"/>
    <col min="7163" max="7416" width="11.42578125" style="56" customWidth="1"/>
    <col min="7417" max="7417" width="10.42578125" style="56" customWidth="1"/>
    <col min="7418" max="7418" width="13" style="56" customWidth="1"/>
    <col min="7419" max="7672" width="11.42578125" style="56" customWidth="1"/>
    <col min="7673" max="7673" width="10.42578125" style="56" customWidth="1"/>
    <col min="7674" max="7674" width="13" style="56" customWidth="1"/>
    <col min="7675" max="7928" width="11.42578125" style="56" customWidth="1"/>
    <col min="7929" max="7929" width="10.42578125" style="56" customWidth="1"/>
    <col min="7930" max="7930" width="13" style="56" customWidth="1"/>
    <col min="7931" max="8184" width="11.42578125" style="56" customWidth="1"/>
    <col min="8185" max="8185" width="10.42578125" style="56" customWidth="1"/>
    <col min="8186" max="8186" width="13" style="56" customWidth="1"/>
    <col min="8187" max="8440" width="11.42578125" style="56" customWidth="1"/>
    <col min="8441" max="8441" width="10.42578125" style="56" customWidth="1"/>
    <col min="8442" max="8442" width="13" style="56" customWidth="1"/>
    <col min="8443" max="8696" width="11.42578125" style="56" customWidth="1"/>
    <col min="8697" max="8697" width="10.42578125" style="56" customWidth="1"/>
    <col min="8698" max="8698" width="13" style="56" customWidth="1"/>
    <col min="8699" max="8952" width="11.42578125" style="56" customWidth="1"/>
    <col min="8953" max="8953" width="10.42578125" style="56" customWidth="1"/>
    <col min="8954" max="8954" width="13" style="56" customWidth="1"/>
    <col min="8955" max="9208" width="11.42578125" style="56" customWidth="1"/>
    <col min="9209" max="9209" width="10.42578125" style="56" customWidth="1"/>
    <col min="9210" max="9210" width="13" style="56" customWidth="1"/>
    <col min="9211" max="9464" width="11.42578125" style="56" customWidth="1"/>
    <col min="9465" max="9465" width="10.42578125" style="56" customWidth="1"/>
    <col min="9466" max="9466" width="13" style="56" customWidth="1"/>
    <col min="9467" max="9720" width="11.42578125" style="56" customWidth="1"/>
    <col min="9721" max="9721" width="10.42578125" style="56" customWidth="1"/>
    <col min="9722" max="9722" width="13" style="56" customWidth="1"/>
    <col min="9723" max="9976" width="11.42578125" style="56" customWidth="1"/>
    <col min="9977" max="9977" width="10.42578125" style="56" customWidth="1"/>
    <col min="9978" max="9978" width="13" style="56" customWidth="1"/>
    <col min="9979" max="10232" width="11.42578125" style="56" customWidth="1"/>
    <col min="10233" max="10233" width="10.42578125" style="56" customWidth="1"/>
    <col min="10234" max="10234" width="13" style="56" customWidth="1"/>
    <col min="10235" max="10488" width="11.42578125" style="56" customWidth="1"/>
    <col min="10489" max="10489" width="10.42578125" style="56" customWidth="1"/>
    <col min="10490" max="10490" width="13" style="56" customWidth="1"/>
    <col min="10491" max="10744" width="11.42578125" style="56" customWidth="1"/>
    <col min="10745" max="10745" width="10.42578125" style="56" customWidth="1"/>
    <col min="10746" max="10746" width="13" style="56" customWidth="1"/>
    <col min="10747" max="11000" width="11.42578125" style="56" customWidth="1"/>
    <col min="11001" max="11001" width="10.42578125" style="56" customWidth="1"/>
    <col min="11002" max="11002" width="13" style="56" customWidth="1"/>
    <col min="11003" max="11256" width="11.42578125" style="56" customWidth="1"/>
    <col min="11257" max="11257" width="10.42578125" style="56" customWidth="1"/>
    <col min="11258" max="11258" width="13" style="56" customWidth="1"/>
    <col min="11259" max="11512" width="11.42578125" style="56" customWidth="1"/>
    <col min="11513" max="11513" width="10.42578125" style="56" customWidth="1"/>
    <col min="11514" max="11514" width="13" style="56" customWidth="1"/>
    <col min="11515" max="11768" width="11.42578125" style="56" customWidth="1"/>
    <col min="11769" max="11769" width="10.42578125" style="56" customWidth="1"/>
    <col min="11770" max="11770" width="13" style="56" customWidth="1"/>
    <col min="11771" max="12024" width="11.42578125" style="56" customWidth="1"/>
    <col min="12025" max="12025" width="10.42578125" style="56" customWidth="1"/>
    <col min="12026" max="12026" width="13" style="56" customWidth="1"/>
    <col min="12027" max="12280" width="11.42578125" style="56" customWidth="1"/>
    <col min="12281" max="12281" width="10.42578125" style="56" customWidth="1"/>
    <col min="12282" max="12282" width="13" style="56" customWidth="1"/>
    <col min="12283" max="12536" width="11.42578125" style="56" customWidth="1"/>
    <col min="12537" max="12537" width="10.42578125" style="56" customWidth="1"/>
    <col min="12538" max="12538" width="13" style="56" customWidth="1"/>
    <col min="12539" max="12792" width="11.42578125" style="56" customWidth="1"/>
    <col min="12793" max="12793" width="10.42578125" style="56" customWidth="1"/>
    <col min="12794" max="12794" width="13" style="56" customWidth="1"/>
    <col min="12795" max="13048" width="11.42578125" style="56" customWidth="1"/>
    <col min="13049" max="13049" width="10.42578125" style="56" customWidth="1"/>
    <col min="13050" max="13050" width="13" style="56" customWidth="1"/>
    <col min="13051" max="13304" width="11.42578125" style="56" customWidth="1"/>
    <col min="13305" max="13305" width="10.42578125" style="56" customWidth="1"/>
    <col min="13306" max="13306" width="13" style="56" customWidth="1"/>
    <col min="13307" max="13560" width="11.42578125" style="56" customWidth="1"/>
    <col min="13561" max="13561" width="10.42578125" style="56" customWidth="1"/>
    <col min="13562" max="13562" width="13" style="56" customWidth="1"/>
    <col min="13563" max="13816" width="11.42578125" style="56" customWidth="1"/>
    <col min="13817" max="13817" width="10.42578125" style="56" customWidth="1"/>
    <col min="13818" max="13818" width="13" style="56" customWidth="1"/>
    <col min="13819" max="14072" width="11.42578125" style="56" customWidth="1"/>
    <col min="14073" max="14073" width="10.42578125" style="56" customWidth="1"/>
    <col min="14074" max="14074" width="13" style="56" customWidth="1"/>
    <col min="14075" max="14328" width="11.42578125" style="56" customWidth="1"/>
    <col min="14329" max="14329" width="10.42578125" style="56" customWidth="1"/>
    <col min="14330" max="14330" width="13" style="56" customWidth="1"/>
    <col min="14331" max="14584" width="11.42578125" style="56" customWidth="1"/>
    <col min="14585" max="14585" width="10.42578125" style="56" customWidth="1"/>
    <col min="14586" max="14586" width="13" style="56" customWidth="1"/>
    <col min="14587" max="14840" width="11.42578125" style="56" customWidth="1"/>
    <col min="14841" max="14841" width="10.42578125" style="56" customWidth="1"/>
    <col min="14842" max="14842" width="13" style="56" customWidth="1"/>
    <col min="14843" max="15096" width="11.42578125" style="56" customWidth="1"/>
    <col min="15097" max="15097" width="10.42578125" style="56" customWidth="1"/>
    <col min="15098" max="15098" width="13" style="56" customWidth="1"/>
    <col min="15099" max="15352" width="11.42578125" style="56" customWidth="1"/>
    <col min="15353" max="15353" width="10.42578125" style="56" customWidth="1"/>
    <col min="15354" max="15354" width="13" style="56" customWidth="1"/>
    <col min="15355" max="15608" width="11.42578125" style="56" customWidth="1"/>
    <col min="15609" max="15609" width="10.42578125" style="56" customWidth="1"/>
    <col min="15610" max="15610" width="13" style="56" customWidth="1"/>
    <col min="15611" max="15864" width="11.42578125" style="56" customWidth="1"/>
    <col min="15865" max="15865" width="10.42578125" style="56" customWidth="1"/>
    <col min="15866" max="15866" width="13" style="56" customWidth="1"/>
    <col min="15867" max="16120" width="11.42578125" style="56" customWidth="1"/>
    <col min="16121" max="16121" width="10.42578125" style="56" customWidth="1"/>
    <col min="16122" max="16122" width="13" style="56" customWidth="1"/>
    <col min="16123" max="16384" width="11.42578125" style="56" customWidth="1"/>
  </cols>
  <sheetData>
    <row r="1" spans="1:8" ht="15" customHeight="1">
      <c r="A1" s="891" t="s">
        <v>2</v>
      </c>
      <c r="B1" s="892"/>
      <c r="C1" s="892"/>
      <c r="D1" s="892"/>
      <c r="E1" s="892"/>
      <c r="F1" s="892"/>
      <c r="G1" s="892"/>
      <c r="H1" s="893"/>
    </row>
    <row r="2" spans="1:8" ht="5.25" customHeight="1" thickBot="1">
      <c r="A2" s="894"/>
      <c r="B2" s="895"/>
      <c r="C2" s="895"/>
      <c r="D2" s="895"/>
      <c r="E2" s="895"/>
      <c r="F2" s="895"/>
      <c r="G2" s="895"/>
      <c r="H2" s="896"/>
    </row>
    <row r="3" spans="1:8" ht="56.25" customHeight="1" thickBot="1">
      <c r="A3" s="322"/>
      <c r="B3" s="907" t="s">
        <v>393</v>
      </c>
      <c r="C3" s="908"/>
      <c r="D3" s="908"/>
      <c r="E3" s="908"/>
      <c r="F3" s="908"/>
      <c r="G3" s="908"/>
      <c r="H3" s="909"/>
    </row>
    <row r="4" spans="1:8">
      <c r="A4" s="57"/>
    </row>
    <row r="5" spans="1:8">
      <c r="A5" s="57"/>
      <c r="B5" s="58"/>
      <c r="E5" s="58"/>
      <c r="G5" s="59"/>
      <c r="H5" s="60"/>
    </row>
    <row r="6" spans="1:8" ht="14.25" customHeight="1">
      <c r="A6" s="911" t="s">
        <v>289</v>
      </c>
      <c r="B6" s="906" t="s">
        <v>418</v>
      </c>
      <c r="C6" s="906"/>
      <c r="D6" s="906"/>
      <c r="E6" s="906"/>
      <c r="F6" s="906"/>
      <c r="G6" s="59" t="s">
        <v>30</v>
      </c>
      <c r="H6" s="61" t="s">
        <v>77</v>
      </c>
    </row>
    <row r="7" spans="1:8" ht="14.25" customHeight="1">
      <c r="A7" s="911"/>
      <c r="B7" s="906"/>
      <c r="C7" s="906"/>
      <c r="D7" s="906"/>
      <c r="E7" s="906"/>
      <c r="F7" s="906"/>
      <c r="G7" s="58"/>
    </row>
    <row r="8" spans="1:8" ht="12.75" thickBot="1">
      <c r="A8" s="58" t="s">
        <v>3</v>
      </c>
      <c r="B8" s="58"/>
    </row>
    <row r="9" spans="1:8">
      <c r="A9" s="897" t="s">
        <v>4</v>
      </c>
      <c r="B9" s="898"/>
      <c r="C9" s="899"/>
      <c r="D9" s="62" t="s">
        <v>5</v>
      </c>
      <c r="E9" s="63" t="s">
        <v>6</v>
      </c>
      <c r="F9" s="62" t="s">
        <v>7</v>
      </c>
      <c r="G9" s="64" t="s">
        <v>8</v>
      </c>
      <c r="H9" s="65"/>
    </row>
    <row r="10" spans="1:8">
      <c r="A10" s="900" t="s">
        <v>290</v>
      </c>
      <c r="B10" s="901"/>
      <c r="C10" s="902"/>
      <c r="D10" s="324"/>
      <c r="E10" s="82">
        <f>EQUIPO!D11</f>
        <v>50000</v>
      </c>
      <c r="F10" s="325">
        <v>2E-3</v>
      </c>
      <c r="G10" s="167">
        <f>F10*E10</f>
        <v>100</v>
      </c>
      <c r="H10" s="69"/>
    </row>
    <row r="11" spans="1:8">
      <c r="A11" s="900" t="str">
        <f>EQUIPO!B12</f>
        <v>MOTONIVELADORA 120 HP</v>
      </c>
      <c r="B11" s="901"/>
      <c r="C11" s="902"/>
      <c r="D11" s="66"/>
      <c r="E11" s="82">
        <f>EQUIPO!D12</f>
        <v>120000</v>
      </c>
      <c r="F11" s="325">
        <v>2E-3</v>
      </c>
      <c r="G11" s="167">
        <f t="shared" ref="G11:G12" si="0">F11*E11</f>
        <v>240</v>
      </c>
      <c r="H11" s="69"/>
    </row>
    <row r="12" spans="1:8">
      <c r="A12" s="900" t="s">
        <v>291</v>
      </c>
      <c r="B12" s="901"/>
      <c r="C12" s="902"/>
      <c r="D12" s="66"/>
      <c r="E12" s="82">
        <f>EQUIPO!D13</f>
        <v>100000</v>
      </c>
      <c r="F12" s="325">
        <v>2E-3</v>
      </c>
      <c r="G12" s="167">
        <f t="shared" si="0"/>
        <v>200</v>
      </c>
      <c r="H12" s="69"/>
    </row>
    <row r="13" spans="1:8">
      <c r="A13" s="900" t="s">
        <v>306</v>
      </c>
      <c r="B13" s="901"/>
      <c r="C13" s="902"/>
      <c r="D13" s="66"/>
      <c r="E13" s="82"/>
      <c r="F13" s="67"/>
      <c r="G13" s="167">
        <f>H36*0.1</f>
        <v>22.311900000000005</v>
      </c>
      <c r="H13" s="69"/>
    </row>
    <row r="14" spans="1:8">
      <c r="H14" s="69"/>
    </row>
    <row r="15" spans="1:8" ht="12.75" thickBot="1">
      <c r="A15" s="900"/>
      <c r="B15" s="901"/>
      <c r="C15" s="902"/>
      <c r="D15" s="66"/>
      <c r="E15" s="82"/>
      <c r="F15" s="67"/>
      <c r="G15" s="164"/>
      <c r="H15" s="76"/>
    </row>
    <row r="16" spans="1:8" ht="12.75" thickBot="1">
      <c r="G16" s="61" t="s">
        <v>9</v>
      </c>
      <c r="H16" s="175">
        <f>SUM(G10:G15)</f>
        <v>562.31190000000004</v>
      </c>
    </row>
    <row r="17" spans="1:8" ht="12.75" thickBot="1">
      <c r="A17" s="58" t="s">
        <v>10</v>
      </c>
      <c r="B17" s="58"/>
    </row>
    <row r="18" spans="1:8">
      <c r="A18" s="897" t="s">
        <v>4</v>
      </c>
      <c r="B18" s="898"/>
      <c r="C18" s="899"/>
      <c r="D18" s="62" t="s">
        <v>11</v>
      </c>
      <c r="E18" s="62" t="s">
        <v>12</v>
      </c>
      <c r="F18" s="62" t="s">
        <v>13</v>
      </c>
      <c r="G18" s="64" t="s">
        <v>8</v>
      </c>
      <c r="H18" s="65"/>
    </row>
    <row r="19" spans="1:8">
      <c r="A19" s="79" t="s">
        <v>32</v>
      </c>
      <c r="B19" s="80"/>
      <c r="C19" s="81"/>
      <c r="D19" s="66" t="s">
        <v>294</v>
      </c>
      <c r="E19" s="82">
        <f>'Despiece de Insumos'!D9</f>
        <v>15</v>
      </c>
      <c r="F19" s="82">
        <v>4</v>
      </c>
      <c r="G19" s="68">
        <f>F19*E19</f>
        <v>60</v>
      </c>
      <c r="H19" s="69"/>
    </row>
    <row r="20" spans="1:8">
      <c r="A20" s="84"/>
      <c r="B20" s="80"/>
      <c r="C20" s="81"/>
      <c r="D20" s="66"/>
      <c r="E20" s="82"/>
      <c r="F20" s="83"/>
      <c r="G20" s="68"/>
      <c r="H20" s="69"/>
    </row>
    <row r="21" spans="1:8">
      <c r="A21" s="84"/>
      <c r="B21" s="80"/>
      <c r="C21" s="81"/>
      <c r="D21" s="70"/>
      <c r="E21" s="71"/>
      <c r="F21" s="85"/>
      <c r="G21" s="68"/>
      <c r="H21" s="69"/>
    </row>
    <row r="22" spans="1:8">
      <c r="A22" s="84"/>
      <c r="B22" s="80"/>
      <c r="C22" s="81"/>
      <c r="D22" s="70"/>
      <c r="E22" s="71"/>
      <c r="F22" s="85"/>
      <c r="G22" s="68"/>
      <c r="H22" s="69"/>
    </row>
    <row r="23" spans="1:8" ht="12.75" thickBot="1">
      <c r="A23" s="86"/>
      <c r="B23" s="87"/>
      <c r="C23" s="88"/>
      <c r="D23" s="72"/>
      <c r="E23" s="73"/>
      <c r="F23" s="74"/>
      <c r="G23" s="75"/>
      <c r="H23" s="76"/>
    </row>
    <row r="24" spans="1:8" ht="12.75" thickBot="1">
      <c r="G24" s="61" t="s">
        <v>9</v>
      </c>
      <c r="H24" s="165">
        <f>SUM(G19:G23)</f>
        <v>60</v>
      </c>
    </row>
    <row r="25" spans="1:8" ht="12.75" thickBot="1">
      <c r="A25" s="89" t="s">
        <v>14</v>
      </c>
      <c r="B25" s="89"/>
      <c r="C25" s="90"/>
    </row>
    <row r="26" spans="1:8">
      <c r="A26" s="128" t="s">
        <v>15</v>
      </c>
      <c r="B26" s="129"/>
      <c r="C26" s="130" t="s">
        <v>16</v>
      </c>
      <c r="D26" s="62" t="s">
        <v>17</v>
      </c>
      <c r="E26" s="62" t="s">
        <v>18</v>
      </c>
      <c r="F26" s="62" t="s">
        <v>19</v>
      </c>
      <c r="G26" s="92" t="s">
        <v>8</v>
      </c>
      <c r="H26" s="65"/>
    </row>
    <row r="27" spans="1:8">
      <c r="A27" s="84"/>
      <c r="B27" s="80"/>
      <c r="C27" s="93"/>
      <c r="D27" s="94"/>
      <c r="E27" s="95"/>
      <c r="F27" s="96"/>
      <c r="G27" s="97"/>
      <c r="H27" s="69"/>
    </row>
    <row r="28" spans="1:8">
      <c r="A28" s="84"/>
      <c r="B28" s="80"/>
      <c r="C28" s="98"/>
      <c r="D28" s="66"/>
      <c r="E28" s="99"/>
      <c r="F28" s="67"/>
      <c r="G28" s="67"/>
      <c r="H28" s="69"/>
    </row>
    <row r="29" spans="1:8" ht="12.75" thickBot="1">
      <c r="A29" s="86"/>
      <c r="B29" s="88"/>
      <c r="C29" s="72"/>
      <c r="D29" s="73"/>
      <c r="E29" s="74"/>
      <c r="F29" s="75"/>
      <c r="G29" s="72"/>
      <c r="H29" s="76"/>
    </row>
    <row r="30" spans="1:8" ht="12.75" thickBot="1">
      <c r="G30" s="61" t="s">
        <v>9</v>
      </c>
      <c r="H30" s="165">
        <f>SUM(G27:G29)</f>
        <v>0</v>
      </c>
    </row>
    <row r="31" spans="1:8" ht="12.75" thickBot="1">
      <c r="A31" s="89" t="s">
        <v>20</v>
      </c>
      <c r="B31" s="89"/>
    </row>
    <row r="32" spans="1:8">
      <c r="A32" s="128" t="s">
        <v>21</v>
      </c>
      <c r="B32" s="129"/>
      <c r="C32" s="100" t="s">
        <v>22</v>
      </c>
      <c r="D32" s="62" t="s">
        <v>23</v>
      </c>
      <c r="E32" s="63" t="s">
        <v>24</v>
      </c>
      <c r="F32" s="100" t="s">
        <v>7</v>
      </c>
      <c r="G32" s="64" t="s">
        <v>8</v>
      </c>
      <c r="H32" s="65"/>
    </row>
    <row r="33" spans="1:8" ht="12.75">
      <c r="A33" s="84" t="s">
        <v>292</v>
      </c>
      <c r="B33" s="80">
        <v>1</v>
      </c>
      <c r="C33" s="101">
        <v>42499</v>
      </c>
      <c r="D33" s="328">
        <v>1.8</v>
      </c>
      <c r="E33" s="166">
        <f>C33*D33</f>
        <v>76498.2</v>
      </c>
      <c r="F33" s="67">
        <v>600</v>
      </c>
      <c r="G33" s="167">
        <f>E33/F33</f>
        <v>127.497</v>
      </c>
      <c r="H33" s="69"/>
    </row>
    <row r="34" spans="1:8" ht="12.75">
      <c r="A34" s="326" t="s">
        <v>293</v>
      </c>
      <c r="B34" s="80">
        <v>1</v>
      </c>
      <c r="C34" s="101">
        <v>31874</v>
      </c>
      <c r="D34" s="328">
        <v>1.8</v>
      </c>
      <c r="E34" s="166">
        <f>C34*D34</f>
        <v>57373.200000000004</v>
      </c>
      <c r="F34" s="67">
        <v>600</v>
      </c>
      <c r="G34" s="167">
        <f>E34/F34</f>
        <v>95.622000000000014</v>
      </c>
      <c r="H34" s="327"/>
    </row>
    <row r="35" spans="1:8" ht="12.75" thickBot="1">
      <c r="A35" s="86"/>
      <c r="B35" s="87"/>
      <c r="C35" s="73"/>
      <c r="D35" s="103"/>
      <c r="E35" s="103"/>
      <c r="F35" s="103"/>
      <c r="G35" s="90"/>
      <c r="H35" s="76"/>
    </row>
    <row r="36" spans="1:8" ht="12.75" thickBot="1">
      <c r="G36" s="61" t="s">
        <v>9</v>
      </c>
      <c r="H36" s="165">
        <f>SUM(G33:G35)</f>
        <v>223.11900000000003</v>
      </c>
    </row>
    <row r="37" spans="1:8" ht="12.75" thickBot="1">
      <c r="G37" s="104"/>
    </row>
    <row r="38" spans="1:8" ht="12.75" thickBot="1">
      <c r="E38" s="105" t="s">
        <v>25</v>
      </c>
      <c r="F38" s="106"/>
      <c r="G38" s="106"/>
      <c r="H38" s="175">
        <f>ROUND(H16+H24+H30+H36,0)</f>
        <v>845</v>
      </c>
    </row>
    <row r="43" spans="1:8" s="194" customFormat="1" ht="14.25">
      <c r="A43" s="195" t="s">
        <v>134</v>
      </c>
      <c r="B43" s="195"/>
      <c r="C43" s="195"/>
      <c r="D43" s="197"/>
      <c r="E43" s="196"/>
      <c r="F43" s="196"/>
    </row>
    <row r="44" spans="1:8" s="194" customFormat="1" ht="14.25">
      <c r="A44" s="195" t="s">
        <v>131</v>
      </c>
      <c r="B44" s="195"/>
      <c r="C44" s="195"/>
      <c r="D44" s="197"/>
      <c r="E44" s="196"/>
      <c r="F44" s="196"/>
    </row>
  </sheetData>
  <mergeCells count="11">
    <mergeCell ref="A1:H2"/>
    <mergeCell ref="A18:C18"/>
    <mergeCell ref="A9:C9"/>
    <mergeCell ref="A11:C11"/>
    <mergeCell ref="A13:C13"/>
    <mergeCell ref="A15:C15"/>
    <mergeCell ref="B6:F7"/>
    <mergeCell ref="B3:H3"/>
    <mergeCell ref="A10:C10"/>
    <mergeCell ref="A12:C12"/>
    <mergeCell ref="A6:A7"/>
  </mergeCells>
  <printOptions horizontalCentered="1"/>
  <pageMargins left="0.74803149606299213" right="0.39370078740157483" top="0.9055118110236221" bottom="1.1811023622047245" header="0" footer="0"/>
  <pageSetup orientation="portrait" r:id="rId1"/>
  <headerFooter alignWithMargins="0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1">
    <tabColor rgb="FFFF0000"/>
  </sheetPr>
  <dimension ref="A1:M47"/>
  <sheetViews>
    <sheetView topLeftCell="A22" zoomScaleSheetLayoutView="100" workbookViewId="0">
      <selection activeCell="D17" sqref="D17"/>
    </sheetView>
  </sheetViews>
  <sheetFormatPr baseColWidth="10" defaultColWidth="9.28515625" defaultRowHeight="12.75"/>
  <cols>
    <col min="1" max="1" width="11.42578125" style="4" customWidth="1"/>
    <col min="2" max="2" width="10.42578125" style="4" customWidth="1"/>
    <col min="3" max="3" width="13" style="4" customWidth="1"/>
    <col min="4" max="4" width="11.42578125" style="107" customWidth="1"/>
    <col min="5" max="8" width="11.42578125" style="4" customWidth="1"/>
    <col min="9" max="9" width="15.42578125" style="4" customWidth="1"/>
    <col min="10" max="254" width="11.42578125" style="4" customWidth="1"/>
    <col min="255" max="255" width="10.42578125" style="4" customWidth="1"/>
    <col min="256" max="256" width="13" style="4" customWidth="1"/>
    <col min="257" max="510" width="11.42578125" style="4" customWidth="1"/>
    <col min="511" max="511" width="10.42578125" style="4" customWidth="1"/>
    <col min="512" max="512" width="13" style="4" customWidth="1"/>
    <col min="513" max="766" width="11.42578125" style="4" customWidth="1"/>
    <col min="767" max="767" width="10.42578125" style="4" customWidth="1"/>
    <col min="768" max="768" width="13" style="4" customWidth="1"/>
    <col min="769" max="1022" width="11.42578125" style="4" customWidth="1"/>
    <col min="1023" max="1023" width="10.42578125" style="4" customWidth="1"/>
    <col min="1024" max="1024" width="13" style="4" customWidth="1"/>
    <col min="1025" max="1278" width="11.42578125" style="4" customWidth="1"/>
    <col min="1279" max="1279" width="10.42578125" style="4" customWidth="1"/>
    <col min="1280" max="1280" width="13" style="4" customWidth="1"/>
    <col min="1281" max="1534" width="11.42578125" style="4" customWidth="1"/>
    <col min="1535" max="1535" width="10.42578125" style="4" customWidth="1"/>
    <col min="1536" max="1536" width="13" style="4" customWidth="1"/>
    <col min="1537" max="1790" width="11.42578125" style="4" customWidth="1"/>
    <col min="1791" max="1791" width="10.42578125" style="4" customWidth="1"/>
    <col min="1792" max="1792" width="13" style="4" customWidth="1"/>
    <col min="1793" max="2046" width="11.42578125" style="4" customWidth="1"/>
    <col min="2047" max="2047" width="10.42578125" style="4" customWidth="1"/>
    <col min="2048" max="2048" width="13" style="4" customWidth="1"/>
    <col min="2049" max="2302" width="11.42578125" style="4" customWidth="1"/>
    <col min="2303" max="2303" width="10.42578125" style="4" customWidth="1"/>
    <col min="2304" max="2304" width="13" style="4" customWidth="1"/>
    <col min="2305" max="2558" width="11.42578125" style="4" customWidth="1"/>
    <col min="2559" max="2559" width="10.42578125" style="4" customWidth="1"/>
    <col min="2560" max="2560" width="13" style="4" customWidth="1"/>
    <col min="2561" max="2814" width="11.42578125" style="4" customWidth="1"/>
    <col min="2815" max="2815" width="10.42578125" style="4" customWidth="1"/>
    <col min="2816" max="2816" width="13" style="4" customWidth="1"/>
    <col min="2817" max="3070" width="11.42578125" style="4" customWidth="1"/>
    <col min="3071" max="3071" width="10.42578125" style="4" customWidth="1"/>
    <col min="3072" max="3072" width="13" style="4" customWidth="1"/>
    <col min="3073" max="3326" width="11.42578125" style="4" customWidth="1"/>
    <col min="3327" max="3327" width="10.42578125" style="4" customWidth="1"/>
    <col min="3328" max="3328" width="13" style="4" customWidth="1"/>
    <col min="3329" max="3582" width="11.42578125" style="4" customWidth="1"/>
    <col min="3583" max="3583" width="10.42578125" style="4" customWidth="1"/>
    <col min="3584" max="3584" width="13" style="4" customWidth="1"/>
    <col min="3585" max="3838" width="11.42578125" style="4" customWidth="1"/>
    <col min="3839" max="3839" width="10.42578125" style="4" customWidth="1"/>
    <col min="3840" max="3840" width="13" style="4" customWidth="1"/>
    <col min="3841" max="4094" width="11.42578125" style="4" customWidth="1"/>
    <col min="4095" max="4095" width="10.42578125" style="4" customWidth="1"/>
    <col min="4096" max="4096" width="13" style="4" customWidth="1"/>
    <col min="4097" max="4350" width="11.42578125" style="4" customWidth="1"/>
    <col min="4351" max="4351" width="10.42578125" style="4" customWidth="1"/>
    <col min="4352" max="4352" width="13" style="4" customWidth="1"/>
    <col min="4353" max="4606" width="11.42578125" style="4" customWidth="1"/>
    <col min="4607" max="4607" width="10.42578125" style="4" customWidth="1"/>
    <col min="4608" max="4608" width="13" style="4" customWidth="1"/>
    <col min="4609" max="4862" width="11.42578125" style="4" customWidth="1"/>
    <col min="4863" max="4863" width="10.42578125" style="4" customWidth="1"/>
    <col min="4864" max="4864" width="13" style="4" customWidth="1"/>
    <col min="4865" max="5118" width="11.42578125" style="4" customWidth="1"/>
    <col min="5119" max="5119" width="10.42578125" style="4" customWidth="1"/>
    <col min="5120" max="5120" width="13" style="4" customWidth="1"/>
    <col min="5121" max="5374" width="11.42578125" style="4" customWidth="1"/>
    <col min="5375" max="5375" width="10.42578125" style="4" customWidth="1"/>
    <col min="5376" max="5376" width="13" style="4" customWidth="1"/>
    <col min="5377" max="5630" width="11.42578125" style="4" customWidth="1"/>
    <col min="5631" max="5631" width="10.42578125" style="4" customWidth="1"/>
    <col min="5632" max="5632" width="13" style="4" customWidth="1"/>
    <col min="5633" max="5886" width="11.42578125" style="4" customWidth="1"/>
    <col min="5887" max="5887" width="10.42578125" style="4" customWidth="1"/>
    <col min="5888" max="5888" width="13" style="4" customWidth="1"/>
    <col min="5889" max="6142" width="11.42578125" style="4" customWidth="1"/>
    <col min="6143" max="6143" width="10.42578125" style="4" customWidth="1"/>
    <col min="6144" max="6144" width="13" style="4" customWidth="1"/>
    <col min="6145" max="6398" width="11.42578125" style="4" customWidth="1"/>
    <col min="6399" max="6399" width="10.42578125" style="4" customWidth="1"/>
    <col min="6400" max="6400" width="13" style="4" customWidth="1"/>
    <col min="6401" max="6654" width="11.42578125" style="4" customWidth="1"/>
    <col min="6655" max="6655" width="10.42578125" style="4" customWidth="1"/>
    <col min="6656" max="6656" width="13" style="4" customWidth="1"/>
    <col min="6657" max="6910" width="11.42578125" style="4" customWidth="1"/>
    <col min="6911" max="6911" width="10.42578125" style="4" customWidth="1"/>
    <col min="6912" max="6912" width="13" style="4" customWidth="1"/>
    <col min="6913" max="7166" width="11.42578125" style="4" customWidth="1"/>
    <col min="7167" max="7167" width="10.42578125" style="4" customWidth="1"/>
    <col min="7168" max="7168" width="13" style="4" customWidth="1"/>
    <col min="7169" max="7422" width="11.42578125" style="4" customWidth="1"/>
    <col min="7423" max="7423" width="10.42578125" style="4" customWidth="1"/>
    <col min="7424" max="7424" width="13" style="4" customWidth="1"/>
    <col min="7425" max="7678" width="11.42578125" style="4" customWidth="1"/>
    <col min="7679" max="7679" width="10.42578125" style="4" customWidth="1"/>
    <col min="7680" max="7680" width="13" style="4" customWidth="1"/>
    <col min="7681" max="7934" width="11.42578125" style="4" customWidth="1"/>
    <col min="7935" max="7935" width="10.42578125" style="4" customWidth="1"/>
    <col min="7936" max="7936" width="13" style="4" customWidth="1"/>
    <col min="7937" max="8190" width="11.42578125" style="4" customWidth="1"/>
    <col min="8191" max="8191" width="10.42578125" style="4" customWidth="1"/>
    <col min="8192" max="8192" width="13" style="4" customWidth="1"/>
    <col min="8193" max="8446" width="11.42578125" style="4" customWidth="1"/>
    <col min="8447" max="8447" width="10.42578125" style="4" customWidth="1"/>
    <col min="8448" max="8448" width="13" style="4" customWidth="1"/>
    <col min="8449" max="8702" width="11.42578125" style="4" customWidth="1"/>
    <col min="8703" max="8703" width="10.42578125" style="4" customWidth="1"/>
    <col min="8704" max="8704" width="13" style="4" customWidth="1"/>
    <col min="8705" max="8958" width="11.42578125" style="4" customWidth="1"/>
    <col min="8959" max="8959" width="10.42578125" style="4" customWidth="1"/>
    <col min="8960" max="8960" width="13" style="4" customWidth="1"/>
    <col min="8961" max="9214" width="11.42578125" style="4" customWidth="1"/>
    <col min="9215" max="9215" width="10.42578125" style="4" customWidth="1"/>
    <col min="9216" max="9216" width="13" style="4" customWidth="1"/>
    <col min="9217" max="9470" width="11.42578125" style="4" customWidth="1"/>
    <col min="9471" max="9471" width="10.42578125" style="4" customWidth="1"/>
    <col min="9472" max="9472" width="13" style="4" customWidth="1"/>
    <col min="9473" max="9726" width="11.42578125" style="4" customWidth="1"/>
    <col min="9727" max="9727" width="10.42578125" style="4" customWidth="1"/>
    <col min="9728" max="9728" width="13" style="4" customWidth="1"/>
    <col min="9729" max="9982" width="11.42578125" style="4" customWidth="1"/>
    <col min="9983" max="9983" width="10.42578125" style="4" customWidth="1"/>
    <col min="9984" max="9984" width="13" style="4" customWidth="1"/>
    <col min="9985" max="10238" width="11.42578125" style="4" customWidth="1"/>
    <col min="10239" max="10239" width="10.42578125" style="4" customWidth="1"/>
    <col min="10240" max="10240" width="13" style="4" customWidth="1"/>
    <col min="10241" max="10494" width="11.42578125" style="4" customWidth="1"/>
    <col min="10495" max="10495" width="10.42578125" style="4" customWidth="1"/>
    <col min="10496" max="10496" width="13" style="4" customWidth="1"/>
    <col min="10497" max="10750" width="11.42578125" style="4" customWidth="1"/>
    <col min="10751" max="10751" width="10.42578125" style="4" customWidth="1"/>
    <col min="10752" max="10752" width="13" style="4" customWidth="1"/>
    <col min="10753" max="11006" width="11.42578125" style="4" customWidth="1"/>
    <col min="11007" max="11007" width="10.42578125" style="4" customWidth="1"/>
    <col min="11008" max="11008" width="13" style="4" customWidth="1"/>
    <col min="11009" max="11262" width="11.42578125" style="4" customWidth="1"/>
    <col min="11263" max="11263" width="10.42578125" style="4" customWidth="1"/>
    <col min="11264" max="11264" width="13" style="4" customWidth="1"/>
    <col min="11265" max="11518" width="11.42578125" style="4" customWidth="1"/>
    <col min="11519" max="11519" width="10.42578125" style="4" customWidth="1"/>
    <col min="11520" max="11520" width="13" style="4" customWidth="1"/>
    <col min="11521" max="11774" width="11.42578125" style="4" customWidth="1"/>
    <col min="11775" max="11775" width="10.42578125" style="4" customWidth="1"/>
    <col min="11776" max="11776" width="13" style="4" customWidth="1"/>
    <col min="11777" max="12030" width="11.42578125" style="4" customWidth="1"/>
    <col min="12031" max="12031" width="10.42578125" style="4" customWidth="1"/>
    <col min="12032" max="12032" width="13" style="4" customWidth="1"/>
    <col min="12033" max="12286" width="11.42578125" style="4" customWidth="1"/>
    <col min="12287" max="12287" width="10.42578125" style="4" customWidth="1"/>
    <col min="12288" max="12288" width="13" style="4" customWidth="1"/>
    <col min="12289" max="12542" width="11.42578125" style="4" customWidth="1"/>
    <col min="12543" max="12543" width="10.42578125" style="4" customWidth="1"/>
    <col min="12544" max="12544" width="13" style="4" customWidth="1"/>
    <col min="12545" max="12798" width="11.42578125" style="4" customWidth="1"/>
    <col min="12799" max="12799" width="10.42578125" style="4" customWidth="1"/>
    <col min="12800" max="12800" width="13" style="4" customWidth="1"/>
    <col min="12801" max="13054" width="11.42578125" style="4" customWidth="1"/>
    <col min="13055" max="13055" width="10.42578125" style="4" customWidth="1"/>
    <col min="13056" max="13056" width="13" style="4" customWidth="1"/>
    <col min="13057" max="13310" width="11.42578125" style="4" customWidth="1"/>
    <col min="13311" max="13311" width="10.42578125" style="4" customWidth="1"/>
    <col min="13312" max="13312" width="13" style="4" customWidth="1"/>
    <col min="13313" max="13566" width="11.42578125" style="4" customWidth="1"/>
    <col min="13567" max="13567" width="10.42578125" style="4" customWidth="1"/>
    <col min="13568" max="13568" width="13" style="4" customWidth="1"/>
    <col min="13569" max="13822" width="11.42578125" style="4" customWidth="1"/>
    <col min="13823" max="13823" width="10.42578125" style="4" customWidth="1"/>
    <col min="13824" max="13824" width="13" style="4" customWidth="1"/>
    <col min="13825" max="14078" width="11.42578125" style="4" customWidth="1"/>
    <col min="14079" max="14079" width="10.42578125" style="4" customWidth="1"/>
    <col min="14080" max="14080" width="13" style="4" customWidth="1"/>
    <col min="14081" max="14334" width="11.42578125" style="4" customWidth="1"/>
    <col min="14335" max="14335" width="10.42578125" style="4" customWidth="1"/>
    <col min="14336" max="14336" width="13" style="4" customWidth="1"/>
    <col min="14337" max="14590" width="11.42578125" style="4" customWidth="1"/>
    <col min="14591" max="14591" width="10.42578125" style="4" customWidth="1"/>
    <col min="14592" max="14592" width="13" style="4" customWidth="1"/>
    <col min="14593" max="14846" width="11.42578125" style="4" customWidth="1"/>
    <col min="14847" max="14847" width="10.42578125" style="4" customWidth="1"/>
    <col min="14848" max="14848" width="13" style="4" customWidth="1"/>
    <col min="14849" max="15102" width="11.42578125" style="4" customWidth="1"/>
    <col min="15103" max="15103" width="10.42578125" style="4" customWidth="1"/>
    <col min="15104" max="15104" width="13" style="4" customWidth="1"/>
    <col min="15105" max="15358" width="11.42578125" style="4" customWidth="1"/>
    <col min="15359" max="15359" width="10.42578125" style="4" customWidth="1"/>
    <col min="15360" max="15360" width="13" style="4" customWidth="1"/>
    <col min="15361" max="15614" width="11.42578125" style="4" customWidth="1"/>
    <col min="15615" max="15615" width="10.42578125" style="4" customWidth="1"/>
    <col min="15616" max="15616" width="13" style="4" customWidth="1"/>
    <col min="15617" max="15870" width="11.42578125" style="4" customWidth="1"/>
    <col min="15871" max="15871" width="10.42578125" style="4" customWidth="1"/>
    <col min="15872" max="15872" width="13" style="4" customWidth="1"/>
    <col min="15873" max="16126" width="11.42578125" style="4" customWidth="1"/>
    <col min="16127" max="16127" width="10.42578125" style="4" customWidth="1"/>
    <col min="16128" max="16128" width="13" style="4" customWidth="1"/>
    <col min="16129" max="16384" width="11.42578125" style="4" customWidth="1"/>
  </cols>
  <sheetData>
    <row r="1" spans="1:9" s="56" customFormat="1" ht="15" customHeight="1">
      <c r="A1" s="891" t="s">
        <v>2</v>
      </c>
      <c r="B1" s="892"/>
      <c r="C1" s="892"/>
      <c r="D1" s="892"/>
      <c r="E1" s="892"/>
      <c r="F1" s="892"/>
      <c r="G1" s="892"/>
      <c r="H1" s="893"/>
    </row>
    <row r="2" spans="1:9" s="56" customFormat="1" ht="5.25" customHeight="1" thickBot="1">
      <c r="A2" s="894"/>
      <c r="B2" s="895"/>
      <c r="C2" s="895"/>
      <c r="D2" s="895"/>
      <c r="E2" s="895"/>
      <c r="F2" s="895"/>
      <c r="G2" s="895"/>
      <c r="H2" s="896"/>
    </row>
    <row r="3" spans="1:9" s="56" customFormat="1" ht="56.25" customHeight="1" thickBot="1">
      <c r="A3" s="322"/>
      <c r="B3" s="907" t="s">
        <v>393</v>
      </c>
      <c r="C3" s="908"/>
      <c r="D3" s="908"/>
      <c r="E3" s="908"/>
      <c r="F3" s="908"/>
      <c r="G3" s="908"/>
      <c r="H3" s="909"/>
    </row>
    <row r="4" spans="1:9">
      <c r="A4" s="5"/>
      <c r="B4" s="6"/>
      <c r="C4" s="6"/>
      <c r="D4" s="52"/>
      <c r="E4" s="6"/>
      <c r="F4" s="6"/>
      <c r="G4" s="6"/>
      <c r="H4" s="6"/>
    </row>
    <row r="5" spans="1:9">
      <c r="A5" s="5"/>
      <c r="B5" s="7"/>
      <c r="C5" s="6"/>
      <c r="E5" s="7"/>
      <c r="G5" s="8"/>
      <c r="H5" s="9"/>
    </row>
    <row r="6" spans="1:9">
      <c r="A6" s="57" t="s">
        <v>295</v>
      </c>
      <c r="B6" s="906" t="s">
        <v>286</v>
      </c>
      <c r="C6" s="906"/>
      <c r="D6" s="906"/>
      <c r="E6" s="906"/>
      <c r="F6" s="906"/>
      <c r="G6" s="58" t="s">
        <v>30</v>
      </c>
      <c r="H6" s="61" t="s">
        <v>0</v>
      </c>
    </row>
    <row r="7" spans="1:9">
      <c r="A7" s="58"/>
      <c r="B7" s="906"/>
      <c r="C7" s="906"/>
      <c r="D7" s="906"/>
      <c r="E7" s="906"/>
      <c r="F7" s="906"/>
      <c r="G7" s="7"/>
      <c r="H7" s="6"/>
    </row>
    <row r="8" spans="1:9" ht="13.5" thickBot="1">
      <c r="A8" s="10" t="s">
        <v>3</v>
      </c>
      <c r="B8" s="10"/>
      <c r="C8" s="6"/>
      <c r="D8" s="52"/>
      <c r="E8" s="6"/>
      <c r="F8" s="6"/>
      <c r="G8" s="6"/>
      <c r="H8" s="6"/>
    </row>
    <row r="9" spans="1:9">
      <c r="A9" s="912" t="s">
        <v>4</v>
      </c>
      <c r="B9" s="913"/>
      <c r="C9" s="914"/>
      <c r="D9" s="11" t="s">
        <v>5</v>
      </c>
      <c r="E9" s="12" t="s">
        <v>6</v>
      </c>
      <c r="F9" s="11" t="s">
        <v>7</v>
      </c>
      <c r="G9" s="13" t="s">
        <v>8</v>
      </c>
      <c r="H9" s="14"/>
    </row>
    <row r="10" spans="1:9">
      <c r="A10" s="900" t="s">
        <v>290</v>
      </c>
      <c r="B10" s="901"/>
      <c r="C10" s="902"/>
      <c r="D10" s="324"/>
      <c r="E10" s="82">
        <f>EQUIPO!D11</f>
        <v>50000</v>
      </c>
      <c r="F10" s="325">
        <v>6.8000000000000005E-2</v>
      </c>
      <c r="G10" s="167">
        <f>F10*E10</f>
        <v>3400.0000000000005</v>
      </c>
      <c r="H10" s="18"/>
    </row>
    <row r="11" spans="1:9">
      <c r="A11" s="900" t="str">
        <f>EQUIPO!B12</f>
        <v>MOTONIVELADORA 120 HP</v>
      </c>
      <c r="B11" s="901"/>
      <c r="C11" s="902"/>
      <c r="D11" s="66"/>
      <c r="E11" s="82">
        <f>EQUIPO!D12</f>
        <v>120000</v>
      </c>
      <c r="F11" s="325">
        <v>6.8000000000000005E-2</v>
      </c>
      <c r="G11" s="167">
        <f t="shared" ref="G11:G12" si="0">F11*E11</f>
        <v>8160.0000000000009</v>
      </c>
      <c r="H11" s="18"/>
    </row>
    <row r="12" spans="1:9">
      <c r="A12" s="900" t="s">
        <v>291</v>
      </c>
      <c r="B12" s="901"/>
      <c r="C12" s="902"/>
      <c r="D12" s="66"/>
      <c r="E12" s="82">
        <f>EQUIPO!D13</f>
        <v>100000</v>
      </c>
      <c r="F12" s="325">
        <v>6.8000000000000005E-2</v>
      </c>
      <c r="G12" s="167">
        <f t="shared" si="0"/>
        <v>6800.0000000000009</v>
      </c>
      <c r="H12" s="18"/>
    </row>
    <row r="13" spans="1:9" ht="13.5" thickBot="1">
      <c r="A13" s="900" t="s">
        <v>306</v>
      </c>
      <c r="B13" s="901"/>
      <c r="C13" s="902"/>
      <c r="D13" s="66"/>
      <c r="E13" s="82"/>
      <c r="F13" s="67"/>
      <c r="G13" s="167">
        <f>H38*0.1</f>
        <v>382.48920000000004</v>
      </c>
      <c r="H13" s="25"/>
    </row>
    <row r="14" spans="1:9" ht="13.5" thickBot="1">
      <c r="A14" s="6"/>
      <c r="B14" s="6"/>
      <c r="C14" s="6"/>
      <c r="D14" s="52"/>
      <c r="E14" s="6"/>
      <c r="F14" s="6"/>
      <c r="G14" s="26" t="s">
        <v>9</v>
      </c>
      <c r="H14" s="77">
        <f>SUM(G10:G13)</f>
        <v>18742.489200000004</v>
      </c>
      <c r="I14" s="28"/>
    </row>
    <row r="15" spans="1:9" ht="13.5" thickBot="1">
      <c r="A15" s="10" t="s">
        <v>10</v>
      </c>
      <c r="B15" s="10"/>
      <c r="C15" s="6"/>
      <c r="D15" s="52"/>
      <c r="E15" s="6"/>
      <c r="F15" s="6"/>
      <c r="G15" s="6"/>
      <c r="H15" s="6"/>
    </row>
    <row r="16" spans="1:9">
      <c r="A16" s="912" t="s">
        <v>4</v>
      </c>
      <c r="B16" s="913"/>
      <c r="C16" s="914"/>
      <c r="D16" s="11" t="s">
        <v>11</v>
      </c>
      <c r="E16" s="11" t="s">
        <v>12</v>
      </c>
      <c r="F16" s="11" t="s">
        <v>13</v>
      </c>
      <c r="G16" s="13" t="s">
        <v>8</v>
      </c>
      <c r="H16" s="14"/>
    </row>
    <row r="17" spans="1:13">
      <c r="A17" s="79" t="s">
        <v>32</v>
      </c>
      <c r="B17" s="80"/>
      <c r="C17" s="81"/>
      <c r="D17" s="66" t="s">
        <v>294</v>
      </c>
      <c r="E17" s="82">
        <f>'Despiece de Insumos'!D9</f>
        <v>15</v>
      </c>
      <c r="F17" s="82">
        <v>5</v>
      </c>
      <c r="G17" s="68">
        <f>F17*E17</f>
        <v>75</v>
      </c>
      <c r="H17" s="18"/>
      <c r="K17" s="151"/>
      <c r="M17" s="10"/>
    </row>
    <row r="18" spans="1:13">
      <c r="A18" s="84"/>
      <c r="B18" s="80"/>
      <c r="C18" s="81"/>
      <c r="D18" s="66"/>
      <c r="E18" s="82"/>
      <c r="F18" s="83"/>
      <c r="G18" s="68"/>
      <c r="H18" s="18"/>
      <c r="M18" s="10"/>
    </row>
    <row r="19" spans="1:13">
      <c r="A19" s="29"/>
      <c r="B19" s="30"/>
      <c r="C19" s="30"/>
      <c r="D19" s="118"/>
      <c r="E19" s="144"/>
      <c r="F19" s="33"/>
      <c r="G19" s="188"/>
      <c r="H19" s="18"/>
    </row>
    <row r="20" spans="1:13">
      <c r="A20" s="29"/>
      <c r="B20" s="30"/>
      <c r="C20" s="30"/>
      <c r="D20" s="15"/>
      <c r="E20" s="145"/>
      <c r="F20" s="33"/>
      <c r="G20" s="188"/>
      <c r="H20" s="18"/>
    </row>
    <row r="21" spans="1:13">
      <c r="A21" s="29"/>
      <c r="B21" s="30"/>
      <c r="C21" s="30"/>
      <c r="D21" s="19"/>
      <c r="E21" s="147"/>
      <c r="F21" s="36"/>
      <c r="G21" s="188"/>
      <c r="H21" s="18"/>
    </row>
    <row r="22" spans="1:13">
      <c r="A22" s="160"/>
      <c r="B22" s="125"/>
      <c r="C22" s="125"/>
      <c r="D22" s="19"/>
      <c r="E22" s="162"/>
      <c r="F22" s="20"/>
      <c r="G22" s="189"/>
      <c r="H22" s="18"/>
    </row>
    <row r="23" spans="1:13" ht="13.5" thickBot="1">
      <c r="A23" s="37"/>
      <c r="B23" s="38"/>
      <c r="C23" s="38"/>
      <c r="D23" s="21"/>
      <c r="E23" s="146"/>
      <c r="F23" s="23"/>
      <c r="G23" s="190"/>
      <c r="H23" s="25"/>
    </row>
    <row r="24" spans="1:13" ht="13.5" thickBot="1">
      <c r="A24" s="6"/>
      <c r="B24" s="6"/>
      <c r="C24" s="6"/>
      <c r="D24" s="52"/>
      <c r="E24" s="6"/>
      <c r="F24" s="6"/>
      <c r="G24" s="26" t="s">
        <v>9</v>
      </c>
      <c r="H24" s="165">
        <f>SUM(G17:G23)</f>
        <v>75</v>
      </c>
      <c r="I24" s="28"/>
    </row>
    <row r="25" spans="1:13" ht="13.5" thickBot="1">
      <c r="A25" s="40" t="s">
        <v>14</v>
      </c>
      <c r="B25" s="40"/>
      <c r="C25" s="41"/>
      <c r="D25" s="52"/>
      <c r="E25" s="6"/>
      <c r="F25" s="6"/>
      <c r="G25" s="6"/>
      <c r="H25" s="6"/>
    </row>
    <row r="26" spans="1:13">
      <c r="A26" s="43" t="s">
        <v>15</v>
      </c>
      <c r="B26" s="44"/>
      <c r="C26" s="45" t="s">
        <v>16</v>
      </c>
      <c r="D26" s="11" t="s">
        <v>17</v>
      </c>
      <c r="E26" s="11" t="s">
        <v>18</v>
      </c>
      <c r="F26" s="11" t="s">
        <v>19</v>
      </c>
      <c r="G26" s="46" t="s">
        <v>8</v>
      </c>
      <c r="H26" s="14"/>
    </row>
    <row r="27" spans="1:13" s="185" customFormat="1">
      <c r="A27" s="84"/>
      <c r="B27" s="80"/>
      <c r="C27" s="93"/>
      <c r="D27" s="94"/>
      <c r="E27" s="96"/>
      <c r="F27" s="170"/>
      <c r="G27" s="97"/>
      <c r="H27" s="184"/>
    </row>
    <row r="28" spans="1:13">
      <c r="A28" s="35"/>
      <c r="B28" s="30"/>
      <c r="C28" s="113"/>
      <c r="D28" s="108"/>
      <c r="E28" s="111"/>
      <c r="F28" s="16"/>
      <c r="G28" s="47"/>
      <c r="H28" s="18"/>
    </row>
    <row r="29" spans="1:13" ht="13.5" thickBot="1">
      <c r="A29" s="37"/>
      <c r="B29" s="39"/>
      <c r="C29" s="21"/>
      <c r="D29" s="21"/>
      <c r="E29" s="23"/>
      <c r="F29" s="24"/>
      <c r="G29" s="21"/>
      <c r="H29" s="18"/>
    </row>
    <row r="30" spans="1:13" ht="13.5" thickBot="1">
      <c r="A30" s="6"/>
      <c r="B30" s="6"/>
      <c r="C30" s="6"/>
      <c r="D30" s="52"/>
      <c r="E30" s="6"/>
      <c r="F30" s="6"/>
      <c r="G30" s="26" t="s">
        <v>9</v>
      </c>
      <c r="H30" s="77">
        <f>SUM(G27:G29)</f>
        <v>0</v>
      </c>
      <c r="I30" s="28"/>
    </row>
    <row r="31" spans="1:13" ht="13.5" thickBot="1">
      <c r="A31" s="40" t="s">
        <v>20</v>
      </c>
      <c r="B31" s="40"/>
      <c r="C31" s="6"/>
      <c r="D31" s="52"/>
      <c r="E31" s="6"/>
      <c r="F31" s="6"/>
      <c r="G31" s="6"/>
      <c r="H31" s="6"/>
    </row>
    <row r="32" spans="1:13">
      <c r="A32" s="43" t="s">
        <v>21</v>
      </c>
      <c r="B32" s="44"/>
      <c r="C32" s="48" t="s">
        <v>22</v>
      </c>
      <c r="D32" s="11" t="s">
        <v>23</v>
      </c>
      <c r="E32" s="12" t="s">
        <v>24</v>
      </c>
      <c r="F32" s="48" t="s">
        <v>7</v>
      </c>
      <c r="G32" s="13" t="s">
        <v>8</v>
      </c>
      <c r="H32" s="14"/>
    </row>
    <row r="33" spans="1:9">
      <c r="A33" s="35" t="s">
        <v>31</v>
      </c>
      <c r="B33" s="30">
        <v>1</v>
      </c>
      <c r="C33" s="135">
        <v>42499</v>
      </c>
      <c r="D33" s="172">
        <v>1.8</v>
      </c>
      <c r="E33" s="16">
        <f t="shared" ref="E33" si="1">+D33*C33</f>
        <v>76498.2</v>
      </c>
      <c r="F33" s="16">
        <v>50</v>
      </c>
      <c r="G33" s="141">
        <f t="shared" ref="G33:G34" si="2">+E33/F33</f>
        <v>1529.9639999999999</v>
      </c>
      <c r="H33" s="18"/>
      <c r="I33" s="28"/>
    </row>
    <row r="34" spans="1:9">
      <c r="A34" s="35" t="s">
        <v>54</v>
      </c>
      <c r="B34" s="30">
        <v>2</v>
      </c>
      <c r="C34" s="135">
        <v>31874</v>
      </c>
      <c r="D34" s="172">
        <v>1.8</v>
      </c>
      <c r="E34" s="16">
        <f>+D34*C34*B34</f>
        <v>114746.40000000001</v>
      </c>
      <c r="F34" s="16">
        <v>50</v>
      </c>
      <c r="G34" s="141">
        <f t="shared" si="2"/>
        <v>2294.9280000000003</v>
      </c>
      <c r="H34" s="18"/>
      <c r="I34" s="28"/>
    </row>
    <row r="35" spans="1:9">
      <c r="A35" s="35"/>
      <c r="B35" s="30"/>
      <c r="C35" s="32"/>
      <c r="D35" s="173"/>
      <c r="E35" s="32"/>
      <c r="F35" s="16"/>
      <c r="G35" s="17"/>
      <c r="H35" s="18"/>
    </row>
    <row r="36" spans="1:9">
      <c r="A36" s="35"/>
      <c r="B36" s="30"/>
      <c r="C36" s="32"/>
      <c r="D36" s="15"/>
      <c r="E36" s="32"/>
      <c r="F36" s="16"/>
      <c r="G36" s="17"/>
      <c r="H36" s="18"/>
      <c r="I36" s="28"/>
    </row>
    <row r="37" spans="1:9" ht="13.5" thickBot="1">
      <c r="A37" s="37"/>
      <c r="B37" s="38"/>
      <c r="C37" s="22"/>
      <c r="D37" s="114"/>
      <c r="E37" s="51"/>
      <c r="F37" s="51"/>
      <c r="G37" s="41"/>
      <c r="H37" s="25"/>
    </row>
    <row r="38" spans="1:9" ht="13.5" thickBot="1">
      <c r="A38" s="6"/>
      <c r="B38" s="6"/>
      <c r="C38" s="6"/>
      <c r="D38" s="52"/>
      <c r="E38" s="6"/>
      <c r="F38" s="6"/>
      <c r="G38" s="26" t="s">
        <v>9</v>
      </c>
      <c r="H38" s="77">
        <f>SUM(G33:G37)</f>
        <v>3824.8920000000003</v>
      </c>
    </row>
    <row r="39" spans="1:9" ht="13.5" thickBot="1">
      <c r="A39" s="6"/>
      <c r="B39" s="6"/>
      <c r="C39" s="6"/>
      <c r="D39" s="52"/>
      <c r="E39" s="6"/>
      <c r="F39" s="6"/>
      <c r="G39" s="52"/>
      <c r="H39" s="6"/>
    </row>
    <row r="40" spans="1:9" ht="13.5" thickBot="1">
      <c r="A40" s="6"/>
      <c r="B40" s="6"/>
      <c r="C40" s="6"/>
      <c r="D40" s="52"/>
      <c r="E40" s="53" t="s">
        <v>25</v>
      </c>
      <c r="F40" s="54"/>
      <c r="G40" s="54"/>
      <c r="H40" s="27">
        <f>ROUND(H14+H24+H30+H38,0)</f>
        <v>22642</v>
      </c>
      <c r="I40" s="28"/>
    </row>
    <row r="45" spans="1:9" s="194" customFormat="1" ht="14.25">
      <c r="A45" s="195" t="s">
        <v>134</v>
      </c>
      <c r="B45" s="195"/>
      <c r="C45" s="195"/>
      <c r="D45" s="197"/>
      <c r="E45" s="196"/>
      <c r="F45" s="196"/>
    </row>
    <row r="46" spans="1:9" s="194" customFormat="1" ht="14.25">
      <c r="A46" s="195" t="s">
        <v>131</v>
      </c>
      <c r="B46" s="195"/>
      <c r="C46" s="195"/>
      <c r="D46" s="197"/>
      <c r="E46" s="196"/>
      <c r="F46" s="196"/>
    </row>
    <row r="47" spans="1:9" hidden="1"/>
  </sheetData>
  <mergeCells count="9">
    <mergeCell ref="A11:C11"/>
    <mergeCell ref="A12:C12"/>
    <mergeCell ref="A13:C13"/>
    <mergeCell ref="A16:C16"/>
    <mergeCell ref="A1:H2"/>
    <mergeCell ref="B3:H3"/>
    <mergeCell ref="B6:F7"/>
    <mergeCell ref="A9:C9"/>
    <mergeCell ref="A10:C10"/>
  </mergeCells>
  <pageMargins left="0.82677165354330717" right="3.937007874015748E-2" top="0.9375" bottom="1.25" header="0.31496062992125984" footer="0.31496062992125984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0000"/>
  </sheetPr>
  <dimension ref="A1:M47"/>
  <sheetViews>
    <sheetView view="pageBreakPreview" topLeftCell="A31" zoomScale="118" zoomScaleSheetLayoutView="118" workbookViewId="0">
      <selection activeCell="D17" sqref="D17"/>
    </sheetView>
  </sheetViews>
  <sheetFormatPr baseColWidth="10" defaultColWidth="9.28515625" defaultRowHeight="12.75"/>
  <cols>
    <col min="1" max="1" width="11.42578125" style="4" customWidth="1"/>
    <col min="2" max="2" width="10.42578125" style="4" customWidth="1"/>
    <col min="3" max="3" width="13.42578125" style="4" customWidth="1"/>
    <col min="4" max="4" width="11.42578125" style="107" customWidth="1"/>
    <col min="5" max="8" width="11.42578125" style="4" customWidth="1"/>
    <col min="9" max="9" width="15.42578125" style="4" customWidth="1"/>
    <col min="10" max="254" width="11.42578125" style="4" customWidth="1"/>
    <col min="255" max="255" width="10.42578125" style="4" customWidth="1"/>
    <col min="256" max="256" width="13" style="4" customWidth="1"/>
    <col min="257" max="510" width="11.42578125" style="4" customWidth="1"/>
    <col min="511" max="511" width="10.42578125" style="4" customWidth="1"/>
    <col min="512" max="512" width="13" style="4" customWidth="1"/>
    <col min="513" max="766" width="11.42578125" style="4" customWidth="1"/>
    <col min="767" max="767" width="10.42578125" style="4" customWidth="1"/>
    <col min="768" max="768" width="13" style="4" customWidth="1"/>
    <col min="769" max="1022" width="11.42578125" style="4" customWidth="1"/>
    <col min="1023" max="1023" width="10.42578125" style="4" customWidth="1"/>
    <col min="1024" max="1024" width="13" style="4" customWidth="1"/>
    <col min="1025" max="1278" width="11.42578125" style="4" customWidth="1"/>
    <col min="1279" max="1279" width="10.42578125" style="4" customWidth="1"/>
    <col min="1280" max="1280" width="13" style="4" customWidth="1"/>
    <col min="1281" max="1534" width="11.42578125" style="4" customWidth="1"/>
    <col min="1535" max="1535" width="10.42578125" style="4" customWidth="1"/>
    <col min="1536" max="1536" width="13" style="4" customWidth="1"/>
    <col min="1537" max="1790" width="11.42578125" style="4" customWidth="1"/>
    <col min="1791" max="1791" width="10.42578125" style="4" customWidth="1"/>
    <col min="1792" max="1792" width="13" style="4" customWidth="1"/>
    <col min="1793" max="2046" width="11.42578125" style="4" customWidth="1"/>
    <col min="2047" max="2047" width="10.42578125" style="4" customWidth="1"/>
    <col min="2048" max="2048" width="13" style="4" customWidth="1"/>
    <col min="2049" max="2302" width="11.42578125" style="4" customWidth="1"/>
    <col min="2303" max="2303" width="10.42578125" style="4" customWidth="1"/>
    <col min="2304" max="2304" width="13" style="4" customWidth="1"/>
    <col min="2305" max="2558" width="11.42578125" style="4" customWidth="1"/>
    <col min="2559" max="2559" width="10.42578125" style="4" customWidth="1"/>
    <col min="2560" max="2560" width="13" style="4" customWidth="1"/>
    <col min="2561" max="2814" width="11.42578125" style="4" customWidth="1"/>
    <col min="2815" max="2815" width="10.42578125" style="4" customWidth="1"/>
    <col min="2816" max="2816" width="13" style="4" customWidth="1"/>
    <col min="2817" max="3070" width="11.42578125" style="4" customWidth="1"/>
    <col min="3071" max="3071" width="10.42578125" style="4" customWidth="1"/>
    <col min="3072" max="3072" width="13" style="4" customWidth="1"/>
    <col min="3073" max="3326" width="11.42578125" style="4" customWidth="1"/>
    <col min="3327" max="3327" width="10.42578125" style="4" customWidth="1"/>
    <col min="3328" max="3328" width="13" style="4" customWidth="1"/>
    <col min="3329" max="3582" width="11.42578125" style="4" customWidth="1"/>
    <col min="3583" max="3583" width="10.42578125" style="4" customWidth="1"/>
    <col min="3584" max="3584" width="13" style="4" customWidth="1"/>
    <col min="3585" max="3838" width="11.42578125" style="4" customWidth="1"/>
    <col min="3839" max="3839" width="10.42578125" style="4" customWidth="1"/>
    <col min="3840" max="3840" width="13" style="4" customWidth="1"/>
    <col min="3841" max="4094" width="11.42578125" style="4" customWidth="1"/>
    <col min="4095" max="4095" width="10.42578125" style="4" customWidth="1"/>
    <col min="4096" max="4096" width="13" style="4" customWidth="1"/>
    <col min="4097" max="4350" width="11.42578125" style="4" customWidth="1"/>
    <col min="4351" max="4351" width="10.42578125" style="4" customWidth="1"/>
    <col min="4352" max="4352" width="13" style="4" customWidth="1"/>
    <col min="4353" max="4606" width="11.42578125" style="4" customWidth="1"/>
    <col min="4607" max="4607" width="10.42578125" style="4" customWidth="1"/>
    <col min="4608" max="4608" width="13" style="4" customWidth="1"/>
    <col min="4609" max="4862" width="11.42578125" style="4" customWidth="1"/>
    <col min="4863" max="4863" width="10.42578125" style="4" customWidth="1"/>
    <col min="4864" max="4864" width="13" style="4" customWidth="1"/>
    <col min="4865" max="5118" width="11.42578125" style="4" customWidth="1"/>
    <col min="5119" max="5119" width="10.42578125" style="4" customWidth="1"/>
    <col min="5120" max="5120" width="13" style="4" customWidth="1"/>
    <col min="5121" max="5374" width="11.42578125" style="4" customWidth="1"/>
    <col min="5375" max="5375" width="10.42578125" style="4" customWidth="1"/>
    <col min="5376" max="5376" width="13" style="4" customWidth="1"/>
    <col min="5377" max="5630" width="11.42578125" style="4" customWidth="1"/>
    <col min="5631" max="5631" width="10.42578125" style="4" customWidth="1"/>
    <col min="5632" max="5632" width="13" style="4" customWidth="1"/>
    <col min="5633" max="5886" width="11.42578125" style="4" customWidth="1"/>
    <col min="5887" max="5887" width="10.42578125" style="4" customWidth="1"/>
    <col min="5888" max="5888" width="13" style="4" customWidth="1"/>
    <col min="5889" max="6142" width="11.42578125" style="4" customWidth="1"/>
    <col min="6143" max="6143" width="10.42578125" style="4" customWidth="1"/>
    <col min="6144" max="6144" width="13" style="4" customWidth="1"/>
    <col min="6145" max="6398" width="11.42578125" style="4" customWidth="1"/>
    <col min="6399" max="6399" width="10.42578125" style="4" customWidth="1"/>
    <col min="6400" max="6400" width="13" style="4" customWidth="1"/>
    <col min="6401" max="6654" width="11.42578125" style="4" customWidth="1"/>
    <col min="6655" max="6655" width="10.42578125" style="4" customWidth="1"/>
    <col min="6656" max="6656" width="13" style="4" customWidth="1"/>
    <col min="6657" max="6910" width="11.42578125" style="4" customWidth="1"/>
    <col min="6911" max="6911" width="10.42578125" style="4" customWidth="1"/>
    <col min="6912" max="6912" width="13" style="4" customWidth="1"/>
    <col min="6913" max="7166" width="11.42578125" style="4" customWidth="1"/>
    <col min="7167" max="7167" width="10.42578125" style="4" customWidth="1"/>
    <col min="7168" max="7168" width="13" style="4" customWidth="1"/>
    <col min="7169" max="7422" width="11.42578125" style="4" customWidth="1"/>
    <col min="7423" max="7423" width="10.42578125" style="4" customWidth="1"/>
    <col min="7424" max="7424" width="13" style="4" customWidth="1"/>
    <col min="7425" max="7678" width="11.42578125" style="4" customWidth="1"/>
    <col min="7679" max="7679" width="10.42578125" style="4" customWidth="1"/>
    <col min="7680" max="7680" width="13" style="4" customWidth="1"/>
    <col min="7681" max="7934" width="11.42578125" style="4" customWidth="1"/>
    <col min="7935" max="7935" width="10.42578125" style="4" customWidth="1"/>
    <col min="7936" max="7936" width="13" style="4" customWidth="1"/>
    <col min="7937" max="8190" width="11.42578125" style="4" customWidth="1"/>
    <col min="8191" max="8191" width="10.42578125" style="4" customWidth="1"/>
    <col min="8192" max="8192" width="13" style="4" customWidth="1"/>
    <col min="8193" max="8446" width="11.42578125" style="4" customWidth="1"/>
    <col min="8447" max="8447" width="10.42578125" style="4" customWidth="1"/>
    <col min="8448" max="8448" width="13" style="4" customWidth="1"/>
    <col min="8449" max="8702" width="11.42578125" style="4" customWidth="1"/>
    <col min="8703" max="8703" width="10.42578125" style="4" customWidth="1"/>
    <col min="8704" max="8704" width="13" style="4" customWidth="1"/>
    <col min="8705" max="8958" width="11.42578125" style="4" customWidth="1"/>
    <col min="8959" max="8959" width="10.42578125" style="4" customWidth="1"/>
    <col min="8960" max="8960" width="13" style="4" customWidth="1"/>
    <col min="8961" max="9214" width="11.42578125" style="4" customWidth="1"/>
    <col min="9215" max="9215" width="10.42578125" style="4" customWidth="1"/>
    <col min="9216" max="9216" width="13" style="4" customWidth="1"/>
    <col min="9217" max="9470" width="11.42578125" style="4" customWidth="1"/>
    <col min="9471" max="9471" width="10.42578125" style="4" customWidth="1"/>
    <col min="9472" max="9472" width="13" style="4" customWidth="1"/>
    <col min="9473" max="9726" width="11.42578125" style="4" customWidth="1"/>
    <col min="9727" max="9727" width="10.42578125" style="4" customWidth="1"/>
    <col min="9728" max="9728" width="13" style="4" customWidth="1"/>
    <col min="9729" max="9982" width="11.42578125" style="4" customWidth="1"/>
    <col min="9983" max="9983" width="10.42578125" style="4" customWidth="1"/>
    <col min="9984" max="9984" width="13" style="4" customWidth="1"/>
    <col min="9985" max="10238" width="11.42578125" style="4" customWidth="1"/>
    <col min="10239" max="10239" width="10.42578125" style="4" customWidth="1"/>
    <col min="10240" max="10240" width="13" style="4" customWidth="1"/>
    <col min="10241" max="10494" width="11.42578125" style="4" customWidth="1"/>
    <col min="10495" max="10495" width="10.42578125" style="4" customWidth="1"/>
    <col min="10496" max="10496" width="13" style="4" customWidth="1"/>
    <col min="10497" max="10750" width="11.42578125" style="4" customWidth="1"/>
    <col min="10751" max="10751" width="10.42578125" style="4" customWidth="1"/>
    <col min="10752" max="10752" width="13" style="4" customWidth="1"/>
    <col min="10753" max="11006" width="11.42578125" style="4" customWidth="1"/>
    <col min="11007" max="11007" width="10.42578125" style="4" customWidth="1"/>
    <col min="11008" max="11008" width="13" style="4" customWidth="1"/>
    <col min="11009" max="11262" width="11.42578125" style="4" customWidth="1"/>
    <col min="11263" max="11263" width="10.42578125" style="4" customWidth="1"/>
    <col min="11264" max="11264" width="13" style="4" customWidth="1"/>
    <col min="11265" max="11518" width="11.42578125" style="4" customWidth="1"/>
    <col min="11519" max="11519" width="10.42578125" style="4" customWidth="1"/>
    <col min="11520" max="11520" width="13" style="4" customWidth="1"/>
    <col min="11521" max="11774" width="11.42578125" style="4" customWidth="1"/>
    <col min="11775" max="11775" width="10.42578125" style="4" customWidth="1"/>
    <col min="11776" max="11776" width="13" style="4" customWidth="1"/>
    <col min="11777" max="12030" width="11.42578125" style="4" customWidth="1"/>
    <col min="12031" max="12031" width="10.42578125" style="4" customWidth="1"/>
    <col min="12032" max="12032" width="13" style="4" customWidth="1"/>
    <col min="12033" max="12286" width="11.42578125" style="4" customWidth="1"/>
    <col min="12287" max="12287" width="10.42578125" style="4" customWidth="1"/>
    <col min="12288" max="12288" width="13" style="4" customWidth="1"/>
    <col min="12289" max="12542" width="11.42578125" style="4" customWidth="1"/>
    <col min="12543" max="12543" width="10.42578125" style="4" customWidth="1"/>
    <col min="12544" max="12544" width="13" style="4" customWidth="1"/>
    <col min="12545" max="12798" width="11.42578125" style="4" customWidth="1"/>
    <col min="12799" max="12799" width="10.42578125" style="4" customWidth="1"/>
    <col min="12800" max="12800" width="13" style="4" customWidth="1"/>
    <col min="12801" max="13054" width="11.42578125" style="4" customWidth="1"/>
    <col min="13055" max="13055" width="10.42578125" style="4" customWidth="1"/>
    <col min="13056" max="13056" width="13" style="4" customWidth="1"/>
    <col min="13057" max="13310" width="11.42578125" style="4" customWidth="1"/>
    <col min="13311" max="13311" width="10.42578125" style="4" customWidth="1"/>
    <col min="13312" max="13312" width="13" style="4" customWidth="1"/>
    <col min="13313" max="13566" width="11.42578125" style="4" customWidth="1"/>
    <col min="13567" max="13567" width="10.42578125" style="4" customWidth="1"/>
    <col min="13568" max="13568" width="13" style="4" customWidth="1"/>
    <col min="13569" max="13822" width="11.42578125" style="4" customWidth="1"/>
    <col min="13823" max="13823" width="10.42578125" style="4" customWidth="1"/>
    <col min="13824" max="13824" width="13" style="4" customWidth="1"/>
    <col min="13825" max="14078" width="11.42578125" style="4" customWidth="1"/>
    <col min="14079" max="14079" width="10.42578125" style="4" customWidth="1"/>
    <col min="14080" max="14080" width="13" style="4" customWidth="1"/>
    <col min="14081" max="14334" width="11.42578125" style="4" customWidth="1"/>
    <col min="14335" max="14335" width="10.42578125" style="4" customWidth="1"/>
    <col min="14336" max="14336" width="13" style="4" customWidth="1"/>
    <col min="14337" max="14590" width="11.42578125" style="4" customWidth="1"/>
    <col min="14591" max="14591" width="10.42578125" style="4" customWidth="1"/>
    <col min="14592" max="14592" width="13" style="4" customWidth="1"/>
    <col min="14593" max="14846" width="11.42578125" style="4" customWidth="1"/>
    <col min="14847" max="14847" width="10.42578125" style="4" customWidth="1"/>
    <col min="14848" max="14848" width="13" style="4" customWidth="1"/>
    <col min="14849" max="15102" width="11.42578125" style="4" customWidth="1"/>
    <col min="15103" max="15103" width="10.42578125" style="4" customWidth="1"/>
    <col min="15104" max="15104" width="13" style="4" customWidth="1"/>
    <col min="15105" max="15358" width="11.42578125" style="4" customWidth="1"/>
    <col min="15359" max="15359" width="10.42578125" style="4" customWidth="1"/>
    <col min="15360" max="15360" width="13" style="4" customWidth="1"/>
    <col min="15361" max="15614" width="11.42578125" style="4" customWidth="1"/>
    <col min="15615" max="15615" width="10.42578125" style="4" customWidth="1"/>
    <col min="15616" max="15616" width="13" style="4" customWidth="1"/>
    <col min="15617" max="15870" width="11.42578125" style="4" customWidth="1"/>
    <col min="15871" max="15871" width="10.42578125" style="4" customWidth="1"/>
    <col min="15872" max="15872" width="13" style="4" customWidth="1"/>
    <col min="15873" max="16126" width="11.42578125" style="4" customWidth="1"/>
    <col min="16127" max="16127" width="10.42578125" style="4" customWidth="1"/>
    <col min="16128" max="16128" width="13" style="4" customWidth="1"/>
    <col min="16129" max="16384" width="11.42578125" style="4" customWidth="1"/>
  </cols>
  <sheetData>
    <row r="1" spans="1:9" s="56" customFormat="1" ht="15" customHeight="1">
      <c r="A1" s="891" t="s">
        <v>2</v>
      </c>
      <c r="B1" s="892"/>
      <c r="C1" s="892"/>
      <c r="D1" s="892"/>
      <c r="E1" s="892"/>
      <c r="F1" s="892"/>
      <c r="G1" s="892"/>
      <c r="H1" s="893"/>
    </row>
    <row r="2" spans="1:9" s="56" customFormat="1" ht="5.25" customHeight="1" thickBot="1">
      <c r="A2" s="894"/>
      <c r="B2" s="895"/>
      <c r="C2" s="895"/>
      <c r="D2" s="895"/>
      <c r="E2" s="895"/>
      <c r="F2" s="895"/>
      <c r="G2" s="895"/>
      <c r="H2" s="896"/>
    </row>
    <row r="3" spans="1:9" s="56" customFormat="1" ht="56.25" customHeight="1" thickBot="1">
      <c r="A3" s="322"/>
      <c r="B3" s="907" t="s">
        <v>393</v>
      </c>
      <c r="C3" s="908"/>
      <c r="D3" s="908"/>
      <c r="E3" s="908"/>
      <c r="F3" s="908"/>
      <c r="G3" s="908"/>
      <c r="H3" s="909"/>
    </row>
    <row r="4" spans="1:9">
      <c r="A4" s="5"/>
      <c r="B4" s="6"/>
      <c r="C4" s="6"/>
      <c r="D4" s="52"/>
      <c r="E4" s="6"/>
      <c r="F4" s="6"/>
      <c r="G4" s="6"/>
      <c r="H4" s="6"/>
    </row>
    <row r="5" spans="1:9">
      <c r="A5" s="5"/>
      <c r="B5" s="7"/>
      <c r="C5" s="6"/>
      <c r="E5" s="7"/>
      <c r="G5" s="8"/>
      <c r="H5" s="9"/>
    </row>
    <row r="6" spans="1:9">
      <c r="A6" s="57" t="s">
        <v>296</v>
      </c>
      <c r="B6" s="906" t="s">
        <v>357</v>
      </c>
      <c r="C6" s="906"/>
      <c r="D6" s="906"/>
      <c r="E6" s="906"/>
      <c r="F6" s="906"/>
      <c r="G6" s="58" t="s">
        <v>30</v>
      </c>
      <c r="H6" s="61" t="s">
        <v>0</v>
      </c>
    </row>
    <row r="7" spans="1:9">
      <c r="A7" s="58"/>
      <c r="B7" s="906"/>
      <c r="C7" s="906"/>
      <c r="D7" s="906"/>
      <c r="E7" s="906"/>
      <c r="F7" s="906"/>
      <c r="G7" s="58"/>
      <c r="H7" s="56"/>
    </row>
    <row r="8" spans="1:9" ht="13.5" thickBot="1">
      <c r="A8" s="10" t="s">
        <v>3</v>
      </c>
      <c r="B8" s="10"/>
      <c r="C8" s="6"/>
      <c r="D8" s="52"/>
      <c r="E8" s="6"/>
      <c r="F8" s="6"/>
      <c r="G8" s="6"/>
      <c r="H8" s="6"/>
    </row>
    <row r="9" spans="1:9">
      <c r="A9" s="912" t="s">
        <v>4</v>
      </c>
      <c r="B9" s="913"/>
      <c r="C9" s="914"/>
      <c r="D9" s="11" t="s">
        <v>5</v>
      </c>
      <c r="E9" s="12" t="s">
        <v>6</v>
      </c>
      <c r="F9" s="11" t="s">
        <v>7</v>
      </c>
      <c r="G9" s="13" t="s">
        <v>8</v>
      </c>
      <c r="H9" s="14"/>
    </row>
    <row r="10" spans="1:9">
      <c r="A10" s="900" t="s">
        <v>290</v>
      </c>
      <c r="B10" s="901"/>
      <c r="C10" s="902"/>
      <c r="D10" s="324"/>
      <c r="E10" s="82">
        <f>EQUIPO!D11</f>
        <v>50000</v>
      </c>
      <c r="F10" s="325">
        <v>2.7E-2</v>
      </c>
      <c r="G10" s="167">
        <f>F10*E10</f>
        <v>1350</v>
      </c>
      <c r="H10" s="18"/>
    </row>
    <row r="11" spans="1:9">
      <c r="A11" s="900" t="str">
        <f>EQUIPO!B12</f>
        <v>MOTONIVELADORA 120 HP</v>
      </c>
      <c r="B11" s="901"/>
      <c r="C11" s="902"/>
      <c r="D11" s="66"/>
      <c r="E11" s="82">
        <f>EQUIPO!D12</f>
        <v>120000</v>
      </c>
      <c r="F11" s="325">
        <v>2.7E-2</v>
      </c>
      <c r="G11" s="167">
        <f t="shared" ref="G11:G12" si="0">F11*E11</f>
        <v>3240</v>
      </c>
      <c r="H11" s="18"/>
    </row>
    <row r="12" spans="1:9">
      <c r="A12" s="900" t="s">
        <v>291</v>
      </c>
      <c r="B12" s="901"/>
      <c r="C12" s="902"/>
      <c r="D12" s="66"/>
      <c r="E12" s="82">
        <f>EQUIPO!D13</f>
        <v>100000</v>
      </c>
      <c r="F12" s="325">
        <v>2.7E-2</v>
      </c>
      <c r="G12" s="167">
        <f t="shared" si="0"/>
        <v>2700</v>
      </c>
      <c r="H12" s="18"/>
    </row>
    <row r="13" spans="1:9" ht="13.5" thickBot="1">
      <c r="A13" s="900" t="s">
        <v>305</v>
      </c>
      <c r="B13" s="901"/>
      <c r="C13" s="902"/>
      <c r="D13" s="66"/>
      <c r="E13" s="82"/>
      <c r="F13" s="67"/>
      <c r="G13" s="167">
        <f>H38*0.1</f>
        <v>191.24460000000002</v>
      </c>
      <c r="H13" s="25"/>
    </row>
    <row r="14" spans="1:9" ht="13.5" thickBot="1">
      <c r="A14" s="6"/>
      <c r="B14" s="6"/>
      <c r="C14" s="6"/>
      <c r="D14" s="52"/>
      <c r="E14" s="6"/>
      <c r="F14" s="6"/>
      <c r="G14" s="26" t="s">
        <v>9</v>
      </c>
      <c r="H14" s="77">
        <f>SUM(G10:G13)</f>
        <v>7481.2446</v>
      </c>
      <c r="I14" s="28"/>
    </row>
    <row r="15" spans="1:9" ht="13.5" thickBot="1">
      <c r="A15" s="10" t="s">
        <v>10</v>
      </c>
      <c r="B15" s="10"/>
      <c r="C15" s="6"/>
      <c r="D15" s="52"/>
      <c r="E15" s="6"/>
      <c r="F15" s="6"/>
      <c r="G15" s="6"/>
      <c r="H15" s="6"/>
    </row>
    <row r="16" spans="1:9">
      <c r="A16" s="912" t="s">
        <v>4</v>
      </c>
      <c r="B16" s="913"/>
      <c r="C16" s="914"/>
      <c r="D16" s="11" t="s">
        <v>11</v>
      </c>
      <c r="E16" s="11" t="s">
        <v>12</v>
      </c>
      <c r="F16" s="11" t="s">
        <v>13</v>
      </c>
      <c r="G16" s="13" t="s">
        <v>8</v>
      </c>
      <c r="H16" s="14"/>
    </row>
    <row r="17" spans="1:13">
      <c r="A17" s="79" t="s">
        <v>297</v>
      </c>
      <c r="B17" s="80"/>
      <c r="C17" s="81"/>
      <c r="D17" s="66" t="s">
        <v>0</v>
      </c>
      <c r="E17" s="82">
        <f>'Despiece de Insumos'!D22</f>
        <v>72000</v>
      </c>
      <c r="F17" s="99">
        <v>1.3</v>
      </c>
      <c r="G17" s="68">
        <f>F17*E17</f>
        <v>93600</v>
      </c>
      <c r="H17" s="18"/>
      <c r="K17" s="151"/>
      <c r="M17" s="10"/>
    </row>
    <row r="18" spans="1:13">
      <c r="A18" s="79" t="s">
        <v>32</v>
      </c>
      <c r="B18" s="80"/>
      <c r="C18" s="81"/>
      <c r="D18" s="66" t="s">
        <v>294</v>
      </c>
      <c r="E18" s="82">
        <f>'Despiece de Insumos'!D9</f>
        <v>15</v>
      </c>
      <c r="F18" s="82">
        <v>5</v>
      </c>
      <c r="G18" s="68">
        <f>F18*E18</f>
        <v>75</v>
      </c>
      <c r="H18" s="18"/>
      <c r="M18" s="10"/>
    </row>
    <row r="19" spans="1:13">
      <c r="A19" s="29"/>
      <c r="B19" s="30"/>
      <c r="C19" s="30"/>
      <c r="D19" s="118"/>
      <c r="E19" s="144"/>
      <c r="F19" s="33"/>
      <c r="G19" s="188"/>
      <c r="H19" s="18"/>
    </row>
    <row r="20" spans="1:13">
      <c r="A20" s="29"/>
      <c r="B20" s="30"/>
      <c r="C20" s="30"/>
      <c r="D20" s="15"/>
      <c r="E20" s="145"/>
      <c r="F20" s="33"/>
      <c r="G20" s="188"/>
      <c r="H20" s="18"/>
    </row>
    <row r="21" spans="1:13">
      <c r="A21" s="29"/>
      <c r="B21" s="30"/>
      <c r="C21" s="30"/>
      <c r="D21" s="19"/>
      <c r="E21" s="147"/>
      <c r="F21" s="36"/>
      <c r="G21" s="188"/>
      <c r="H21" s="18"/>
    </row>
    <row r="22" spans="1:13">
      <c r="A22" s="160"/>
      <c r="B22" s="125"/>
      <c r="C22" s="125"/>
      <c r="D22" s="19"/>
      <c r="E22" s="162"/>
      <c r="F22" s="20"/>
      <c r="G22" s="189"/>
      <c r="H22" s="18"/>
    </row>
    <row r="23" spans="1:13" ht="13.5" thickBot="1">
      <c r="A23" s="37"/>
      <c r="B23" s="38"/>
      <c r="C23" s="38"/>
      <c r="D23" s="21"/>
      <c r="E23" s="146"/>
      <c r="F23" s="23"/>
      <c r="G23" s="190"/>
      <c r="H23" s="25"/>
    </row>
    <row r="24" spans="1:13" ht="13.5" thickBot="1">
      <c r="A24" s="6"/>
      <c r="B24" s="6"/>
      <c r="C24" s="6"/>
      <c r="D24" s="52"/>
      <c r="E24" s="6"/>
      <c r="F24" s="6"/>
      <c r="G24" s="26" t="s">
        <v>9</v>
      </c>
      <c r="H24" s="165">
        <f>SUM(G17:G23)</f>
        <v>93675</v>
      </c>
      <c r="I24" s="28"/>
    </row>
    <row r="25" spans="1:13" ht="13.5" thickBot="1">
      <c r="A25" s="40" t="s">
        <v>14</v>
      </c>
      <c r="B25" s="40"/>
      <c r="C25" s="41"/>
      <c r="D25" s="52"/>
      <c r="E25" s="6"/>
      <c r="F25" s="6"/>
      <c r="G25" s="6"/>
      <c r="H25" s="6"/>
    </row>
    <row r="26" spans="1:13">
      <c r="A26" s="43" t="s">
        <v>15</v>
      </c>
      <c r="B26" s="44"/>
      <c r="C26" s="45" t="s">
        <v>16</v>
      </c>
      <c r="D26" s="11" t="s">
        <v>17</v>
      </c>
      <c r="E26" s="11" t="s">
        <v>18</v>
      </c>
      <c r="F26" s="11" t="s">
        <v>19</v>
      </c>
      <c r="G26" s="46" t="s">
        <v>8</v>
      </c>
      <c r="H26" s="14"/>
    </row>
    <row r="27" spans="1:13" s="185" customFormat="1">
      <c r="A27" s="84" t="s">
        <v>89</v>
      </c>
      <c r="B27" s="80"/>
      <c r="C27" s="93">
        <v>1.3</v>
      </c>
      <c r="D27" s="94">
        <v>22</v>
      </c>
      <c r="E27" s="96">
        <f>C27*D27</f>
        <v>28.6</v>
      </c>
      <c r="F27" s="170">
        <f>TRANSPORTE!H33</f>
        <v>1500</v>
      </c>
      <c r="G27" s="97">
        <f>F27*E27</f>
        <v>42900</v>
      </c>
      <c r="H27" s="184"/>
    </row>
    <row r="28" spans="1:13">
      <c r="A28" s="35"/>
      <c r="B28" s="30"/>
      <c r="C28" s="113"/>
      <c r="D28" s="108"/>
      <c r="E28" s="111"/>
      <c r="F28" s="16"/>
      <c r="G28" s="47"/>
      <c r="H28" s="18"/>
    </row>
    <row r="29" spans="1:13" ht="13.5" thickBot="1">
      <c r="A29" s="37"/>
      <c r="B29" s="39"/>
      <c r="C29" s="21"/>
      <c r="D29" s="21"/>
      <c r="E29" s="23"/>
      <c r="F29" s="24"/>
      <c r="G29" s="21"/>
      <c r="H29" s="18"/>
    </row>
    <row r="30" spans="1:13" ht="13.5" thickBot="1">
      <c r="A30" s="6"/>
      <c r="B30" s="6"/>
      <c r="C30" s="6"/>
      <c r="D30" s="52"/>
      <c r="E30" s="6"/>
      <c r="F30" s="6"/>
      <c r="G30" s="26" t="s">
        <v>9</v>
      </c>
      <c r="H30" s="77">
        <f>SUM(G27:G29)</f>
        <v>42900</v>
      </c>
      <c r="I30" s="28"/>
    </row>
    <row r="31" spans="1:13" ht="13.5" thickBot="1">
      <c r="A31" s="40" t="s">
        <v>20</v>
      </c>
      <c r="B31" s="40"/>
      <c r="C31" s="6"/>
      <c r="D31" s="52"/>
      <c r="E31" s="6"/>
      <c r="F31" s="6"/>
      <c r="G31" s="6"/>
      <c r="H31" s="6"/>
    </row>
    <row r="32" spans="1:13">
      <c r="A32" s="43" t="s">
        <v>21</v>
      </c>
      <c r="B32" s="44"/>
      <c r="C32" s="48" t="s">
        <v>22</v>
      </c>
      <c r="D32" s="11" t="s">
        <v>23</v>
      </c>
      <c r="E32" s="12" t="s">
        <v>24</v>
      </c>
      <c r="F32" s="48" t="s">
        <v>7</v>
      </c>
      <c r="G32" s="13" t="s">
        <v>8</v>
      </c>
      <c r="H32" s="14"/>
    </row>
    <row r="33" spans="1:9">
      <c r="A33" s="35" t="s">
        <v>31</v>
      </c>
      <c r="B33" s="30">
        <v>1</v>
      </c>
      <c r="C33" s="135">
        <v>42499</v>
      </c>
      <c r="D33" s="172">
        <v>1.8</v>
      </c>
      <c r="E33" s="32">
        <f t="shared" ref="E33" si="1">+D33*C33</f>
        <v>76498.2</v>
      </c>
      <c r="F33" s="16">
        <v>100</v>
      </c>
      <c r="G33" s="141">
        <f t="shared" ref="G33:G34" si="2">+E33/F33</f>
        <v>764.98199999999997</v>
      </c>
      <c r="H33" s="18"/>
      <c r="I33" s="28"/>
    </row>
    <row r="34" spans="1:9">
      <c r="A34" s="35" t="s">
        <v>54</v>
      </c>
      <c r="B34" s="30">
        <v>2</v>
      </c>
      <c r="C34" s="135">
        <v>31874</v>
      </c>
      <c r="D34" s="172">
        <v>1.8</v>
      </c>
      <c r="E34" s="32">
        <f>+D34*C34*B34</f>
        <v>114746.40000000001</v>
      </c>
      <c r="F34" s="16">
        <v>100</v>
      </c>
      <c r="G34" s="141">
        <f t="shared" si="2"/>
        <v>1147.4640000000002</v>
      </c>
      <c r="H34" s="18"/>
      <c r="I34" s="28"/>
    </row>
    <row r="35" spans="1:9">
      <c r="A35" s="35"/>
      <c r="B35" s="30"/>
      <c r="C35" s="32"/>
      <c r="D35" s="173"/>
      <c r="E35" s="32"/>
      <c r="F35" s="16"/>
      <c r="G35" s="17"/>
      <c r="H35" s="18"/>
    </row>
    <row r="36" spans="1:9">
      <c r="A36" s="35"/>
      <c r="B36" s="30"/>
      <c r="C36" s="32"/>
      <c r="D36" s="15"/>
      <c r="E36" s="32"/>
      <c r="F36" s="16"/>
      <c r="G36" s="17"/>
      <c r="H36" s="18"/>
      <c r="I36" s="28"/>
    </row>
    <row r="37" spans="1:9" ht="13.5" thickBot="1">
      <c r="A37" s="37"/>
      <c r="B37" s="38"/>
      <c r="C37" s="22"/>
      <c r="D37" s="114"/>
      <c r="E37" s="51"/>
      <c r="F37" s="51"/>
      <c r="G37" s="41"/>
      <c r="H37" s="25"/>
    </row>
    <row r="38" spans="1:9" ht="13.5" thickBot="1">
      <c r="A38" s="6"/>
      <c r="B38" s="6"/>
      <c r="C38" s="6"/>
      <c r="D38" s="52"/>
      <c r="E38" s="6"/>
      <c r="F38" s="6"/>
      <c r="G38" s="26" t="s">
        <v>9</v>
      </c>
      <c r="H38" s="77">
        <f>SUM(G33:G37)</f>
        <v>1912.4460000000001</v>
      </c>
    </row>
    <row r="39" spans="1:9" ht="13.5" thickBot="1">
      <c r="A39" s="6"/>
      <c r="B39" s="6"/>
      <c r="C39" s="6"/>
      <c r="D39" s="52"/>
      <c r="E39" s="6"/>
      <c r="F39" s="6"/>
      <c r="G39" s="52"/>
      <c r="H39" s="6"/>
    </row>
    <row r="40" spans="1:9" ht="13.5" thickBot="1">
      <c r="A40" s="6"/>
      <c r="B40" s="6"/>
      <c r="C40" s="6"/>
      <c r="D40" s="52"/>
      <c r="E40" s="53" t="s">
        <v>25</v>
      </c>
      <c r="F40" s="54"/>
      <c r="G40" s="54"/>
      <c r="H40" s="27">
        <f>ROUND(H14+H24+H30+H38,0)</f>
        <v>145969</v>
      </c>
      <c r="I40" s="28"/>
    </row>
    <row r="45" spans="1:9" s="194" customFormat="1" ht="14.25">
      <c r="A45" s="195" t="s">
        <v>134</v>
      </c>
      <c r="B45" s="195"/>
      <c r="C45" s="195"/>
      <c r="D45" s="197"/>
      <c r="E45" s="196"/>
      <c r="F45" s="196"/>
    </row>
    <row r="46" spans="1:9" s="194" customFormat="1" ht="14.25">
      <c r="A46" s="195" t="s">
        <v>131</v>
      </c>
      <c r="B46" s="195"/>
      <c r="C46" s="195"/>
      <c r="D46" s="197"/>
      <c r="E46" s="196"/>
      <c r="F46" s="196"/>
    </row>
    <row r="47" spans="1:9" hidden="1"/>
  </sheetData>
  <mergeCells count="9">
    <mergeCell ref="A12:C12"/>
    <mergeCell ref="A13:C13"/>
    <mergeCell ref="A16:C16"/>
    <mergeCell ref="A1:H2"/>
    <mergeCell ref="B3:H3"/>
    <mergeCell ref="B6:F7"/>
    <mergeCell ref="A9:C9"/>
    <mergeCell ref="A10:C10"/>
    <mergeCell ref="A11:C11"/>
  </mergeCells>
  <pageMargins left="0.82677165354330717" right="3.937007874015748E-2" top="0.9375" bottom="1.25" header="0.31496062992125984" footer="0.31496062992125984"/>
  <pageSetup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0000"/>
  </sheetPr>
  <dimension ref="A1:H42"/>
  <sheetViews>
    <sheetView view="pageBreakPreview" topLeftCell="A13" zoomScaleSheetLayoutView="100" workbookViewId="0">
      <selection activeCell="D17" sqref="D17"/>
    </sheetView>
  </sheetViews>
  <sheetFormatPr baseColWidth="10" defaultColWidth="9.28515625" defaultRowHeight="12"/>
  <cols>
    <col min="1" max="1" width="11.42578125" style="56" customWidth="1"/>
    <col min="2" max="2" width="10.42578125" style="56" customWidth="1"/>
    <col min="3" max="3" width="15" style="56" customWidth="1"/>
    <col min="4" max="5" width="10.7109375" style="56" customWidth="1"/>
    <col min="6" max="6" width="10.28515625" style="56" customWidth="1"/>
    <col min="7" max="7" width="12.28515625" style="56" customWidth="1"/>
    <col min="8" max="8" width="13.7109375" style="56" bestFit="1" customWidth="1"/>
    <col min="9" max="248" width="11.42578125" style="56" customWidth="1"/>
    <col min="249" max="249" width="10.42578125" style="56" customWidth="1"/>
    <col min="250" max="250" width="13" style="56" customWidth="1"/>
    <col min="251" max="504" width="11.42578125" style="56" customWidth="1"/>
    <col min="505" max="505" width="10.42578125" style="56" customWidth="1"/>
    <col min="506" max="506" width="13" style="56" customWidth="1"/>
    <col min="507" max="760" width="11.42578125" style="56" customWidth="1"/>
    <col min="761" max="761" width="10.42578125" style="56" customWidth="1"/>
    <col min="762" max="762" width="13" style="56" customWidth="1"/>
    <col min="763" max="1016" width="11.42578125" style="56" customWidth="1"/>
    <col min="1017" max="1017" width="10.42578125" style="56" customWidth="1"/>
    <col min="1018" max="1018" width="13" style="56" customWidth="1"/>
    <col min="1019" max="1272" width="11.42578125" style="56" customWidth="1"/>
    <col min="1273" max="1273" width="10.42578125" style="56" customWidth="1"/>
    <col min="1274" max="1274" width="13" style="56" customWidth="1"/>
    <col min="1275" max="1528" width="11.42578125" style="56" customWidth="1"/>
    <col min="1529" max="1529" width="10.42578125" style="56" customWidth="1"/>
    <col min="1530" max="1530" width="13" style="56" customWidth="1"/>
    <col min="1531" max="1784" width="11.42578125" style="56" customWidth="1"/>
    <col min="1785" max="1785" width="10.42578125" style="56" customWidth="1"/>
    <col min="1786" max="1786" width="13" style="56" customWidth="1"/>
    <col min="1787" max="2040" width="11.42578125" style="56" customWidth="1"/>
    <col min="2041" max="2041" width="10.42578125" style="56" customWidth="1"/>
    <col min="2042" max="2042" width="13" style="56" customWidth="1"/>
    <col min="2043" max="2296" width="11.42578125" style="56" customWidth="1"/>
    <col min="2297" max="2297" width="10.42578125" style="56" customWidth="1"/>
    <col min="2298" max="2298" width="13" style="56" customWidth="1"/>
    <col min="2299" max="2552" width="11.42578125" style="56" customWidth="1"/>
    <col min="2553" max="2553" width="10.42578125" style="56" customWidth="1"/>
    <col min="2554" max="2554" width="13" style="56" customWidth="1"/>
    <col min="2555" max="2808" width="11.42578125" style="56" customWidth="1"/>
    <col min="2809" max="2809" width="10.42578125" style="56" customWidth="1"/>
    <col min="2810" max="2810" width="13" style="56" customWidth="1"/>
    <col min="2811" max="3064" width="11.42578125" style="56" customWidth="1"/>
    <col min="3065" max="3065" width="10.42578125" style="56" customWidth="1"/>
    <col min="3066" max="3066" width="13" style="56" customWidth="1"/>
    <col min="3067" max="3320" width="11.42578125" style="56" customWidth="1"/>
    <col min="3321" max="3321" width="10.42578125" style="56" customWidth="1"/>
    <col min="3322" max="3322" width="13" style="56" customWidth="1"/>
    <col min="3323" max="3576" width="11.42578125" style="56" customWidth="1"/>
    <col min="3577" max="3577" width="10.42578125" style="56" customWidth="1"/>
    <col min="3578" max="3578" width="13" style="56" customWidth="1"/>
    <col min="3579" max="3832" width="11.42578125" style="56" customWidth="1"/>
    <col min="3833" max="3833" width="10.42578125" style="56" customWidth="1"/>
    <col min="3834" max="3834" width="13" style="56" customWidth="1"/>
    <col min="3835" max="4088" width="11.42578125" style="56" customWidth="1"/>
    <col min="4089" max="4089" width="10.42578125" style="56" customWidth="1"/>
    <col min="4090" max="4090" width="13" style="56" customWidth="1"/>
    <col min="4091" max="4344" width="11.42578125" style="56" customWidth="1"/>
    <col min="4345" max="4345" width="10.42578125" style="56" customWidth="1"/>
    <col min="4346" max="4346" width="13" style="56" customWidth="1"/>
    <col min="4347" max="4600" width="11.42578125" style="56" customWidth="1"/>
    <col min="4601" max="4601" width="10.42578125" style="56" customWidth="1"/>
    <col min="4602" max="4602" width="13" style="56" customWidth="1"/>
    <col min="4603" max="4856" width="11.42578125" style="56" customWidth="1"/>
    <col min="4857" max="4857" width="10.42578125" style="56" customWidth="1"/>
    <col min="4858" max="4858" width="13" style="56" customWidth="1"/>
    <col min="4859" max="5112" width="11.42578125" style="56" customWidth="1"/>
    <col min="5113" max="5113" width="10.42578125" style="56" customWidth="1"/>
    <col min="5114" max="5114" width="13" style="56" customWidth="1"/>
    <col min="5115" max="5368" width="11.42578125" style="56" customWidth="1"/>
    <col min="5369" max="5369" width="10.42578125" style="56" customWidth="1"/>
    <col min="5370" max="5370" width="13" style="56" customWidth="1"/>
    <col min="5371" max="5624" width="11.42578125" style="56" customWidth="1"/>
    <col min="5625" max="5625" width="10.42578125" style="56" customWidth="1"/>
    <col min="5626" max="5626" width="13" style="56" customWidth="1"/>
    <col min="5627" max="5880" width="11.42578125" style="56" customWidth="1"/>
    <col min="5881" max="5881" width="10.42578125" style="56" customWidth="1"/>
    <col min="5882" max="5882" width="13" style="56" customWidth="1"/>
    <col min="5883" max="6136" width="11.42578125" style="56" customWidth="1"/>
    <col min="6137" max="6137" width="10.42578125" style="56" customWidth="1"/>
    <col min="6138" max="6138" width="13" style="56" customWidth="1"/>
    <col min="6139" max="6392" width="11.42578125" style="56" customWidth="1"/>
    <col min="6393" max="6393" width="10.42578125" style="56" customWidth="1"/>
    <col min="6394" max="6394" width="13" style="56" customWidth="1"/>
    <col min="6395" max="6648" width="11.42578125" style="56" customWidth="1"/>
    <col min="6649" max="6649" width="10.42578125" style="56" customWidth="1"/>
    <col min="6650" max="6650" width="13" style="56" customWidth="1"/>
    <col min="6651" max="6904" width="11.42578125" style="56" customWidth="1"/>
    <col min="6905" max="6905" width="10.42578125" style="56" customWidth="1"/>
    <col min="6906" max="6906" width="13" style="56" customWidth="1"/>
    <col min="6907" max="7160" width="11.42578125" style="56" customWidth="1"/>
    <col min="7161" max="7161" width="10.42578125" style="56" customWidth="1"/>
    <col min="7162" max="7162" width="13" style="56" customWidth="1"/>
    <col min="7163" max="7416" width="11.42578125" style="56" customWidth="1"/>
    <col min="7417" max="7417" width="10.42578125" style="56" customWidth="1"/>
    <col min="7418" max="7418" width="13" style="56" customWidth="1"/>
    <col min="7419" max="7672" width="11.42578125" style="56" customWidth="1"/>
    <col min="7673" max="7673" width="10.42578125" style="56" customWidth="1"/>
    <col min="7674" max="7674" width="13" style="56" customWidth="1"/>
    <col min="7675" max="7928" width="11.42578125" style="56" customWidth="1"/>
    <col min="7929" max="7929" width="10.42578125" style="56" customWidth="1"/>
    <col min="7930" max="7930" width="13" style="56" customWidth="1"/>
    <col min="7931" max="8184" width="11.42578125" style="56" customWidth="1"/>
    <col min="8185" max="8185" width="10.42578125" style="56" customWidth="1"/>
    <col min="8186" max="8186" width="13" style="56" customWidth="1"/>
    <col min="8187" max="8440" width="11.42578125" style="56" customWidth="1"/>
    <col min="8441" max="8441" width="10.42578125" style="56" customWidth="1"/>
    <col min="8442" max="8442" width="13" style="56" customWidth="1"/>
    <col min="8443" max="8696" width="11.42578125" style="56" customWidth="1"/>
    <col min="8697" max="8697" width="10.42578125" style="56" customWidth="1"/>
    <col min="8698" max="8698" width="13" style="56" customWidth="1"/>
    <col min="8699" max="8952" width="11.42578125" style="56" customWidth="1"/>
    <col min="8953" max="8953" width="10.42578125" style="56" customWidth="1"/>
    <col min="8954" max="8954" width="13" style="56" customWidth="1"/>
    <col min="8955" max="9208" width="11.42578125" style="56" customWidth="1"/>
    <col min="9209" max="9209" width="10.42578125" style="56" customWidth="1"/>
    <col min="9210" max="9210" width="13" style="56" customWidth="1"/>
    <col min="9211" max="9464" width="11.42578125" style="56" customWidth="1"/>
    <col min="9465" max="9465" width="10.42578125" style="56" customWidth="1"/>
    <col min="9466" max="9466" width="13" style="56" customWidth="1"/>
    <col min="9467" max="9720" width="11.42578125" style="56" customWidth="1"/>
    <col min="9721" max="9721" width="10.42578125" style="56" customWidth="1"/>
    <col min="9722" max="9722" width="13" style="56" customWidth="1"/>
    <col min="9723" max="9976" width="11.42578125" style="56" customWidth="1"/>
    <col min="9977" max="9977" width="10.42578125" style="56" customWidth="1"/>
    <col min="9978" max="9978" width="13" style="56" customWidth="1"/>
    <col min="9979" max="10232" width="11.42578125" style="56" customWidth="1"/>
    <col min="10233" max="10233" width="10.42578125" style="56" customWidth="1"/>
    <col min="10234" max="10234" width="13" style="56" customWidth="1"/>
    <col min="10235" max="10488" width="11.42578125" style="56" customWidth="1"/>
    <col min="10489" max="10489" width="10.42578125" style="56" customWidth="1"/>
    <col min="10490" max="10490" width="13" style="56" customWidth="1"/>
    <col min="10491" max="10744" width="11.42578125" style="56" customWidth="1"/>
    <col min="10745" max="10745" width="10.42578125" style="56" customWidth="1"/>
    <col min="10746" max="10746" width="13" style="56" customWidth="1"/>
    <col min="10747" max="11000" width="11.42578125" style="56" customWidth="1"/>
    <col min="11001" max="11001" width="10.42578125" style="56" customWidth="1"/>
    <col min="11002" max="11002" width="13" style="56" customWidth="1"/>
    <col min="11003" max="11256" width="11.42578125" style="56" customWidth="1"/>
    <col min="11257" max="11257" width="10.42578125" style="56" customWidth="1"/>
    <col min="11258" max="11258" width="13" style="56" customWidth="1"/>
    <col min="11259" max="11512" width="11.42578125" style="56" customWidth="1"/>
    <col min="11513" max="11513" width="10.42578125" style="56" customWidth="1"/>
    <col min="11514" max="11514" width="13" style="56" customWidth="1"/>
    <col min="11515" max="11768" width="11.42578125" style="56" customWidth="1"/>
    <col min="11769" max="11769" width="10.42578125" style="56" customWidth="1"/>
    <col min="11770" max="11770" width="13" style="56" customWidth="1"/>
    <col min="11771" max="12024" width="11.42578125" style="56" customWidth="1"/>
    <col min="12025" max="12025" width="10.42578125" style="56" customWidth="1"/>
    <col min="12026" max="12026" width="13" style="56" customWidth="1"/>
    <col min="12027" max="12280" width="11.42578125" style="56" customWidth="1"/>
    <col min="12281" max="12281" width="10.42578125" style="56" customWidth="1"/>
    <col min="12282" max="12282" width="13" style="56" customWidth="1"/>
    <col min="12283" max="12536" width="11.42578125" style="56" customWidth="1"/>
    <col min="12537" max="12537" width="10.42578125" style="56" customWidth="1"/>
    <col min="12538" max="12538" width="13" style="56" customWidth="1"/>
    <col min="12539" max="12792" width="11.42578125" style="56" customWidth="1"/>
    <col min="12793" max="12793" width="10.42578125" style="56" customWidth="1"/>
    <col min="12794" max="12794" width="13" style="56" customWidth="1"/>
    <col min="12795" max="13048" width="11.42578125" style="56" customWidth="1"/>
    <col min="13049" max="13049" width="10.42578125" style="56" customWidth="1"/>
    <col min="13050" max="13050" width="13" style="56" customWidth="1"/>
    <col min="13051" max="13304" width="11.42578125" style="56" customWidth="1"/>
    <col min="13305" max="13305" width="10.42578125" style="56" customWidth="1"/>
    <col min="13306" max="13306" width="13" style="56" customWidth="1"/>
    <col min="13307" max="13560" width="11.42578125" style="56" customWidth="1"/>
    <col min="13561" max="13561" width="10.42578125" style="56" customWidth="1"/>
    <col min="13562" max="13562" width="13" style="56" customWidth="1"/>
    <col min="13563" max="13816" width="11.42578125" style="56" customWidth="1"/>
    <col min="13817" max="13817" width="10.42578125" style="56" customWidth="1"/>
    <col min="13818" max="13818" width="13" style="56" customWidth="1"/>
    <col min="13819" max="14072" width="11.42578125" style="56" customWidth="1"/>
    <col min="14073" max="14073" width="10.42578125" style="56" customWidth="1"/>
    <col min="14074" max="14074" width="13" style="56" customWidth="1"/>
    <col min="14075" max="14328" width="11.42578125" style="56" customWidth="1"/>
    <col min="14329" max="14329" width="10.42578125" style="56" customWidth="1"/>
    <col min="14330" max="14330" width="13" style="56" customWidth="1"/>
    <col min="14331" max="14584" width="11.42578125" style="56" customWidth="1"/>
    <col min="14585" max="14585" width="10.42578125" style="56" customWidth="1"/>
    <col min="14586" max="14586" width="13" style="56" customWidth="1"/>
    <col min="14587" max="14840" width="11.42578125" style="56" customWidth="1"/>
    <col min="14841" max="14841" width="10.42578125" style="56" customWidth="1"/>
    <col min="14842" max="14842" width="13" style="56" customWidth="1"/>
    <col min="14843" max="15096" width="11.42578125" style="56" customWidth="1"/>
    <col min="15097" max="15097" width="10.42578125" style="56" customWidth="1"/>
    <col min="15098" max="15098" width="13" style="56" customWidth="1"/>
    <col min="15099" max="15352" width="11.42578125" style="56" customWidth="1"/>
    <col min="15353" max="15353" width="10.42578125" style="56" customWidth="1"/>
    <col min="15354" max="15354" width="13" style="56" customWidth="1"/>
    <col min="15355" max="15608" width="11.42578125" style="56" customWidth="1"/>
    <col min="15609" max="15609" width="10.42578125" style="56" customWidth="1"/>
    <col min="15610" max="15610" width="13" style="56" customWidth="1"/>
    <col min="15611" max="15864" width="11.42578125" style="56" customWidth="1"/>
    <col min="15865" max="15865" width="10.42578125" style="56" customWidth="1"/>
    <col min="15866" max="15866" width="13" style="56" customWidth="1"/>
    <col min="15867" max="16120" width="11.42578125" style="56" customWidth="1"/>
    <col min="16121" max="16121" width="10.42578125" style="56" customWidth="1"/>
    <col min="16122" max="16122" width="13" style="56" customWidth="1"/>
    <col min="16123" max="16384" width="11.42578125" style="56" customWidth="1"/>
  </cols>
  <sheetData>
    <row r="1" spans="1:8">
      <c r="A1" s="891" t="s">
        <v>2</v>
      </c>
      <c r="B1" s="892"/>
      <c r="C1" s="892"/>
      <c r="D1" s="892"/>
      <c r="E1" s="892"/>
      <c r="F1" s="892"/>
      <c r="G1" s="892"/>
      <c r="H1" s="893"/>
    </row>
    <row r="2" spans="1:8" ht="12.75" thickBot="1">
      <c r="A2" s="894"/>
      <c r="B2" s="895"/>
      <c r="C2" s="895"/>
      <c r="D2" s="895"/>
      <c r="E2" s="895"/>
      <c r="F2" s="895"/>
      <c r="G2" s="895"/>
      <c r="H2" s="896"/>
    </row>
    <row r="3" spans="1:8" ht="66" customHeight="1" thickBot="1">
      <c r="A3" s="322"/>
      <c r="B3" s="907" t="s">
        <v>393</v>
      </c>
      <c r="C3" s="908"/>
      <c r="D3" s="908"/>
      <c r="E3" s="908"/>
      <c r="F3" s="908"/>
      <c r="G3" s="908"/>
      <c r="H3" s="909"/>
    </row>
    <row r="5" spans="1:8">
      <c r="A5" s="57"/>
      <c r="B5" s="58"/>
      <c r="E5" s="58"/>
      <c r="G5" s="59"/>
      <c r="H5" s="60"/>
    </row>
    <row r="6" spans="1:8">
      <c r="A6" s="910" t="s">
        <v>298</v>
      </c>
      <c r="B6" s="906" t="s">
        <v>359</v>
      </c>
      <c r="C6" s="906"/>
      <c r="D6" s="906"/>
      <c r="E6" s="906"/>
      <c r="F6" s="906"/>
      <c r="G6" s="59" t="s">
        <v>30</v>
      </c>
      <c r="H6" s="61" t="s">
        <v>0</v>
      </c>
    </row>
    <row r="7" spans="1:8">
      <c r="A7" s="910"/>
      <c r="B7" s="906"/>
      <c r="C7" s="906"/>
      <c r="D7" s="906"/>
      <c r="E7" s="906"/>
      <c r="F7" s="906"/>
      <c r="G7" s="58"/>
    </row>
    <row r="8" spans="1:8" ht="12.75" thickBot="1">
      <c r="A8" s="58" t="s">
        <v>3</v>
      </c>
      <c r="B8" s="58"/>
    </row>
    <row r="9" spans="1:8">
      <c r="A9" s="897" t="s">
        <v>4</v>
      </c>
      <c r="B9" s="898"/>
      <c r="C9" s="899"/>
      <c r="D9" s="62" t="s">
        <v>5</v>
      </c>
      <c r="E9" s="63" t="s">
        <v>6</v>
      </c>
      <c r="F9" s="62" t="s">
        <v>7</v>
      </c>
      <c r="G9" s="64" t="s">
        <v>8</v>
      </c>
      <c r="H9" s="65"/>
    </row>
    <row r="10" spans="1:8">
      <c r="A10" s="900" t="s">
        <v>305</v>
      </c>
      <c r="B10" s="901"/>
      <c r="C10" s="902"/>
      <c r="D10" s="66"/>
      <c r="E10" s="82"/>
      <c r="F10" s="67"/>
      <c r="G10" s="164">
        <f>H33*0.1</f>
        <v>1912.4</v>
      </c>
      <c r="H10" s="69"/>
    </row>
    <row r="11" spans="1:8">
      <c r="A11" s="900"/>
      <c r="B11" s="901"/>
      <c r="C11" s="902"/>
      <c r="D11" s="66"/>
      <c r="E11" s="82"/>
      <c r="F11" s="67"/>
      <c r="G11" s="164"/>
      <c r="H11" s="69"/>
    </row>
    <row r="12" spans="1:8">
      <c r="A12" s="900"/>
      <c r="B12" s="901"/>
      <c r="C12" s="902"/>
      <c r="D12" s="70"/>
      <c r="E12" s="71"/>
      <c r="F12" s="67"/>
      <c r="G12" s="164"/>
      <c r="H12" s="69"/>
    </row>
    <row r="13" spans="1:8" ht="12.75" thickBot="1">
      <c r="A13" s="900"/>
      <c r="B13" s="901"/>
      <c r="C13" s="902"/>
      <c r="D13" s="66"/>
      <c r="E13" s="82"/>
      <c r="F13" s="67"/>
      <c r="G13" s="164"/>
      <c r="H13" s="76"/>
    </row>
    <row r="14" spans="1:8" ht="12.75" thickBot="1">
      <c r="G14" s="61" t="s">
        <v>9</v>
      </c>
      <c r="H14" s="175">
        <f>ROUND(G10,0)</f>
        <v>1912</v>
      </c>
    </row>
    <row r="15" spans="1:8" ht="12.75" thickBot="1">
      <c r="A15" s="58" t="s">
        <v>10</v>
      </c>
      <c r="B15" s="58"/>
    </row>
    <row r="16" spans="1:8">
      <c r="A16" s="897" t="s">
        <v>4</v>
      </c>
      <c r="B16" s="898"/>
      <c r="C16" s="899"/>
      <c r="D16" s="62" t="s">
        <v>11</v>
      </c>
      <c r="E16" s="62" t="s">
        <v>12</v>
      </c>
      <c r="F16" s="62" t="s">
        <v>13</v>
      </c>
      <c r="G16" s="64" t="s">
        <v>8</v>
      </c>
      <c r="H16" s="65"/>
    </row>
    <row r="17" spans="1:8">
      <c r="A17" s="79"/>
      <c r="B17" s="80"/>
      <c r="C17" s="81"/>
      <c r="D17" s="66"/>
      <c r="E17" s="82"/>
      <c r="F17" s="83"/>
      <c r="G17" s="68"/>
      <c r="H17" s="69"/>
    </row>
    <row r="18" spans="1:8">
      <c r="A18" s="84"/>
      <c r="B18" s="80"/>
      <c r="C18" s="81"/>
      <c r="D18" s="66"/>
      <c r="E18" s="82"/>
      <c r="F18" s="83"/>
      <c r="G18" s="68"/>
      <c r="H18" s="69"/>
    </row>
    <row r="19" spans="1:8">
      <c r="A19" s="84"/>
      <c r="B19" s="80"/>
      <c r="C19" s="81"/>
      <c r="D19" s="70"/>
      <c r="E19" s="71"/>
      <c r="F19" s="85"/>
      <c r="G19" s="68"/>
      <c r="H19" s="69"/>
    </row>
    <row r="20" spans="1:8">
      <c r="A20" s="84"/>
      <c r="B20" s="80"/>
      <c r="C20" s="81"/>
      <c r="D20" s="70"/>
      <c r="E20" s="71"/>
      <c r="F20" s="85"/>
      <c r="G20" s="68"/>
      <c r="H20" s="69"/>
    </row>
    <row r="21" spans="1:8" ht="12.75" thickBot="1">
      <c r="A21" s="86"/>
      <c r="B21" s="87"/>
      <c r="C21" s="88"/>
      <c r="D21" s="72"/>
      <c r="E21" s="73"/>
      <c r="F21" s="74"/>
      <c r="G21" s="75"/>
      <c r="H21" s="76"/>
    </row>
    <row r="22" spans="1:8" ht="12.75" thickBot="1">
      <c r="G22" s="61" t="s">
        <v>9</v>
      </c>
      <c r="H22" s="165">
        <f>SUM(G17:G21)</f>
        <v>0</v>
      </c>
    </row>
    <row r="23" spans="1:8" ht="12.75" thickBot="1">
      <c r="A23" s="89" t="s">
        <v>14</v>
      </c>
      <c r="B23" s="89"/>
      <c r="C23" s="90"/>
    </row>
    <row r="24" spans="1:8">
      <c r="A24" s="128" t="s">
        <v>15</v>
      </c>
      <c r="B24" s="129"/>
      <c r="C24" s="130" t="s">
        <v>16</v>
      </c>
      <c r="D24" s="62" t="s">
        <v>17</v>
      </c>
      <c r="E24" s="62" t="s">
        <v>18</v>
      </c>
      <c r="F24" s="62" t="s">
        <v>19</v>
      </c>
      <c r="G24" s="92" t="s">
        <v>8</v>
      </c>
      <c r="H24" s="65"/>
    </row>
    <row r="25" spans="1:8">
      <c r="A25" s="84" t="s">
        <v>102</v>
      </c>
      <c r="B25" s="80"/>
      <c r="C25" s="93">
        <v>1.3</v>
      </c>
      <c r="D25" s="94">
        <v>5</v>
      </c>
      <c r="E25" s="95">
        <f>C25*D25</f>
        <v>6.5</v>
      </c>
      <c r="F25" s="96">
        <f>TRANSPORTE!H33</f>
        <v>1500</v>
      </c>
      <c r="G25" s="97">
        <f>E25*F25</f>
        <v>9750</v>
      </c>
      <c r="H25" s="69"/>
    </row>
    <row r="26" spans="1:8">
      <c r="A26" s="84"/>
      <c r="B26" s="80"/>
      <c r="C26" s="98"/>
      <c r="D26" s="66"/>
      <c r="E26" s="99"/>
      <c r="F26" s="67"/>
      <c r="G26" s="67"/>
      <c r="H26" s="69"/>
    </row>
    <row r="27" spans="1:8" ht="12.75" thickBot="1">
      <c r="A27" s="86"/>
      <c r="B27" s="88"/>
      <c r="C27" s="72"/>
      <c r="D27" s="73"/>
      <c r="E27" s="74"/>
      <c r="F27" s="75"/>
      <c r="G27" s="72"/>
      <c r="H27" s="76"/>
    </row>
    <row r="28" spans="1:8" ht="12.75" thickBot="1">
      <c r="G28" s="61" t="s">
        <v>9</v>
      </c>
      <c r="H28" s="165">
        <f>SUM(G25:G27)</f>
        <v>9750</v>
      </c>
    </row>
    <row r="29" spans="1:8" ht="12.75" thickBot="1">
      <c r="A29" s="89" t="s">
        <v>20</v>
      </c>
      <c r="B29" s="89"/>
    </row>
    <row r="30" spans="1:8">
      <c r="A30" s="128" t="s">
        <v>21</v>
      </c>
      <c r="B30" s="129"/>
      <c r="C30" s="100" t="s">
        <v>22</v>
      </c>
      <c r="D30" s="62" t="s">
        <v>23</v>
      </c>
      <c r="E30" s="63" t="s">
        <v>24</v>
      </c>
      <c r="F30" s="100" t="s">
        <v>7</v>
      </c>
      <c r="G30" s="64" t="s">
        <v>8</v>
      </c>
      <c r="H30" s="65"/>
    </row>
    <row r="31" spans="1:8">
      <c r="A31" s="84" t="s">
        <v>39</v>
      </c>
      <c r="B31" s="80">
        <v>1</v>
      </c>
      <c r="C31" s="101">
        <v>31874</v>
      </c>
      <c r="D31" s="192">
        <v>1.8</v>
      </c>
      <c r="E31" s="166">
        <f>+D31*C31*B31</f>
        <v>57373.200000000004</v>
      </c>
      <c r="F31" s="67">
        <v>3</v>
      </c>
      <c r="G31" s="167">
        <f>+E31/F31</f>
        <v>19124.400000000001</v>
      </c>
      <c r="H31" s="69"/>
    </row>
    <row r="32" spans="1:8" ht="12.75" thickBot="1">
      <c r="A32" s="86"/>
      <c r="B32" s="87"/>
      <c r="C32" s="73"/>
      <c r="D32" s="103"/>
      <c r="E32" s="103"/>
      <c r="F32" s="103"/>
      <c r="G32" s="90"/>
      <c r="H32" s="76"/>
    </row>
    <row r="33" spans="1:8" ht="12.75" thickBot="1">
      <c r="G33" s="61" t="s">
        <v>9</v>
      </c>
      <c r="H33" s="175">
        <f>ROUND(G31+G32,0)</f>
        <v>19124</v>
      </c>
    </row>
    <row r="34" spans="1:8" ht="12.75" thickBot="1">
      <c r="G34" s="104"/>
    </row>
    <row r="35" spans="1:8" ht="12.75" thickBot="1">
      <c r="E35" s="105" t="s">
        <v>25</v>
      </c>
      <c r="F35" s="106"/>
      <c r="G35" s="106"/>
      <c r="H35" s="175">
        <f>ROUND(H14+H22+H28+H33,0)</f>
        <v>30786</v>
      </c>
    </row>
    <row r="41" spans="1:8" s="194" customFormat="1" ht="14.25">
      <c r="A41" s="195" t="s">
        <v>134</v>
      </c>
      <c r="B41" s="195"/>
      <c r="C41" s="195"/>
      <c r="D41" s="197"/>
      <c r="E41" s="196"/>
      <c r="F41" s="196"/>
    </row>
    <row r="42" spans="1:8" s="194" customFormat="1" ht="14.25">
      <c r="A42" s="195" t="s">
        <v>131</v>
      </c>
      <c r="B42" s="195"/>
      <c r="C42" s="195"/>
      <c r="D42" s="197"/>
      <c r="E42" s="196"/>
      <c r="F42" s="196"/>
    </row>
  </sheetData>
  <mergeCells count="10">
    <mergeCell ref="A11:C11"/>
    <mergeCell ref="A12:C12"/>
    <mergeCell ref="A13:C13"/>
    <mergeCell ref="A16:C16"/>
    <mergeCell ref="A1:H2"/>
    <mergeCell ref="B3:H3"/>
    <mergeCell ref="A6:A7"/>
    <mergeCell ref="B6:F7"/>
    <mergeCell ref="A9:C9"/>
    <mergeCell ref="A10:C10"/>
  </mergeCells>
  <pageMargins left="0.7" right="0.7" top="0.75" bottom="0.75" header="0.3" footer="0.3"/>
  <pageSetup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12">
    <tabColor rgb="FFFF0000"/>
  </sheetPr>
  <dimension ref="A1:M46"/>
  <sheetViews>
    <sheetView view="pageBreakPreview" topLeftCell="A19" zoomScale="106" zoomScaleSheetLayoutView="106" workbookViewId="0">
      <selection activeCell="D17" sqref="D17"/>
    </sheetView>
  </sheetViews>
  <sheetFormatPr baseColWidth="10" defaultColWidth="9.28515625" defaultRowHeight="12.75"/>
  <cols>
    <col min="1" max="1" width="11.42578125" style="4" customWidth="1"/>
    <col min="2" max="2" width="10.42578125" style="4" customWidth="1"/>
    <col min="3" max="3" width="13" style="4" customWidth="1"/>
    <col min="4" max="4" width="11.42578125" style="107" customWidth="1"/>
    <col min="5" max="5" width="11.42578125" style="4" customWidth="1"/>
    <col min="6" max="6" width="10.7109375" style="4" customWidth="1"/>
    <col min="7" max="8" width="11.42578125" style="4" customWidth="1"/>
    <col min="9" max="9" width="15.42578125" style="4" customWidth="1"/>
    <col min="10" max="10" width="14.7109375" style="4" customWidth="1"/>
    <col min="11" max="254" width="11.42578125" style="4" customWidth="1"/>
    <col min="255" max="255" width="10.42578125" style="4" customWidth="1"/>
    <col min="256" max="256" width="13" style="4" customWidth="1"/>
    <col min="257" max="510" width="11.42578125" style="4" customWidth="1"/>
    <col min="511" max="511" width="10.42578125" style="4" customWidth="1"/>
    <col min="512" max="512" width="13" style="4" customWidth="1"/>
    <col min="513" max="766" width="11.42578125" style="4" customWidth="1"/>
    <col min="767" max="767" width="10.42578125" style="4" customWidth="1"/>
    <col min="768" max="768" width="13" style="4" customWidth="1"/>
    <col min="769" max="1022" width="11.42578125" style="4" customWidth="1"/>
    <col min="1023" max="1023" width="10.42578125" style="4" customWidth="1"/>
    <col min="1024" max="1024" width="13" style="4" customWidth="1"/>
    <col min="1025" max="1278" width="11.42578125" style="4" customWidth="1"/>
    <col min="1279" max="1279" width="10.42578125" style="4" customWidth="1"/>
    <col min="1280" max="1280" width="13" style="4" customWidth="1"/>
    <col min="1281" max="1534" width="11.42578125" style="4" customWidth="1"/>
    <col min="1535" max="1535" width="10.42578125" style="4" customWidth="1"/>
    <col min="1536" max="1536" width="13" style="4" customWidth="1"/>
    <col min="1537" max="1790" width="11.42578125" style="4" customWidth="1"/>
    <col min="1791" max="1791" width="10.42578125" style="4" customWidth="1"/>
    <col min="1792" max="1792" width="13" style="4" customWidth="1"/>
    <col min="1793" max="2046" width="11.42578125" style="4" customWidth="1"/>
    <col min="2047" max="2047" width="10.42578125" style="4" customWidth="1"/>
    <col min="2048" max="2048" width="13" style="4" customWidth="1"/>
    <col min="2049" max="2302" width="11.42578125" style="4" customWidth="1"/>
    <col min="2303" max="2303" width="10.42578125" style="4" customWidth="1"/>
    <col min="2304" max="2304" width="13" style="4" customWidth="1"/>
    <col min="2305" max="2558" width="11.42578125" style="4" customWidth="1"/>
    <col min="2559" max="2559" width="10.42578125" style="4" customWidth="1"/>
    <col min="2560" max="2560" width="13" style="4" customWidth="1"/>
    <col min="2561" max="2814" width="11.42578125" style="4" customWidth="1"/>
    <col min="2815" max="2815" width="10.42578125" style="4" customWidth="1"/>
    <col min="2816" max="2816" width="13" style="4" customWidth="1"/>
    <col min="2817" max="3070" width="11.42578125" style="4" customWidth="1"/>
    <col min="3071" max="3071" width="10.42578125" style="4" customWidth="1"/>
    <col min="3072" max="3072" width="13" style="4" customWidth="1"/>
    <col min="3073" max="3326" width="11.42578125" style="4" customWidth="1"/>
    <col min="3327" max="3327" width="10.42578125" style="4" customWidth="1"/>
    <col min="3328" max="3328" width="13" style="4" customWidth="1"/>
    <col min="3329" max="3582" width="11.42578125" style="4" customWidth="1"/>
    <col min="3583" max="3583" width="10.42578125" style="4" customWidth="1"/>
    <col min="3584" max="3584" width="13" style="4" customWidth="1"/>
    <col min="3585" max="3838" width="11.42578125" style="4" customWidth="1"/>
    <col min="3839" max="3839" width="10.42578125" style="4" customWidth="1"/>
    <col min="3840" max="3840" width="13" style="4" customWidth="1"/>
    <col min="3841" max="4094" width="11.42578125" style="4" customWidth="1"/>
    <col min="4095" max="4095" width="10.42578125" style="4" customWidth="1"/>
    <col min="4096" max="4096" width="13" style="4" customWidth="1"/>
    <col min="4097" max="4350" width="11.42578125" style="4" customWidth="1"/>
    <col min="4351" max="4351" width="10.42578125" style="4" customWidth="1"/>
    <col min="4352" max="4352" width="13" style="4" customWidth="1"/>
    <col min="4353" max="4606" width="11.42578125" style="4" customWidth="1"/>
    <col min="4607" max="4607" width="10.42578125" style="4" customWidth="1"/>
    <col min="4608" max="4608" width="13" style="4" customWidth="1"/>
    <col min="4609" max="4862" width="11.42578125" style="4" customWidth="1"/>
    <col min="4863" max="4863" width="10.42578125" style="4" customWidth="1"/>
    <col min="4864" max="4864" width="13" style="4" customWidth="1"/>
    <col min="4865" max="5118" width="11.42578125" style="4" customWidth="1"/>
    <col min="5119" max="5119" width="10.42578125" style="4" customWidth="1"/>
    <col min="5120" max="5120" width="13" style="4" customWidth="1"/>
    <col min="5121" max="5374" width="11.42578125" style="4" customWidth="1"/>
    <col min="5375" max="5375" width="10.42578125" style="4" customWidth="1"/>
    <col min="5376" max="5376" width="13" style="4" customWidth="1"/>
    <col min="5377" max="5630" width="11.42578125" style="4" customWidth="1"/>
    <col min="5631" max="5631" width="10.42578125" style="4" customWidth="1"/>
    <col min="5632" max="5632" width="13" style="4" customWidth="1"/>
    <col min="5633" max="5886" width="11.42578125" style="4" customWidth="1"/>
    <col min="5887" max="5887" width="10.42578125" style="4" customWidth="1"/>
    <col min="5888" max="5888" width="13" style="4" customWidth="1"/>
    <col min="5889" max="6142" width="11.42578125" style="4" customWidth="1"/>
    <col min="6143" max="6143" width="10.42578125" style="4" customWidth="1"/>
    <col min="6144" max="6144" width="13" style="4" customWidth="1"/>
    <col min="6145" max="6398" width="11.42578125" style="4" customWidth="1"/>
    <col min="6399" max="6399" width="10.42578125" style="4" customWidth="1"/>
    <col min="6400" max="6400" width="13" style="4" customWidth="1"/>
    <col min="6401" max="6654" width="11.42578125" style="4" customWidth="1"/>
    <col min="6655" max="6655" width="10.42578125" style="4" customWidth="1"/>
    <col min="6656" max="6656" width="13" style="4" customWidth="1"/>
    <col min="6657" max="6910" width="11.42578125" style="4" customWidth="1"/>
    <col min="6911" max="6911" width="10.42578125" style="4" customWidth="1"/>
    <col min="6912" max="6912" width="13" style="4" customWidth="1"/>
    <col min="6913" max="7166" width="11.42578125" style="4" customWidth="1"/>
    <col min="7167" max="7167" width="10.42578125" style="4" customWidth="1"/>
    <col min="7168" max="7168" width="13" style="4" customWidth="1"/>
    <col min="7169" max="7422" width="11.42578125" style="4" customWidth="1"/>
    <col min="7423" max="7423" width="10.42578125" style="4" customWidth="1"/>
    <col min="7424" max="7424" width="13" style="4" customWidth="1"/>
    <col min="7425" max="7678" width="11.42578125" style="4" customWidth="1"/>
    <col min="7679" max="7679" width="10.42578125" style="4" customWidth="1"/>
    <col min="7680" max="7680" width="13" style="4" customWidth="1"/>
    <col min="7681" max="7934" width="11.42578125" style="4" customWidth="1"/>
    <col min="7935" max="7935" width="10.42578125" style="4" customWidth="1"/>
    <col min="7936" max="7936" width="13" style="4" customWidth="1"/>
    <col min="7937" max="8190" width="11.42578125" style="4" customWidth="1"/>
    <col min="8191" max="8191" width="10.42578125" style="4" customWidth="1"/>
    <col min="8192" max="8192" width="13" style="4" customWidth="1"/>
    <col min="8193" max="8446" width="11.42578125" style="4" customWidth="1"/>
    <col min="8447" max="8447" width="10.42578125" style="4" customWidth="1"/>
    <col min="8448" max="8448" width="13" style="4" customWidth="1"/>
    <col min="8449" max="8702" width="11.42578125" style="4" customWidth="1"/>
    <col min="8703" max="8703" width="10.42578125" style="4" customWidth="1"/>
    <col min="8704" max="8704" width="13" style="4" customWidth="1"/>
    <col min="8705" max="8958" width="11.42578125" style="4" customWidth="1"/>
    <col min="8959" max="8959" width="10.42578125" style="4" customWidth="1"/>
    <col min="8960" max="8960" width="13" style="4" customWidth="1"/>
    <col min="8961" max="9214" width="11.42578125" style="4" customWidth="1"/>
    <col min="9215" max="9215" width="10.42578125" style="4" customWidth="1"/>
    <col min="9216" max="9216" width="13" style="4" customWidth="1"/>
    <col min="9217" max="9470" width="11.42578125" style="4" customWidth="1"/>
    <col min="9471" max="9471" width="10.42578125" style="4" customWidth="1"/>
    <col min="9472" max="9472" width="13" style="4" customWidth="1"/>
    <col min="9473" max="9726" width="11.42578125" style="4" customWidth="1"/>
    <col min="9727" max="9727" width="10.42578125" style="4" customWidth="1"/>
    <col min="9728" max="9728" width="13" style="4" customWidth="1"/>
    <col min="9729" max="9982" width="11.42578125" style="4" customWidth="1"/>
    <col min="9983" max="9983" width="10.42578125" style="4" customWidth="1"/>
    <col min="9984" max="9984" width="13" style="4" customWidth="1"/>
    <col min="9985" max="10238" width="11.42578125" style="4" customWidth="1"/>
    <col min="10239" max="10239" width="10.42578125" style="4" customWidth="1"/>
    <col min="10240" max="10240" width="13" style="4" customWidth="1"/>
    <col min="10241" max="10494" width="11.42578125" style="4" customWidth="1"/>
    <col min="10495" max="10495" width="10.42578125" style="4" customWidth="1"/>
    <col min="10496" max="10496" width="13" style="4" customWidth="1"/>
    <col min="10497" max="10750" width="11.42578125" style="4" customWidth="1"/>
    <col min="10751" max="10751" width="10.42578125" style="4" customWidth="1"/>
    <col min="10752" max="10752" width="13" style="4" customWidth="1"/>
    <col min="10753" max="11006" width="11.42578125" style="4" customWidth="1"/>
    <col min="11007" max="11007" width="10.42578125" style="4" customWidth="1"/>
    <col min="11008" max="11008" width="13" style="4" customWidth="1"/>
    <col min="11009" max="11262" width="11.42578125" style="4" customWidth="1"/>
    <col min="11263" max="11263" width="10.42578125" style="4" customWidth="1"/>
    <col min="11264" max="11264" width="13" style="4" customWidth="1"/>
    <col min="11265" max="11518" width="11.42578125" style="4" customWidth="1"/>
    <col min="11519" max="11519" width="10.42578125" style="4" customWidth="1"/>
    <col min="11520" max="11520" width="13" style="4" customWidth="1"/>
    <col min="11521" max="11774" width="11.42578125" style="4" customWidth="1"/>
    <col min="11775" max="11775" width="10.42578125" style="4" customWidth="1"/>
    <col min="11776" max="11776" width="13" style="4" customWidth="1"/>
    <col min="11777" max="12030" width="11.42578125" style="4" customWidth="1"/>
    <col min="12031" max="12031" width="10.42578125" style="4" customWidth="1"/>
    <col min="12032" max="12032" width="13" style="4" customWidth="1"/>
    <col min="12033" max="12286" width="11.42578125" style="4" customWidth="1"/>
    <col min="12287" max="12287" width="10.42578125" style="4" customWidth="1"/>
    <col min="12288" max="12288" width="13" style="4" customWidth="1"/>
    <col min="12289" max="12542" width="11.42578125" style="4" customWidth="1"/>
    <col min="12543" max="12543" width="10.42578125" style="4" customWidth="1"/>
    <col min="12544" max="12544" width="13" style="4" customWidth="1"/>
    <col min="12545" max="12798" width="11.42578125" style="4" customWidth="1"/>
    <col min="12799" max="12799" width="10.42578125" style="4" customWidth="1"/>
    <col min="12800" max="12800" width="13" style="4" customWidth="1"/>
    <col min="12801" max="13054" width="11.42578125" style="4" customWidth="1"/>
    <col min="13055" max="13055" width="10.42578125" style="4" customWidth="1"/>
    <col min="13056" max="13056" width="13" style="4" customWidth="1"/>
    <col min="13057" max="13310" width="11.42578125" style="4" customWidth="1"/>
    <col min="13311" max="13311" width="10.42578125" style="4" customWidth="1"/>
    <col min="13312" max="13312" width="13" style="4" customWidth="1"/>
    <col min="13313" max="13566" width="11.42578125" style="4" customWidth="1"/>
    <col min="13567" max="13567" width="10.42578125" style="4" customWidth="1"/>
    <col min="13568" max="13568" width="13" style="4" customWidth="1"/>
    <col min="13569" max="13822" width="11.42578125" style="4" customWidth="1"/>
    <col min="13823" max="13823" width="10.42578125" style="4" customWidth="1"/>
    <col min="13824" max="13824" width="13" style="4" customWidth="1"/>
    <col min="13825" max="14078" width="11.42578125" style="4" customWidth="1"/>
    <col min="14079" max="14079" width="10.42578125" style="4" customWidth="1"/>
    <col min="14080" max="14080" width="13" style="4" customWidth="1"/>
    <col min="14081" max="14334" width="11.42578125" style="4" customWidth="1"/>
    <col min="14335" max="14335" width="10.42578125" style="4" customWidth="1"/>
    <col min="14336" max="14336" width="13" style="4" customWidth="1"/>
    <col min="14337" max="14590" width="11.42578125" style="4" customWidth="1"/>
    <col min="14591" max="14591" width="10.42578125" style="4" customWidth="1"/>
    <col min="14592" max="14592" width="13" style="4" customWidth="1"/>
    <col min="14593" max="14846" width="11.42578125" style="4" customWidth="1"/>
    <col min="14847" max="14847" width="10.42578125" style="4" customWidth="1"/>
    <col min="14848" max="14848" width="13" style="4" customWidth="1"/>
    <col min="14849" max="15102" width="11.42578125" style="4" customWidth="1"/>
    <col min="15103" max="15103" width="10.42578125" style="4" customWidth="1"/>
    <col min="15104" max="15104" width="13" style="4" customWidth="1"/>
    <col min="15105" max="15358" width="11.42578125" style="4" customWidth="1"/>
    <col min="15359" max="15359" width="10.42578125" style="4" customWidth="1"/>
    <col min="15360" max="15360" width="13" style="4" customWidth="1"/>
    <col min="15361" max="15614" width="11.42578125" style="4" customWidth="1"/>
    <col min="15615" max="15615" width="10.42578125" style="4" customWidth="1"/>
    <col min="15616" max="15616" width="13" style="4" customWidth="1"/>
    <col min="15617" max="15870" width="11.42578125" style="4" customWidth="1"/>
    <col min="15871" max="15871" width="10.42578125" style="4" customWidth="1"/>
    <col min="15872" max="15872" width="13" style="4" customWidth="1"/>
    <col min="15873" max="16126" width="11.42578125" style="4" customWidth="1"/>
    <col min="16127" max="16127" width="10.42578125" style="4" customWidth="1"/>
    <col min="16128" max="16128" width="13" style="4" customWidth="1"/>
    <col min="16129" max="16384" width="11.42578125" style="4" customWidth="1"/>
  </cols>
  <sheetData>
    <row r="1" spans="1:9" s="56" customFormat="1" ht="15" customHeight="1">
      <c r="A1" s="891" t="s">
        <v>2</v>
      </c>
      <c r="B1" s="892"/>
      <c r="C1" s="892"/>
      <c r="D1" s="892"/>
      <c r="E1" s="892"/>
      <c r="F1" s="892"/>
      <c r="G1" s="892"/>
      <c r="H1" s="893"/>
    </row>
    <row r="2" spans="1:9" s="56" customFormat="1" ht="5.25" customHeight="1" thickBot="1">
      <c r="A2" s="894"/>
      <c r="B2" s="895"/>
      <c r="C2" s="895"/>
      <c r="D2" s="895"/>
      <c r="E2" s="895"/>
      <c r="F2" s="895"/>
      <c r="G2" s="895"/>
      <c r="H2" s="896"/>
    </row>
    <row r="3" spans="1:9" s="56" customFormat="1" ht="56.25" customHeight="1" thickBot="1">
      <c r="A3" s="322"/>
      <c r="B3" s="907" t="s">
        <v>393</v>
      </c>
      <c r="C3" s="908"/>
      <c r="D3" s="908"/>
      <c r="E3" s="908"/>
      <c r="F3" s="908"/>
      <c r="G3" s="908"/>
      <c r="H3" s="909"/>
    </row>
    <row r="4" spans="1:9" ht="15.75" customHeight="1">
      <c r="A4" s="5"/>
      <c r="B4" s="6"/>
      <c r="C4" s="6"/>
      <c r="D4" s="52"/>
      <c r="E4" s="6"/>
      <c r="F4" s="6"/>
      <c r="G4" s="6"/>
      <c r="H4" s="6"/>
    </row>
    <row r="5" spans="1:9">
      <c r="A5" s="5"/>
      <c r="B5" s="7"/>
      <c r="C5" s="6"/>
      <c r="E5" s="7"/>
      <c r="G5" s="8"/>
      <c r="H5" s="9"/>
    </row>
    <row r="6" spans="1:9">
      <c r="A6" s="57" t="s">
        <v>299</v>
      </c>
      <c r="B6" s="906" t="s">
        <v>358</v>
      </c>
      <c r="C6" s="906"/>
      <c r="D6" s="906"/>
      <c r="E6" s="906"/>
      <c r="F6" s="906"/>
      <c r="G6" s="58" t="s">
        <v>30</v>
      </c>
      <c r="H6" s="61" t="s">
        <v>0</v>
      </c>
    </row>
    <row r="7" spans="1:9">
      <c r="A7" s="58"/>
      <c r="B7" s="906"/>
      <c r="C7" s="906"/>
      <c r="D7" s="906"/>
      <c r="E7" s="906"/>
      <c r="F7" s="906"/>
      <c r="G7" s="58"/>
      <c r="H7" s="56"/>
    </row>
    <row r="8" spans="1:9" ht="13.5" thickBot="1">
      <c r="A8" s="10" t="s">
        <v>3</v>
      </c>
      <c r="B8" s="10"/>
      <c r="C8" s="6"/>
      <c r="D8" s="52"/>
      <c r="E8" s="6"/>
      <c r="F8" s="6"/>
      <c r="G8" s="6"/>
      <c r="H8" s="6"/>
    </row>
    <row r="9" spans="1:9">
      <c r="A9" s="912" t="s">
        <v>4</v>
      </c>
      <c r="B9" s="913"/>
      <c r="C9" s="914"/>
      <c r="D9" s="11" t="s">
        <v>5</v>
      </c>
      <c r="E9" s="12" t="s">
        <v>6</v>
      </c>
      <c r="F9" s="11" t="s">
        <v>7</v>
      </c>
      <c r="G9" s="13" t="s">
        <v>8</v>
      </c>
      <c r="H9" s="14"/>
    </row>
    <row r="10" spans="1:9">
      <c r="A10" s="918" t="s">
        <v>306</v>
      </c>
      <c r="B10" s="919"/>
      <c r="C10" s="920"/>
      <c r="D10" s="15"/>
      <c r="E10" s="16"/>
      <c r="F10" s="16"/>
      <c r="G10" s="17">
        <f>H38*0.1</f>
        <v>5552.2741935483873</v>
      </c>
      <c r="H10" s="18"/>
    </row>
    <row r="11" spans="1:9">
      <c r="A11" s="918" t="str">
        <f>EQUIPO!B8</f>
        <v>REGLA VIBRATORIA DE CONCRETO</v>
      </c>
      <c r="B11" s="919"/>
      <c r="C11" s="920"/>
      <c r="D11" s="15" t="str">
        <f>EQUIPO!C8</f>
        <v>Hora</v>
      </c>
      <c r="E11" s="108">
        <f>EQUIPO!D8</f>
        <v>4500</v>
      </c>
      <c r="F11" s="16">
        <v>1</v>
      </c>
      <c r="G11" s="17">
        <f>EQUIPO!D8</f>
        <v>4500</v>
      </c>
      <c r="H11" s="18"/>
    </row>
    <row r="12" spans="1:9">
      <c r="A12" s="918"/>
      <c r="B12" s="919"/>
      <c r="C12" s="920"/>
      <c r="D12" s="15"/>
      <c r="E12" s="108"/>
      <c r="F12" s="16"/>
      <c r="G12" s="17"/>
      <c r="H12" s="18"/>
    </row>
    <row r="13" spans="1:9" ht="13.5" thickBot="1">
      <c r="A13" s="921"/>
      <c r="B13" s="922"/>
      <c r="C13" s="923"/>
      <c r="D13" s="21"/>
      <c r="E13" s="149"/>
      <c r="F13" s="23"/>
      <c r="G13" s="121"/>
      <c r="H13" s="25"/>
    </row>
    <row r="14" spans="1:9" ht="13.5" thickBot="1">
      <c r="A14" s="6"/>
      <c r="B14" s="6"/>
      <c r="C14" s="6"/>
      <c r="D14" s="52"/>
      <c r="E14" s="6"/>
      <c r="F14" s="6"/>
      <c r="G14" s="26" t="s">
        <v>9</v>
      </c>
      <c r="H14" s="27">
        <f>SUM(G10:G13)</f>
        <v>10052.274193548386</v>
      </c>
      <c r="I14" s="28"/>
    </row>
    <row r="15" spans="1:9" ht="13.5" thickBot="1">
      <c r="A15" s="10" t="s">
        <v>10</v>
      </c>
      <c r="B15" s="10"/>
      <c r="C15" s="6"/>
      <c r="D15" s="52"/>
      <c r="E15" s="6"/>
      <c r="F15" s="6"/>
      <c r="G15" s="6"/>
      <c r="H15" s="6"/>
    </row>
    <row r="16" spans="1:9">
      <c r="A16" s="912" t="s">
        <v>4</v>
      </c>
      <c r="B16" s="913"/>
      <c r="C16" s="914"/>
      <c r="D16" s="11" t="s">
        <v>11</v>
      </c>
      <c r="E16" s="11" t="s">
        <v>12</v>
      </c>
      <c r="F16" s="11" t="s">
        <v>13</v>
      </c>
      <c r="G16" s="46" t="s">
        <v>8</v>
      </c>
      <c r="H16" s="120"/>
    </row>
    <row r="17" spans="1:13">
      <c r="A17" s="29" t="s">
        <v>353</v>
      </c>
      <c r="B17" s="30"/>
      <c r="C17" s="30"/>
      <c r="D17" s="118" t="str">
        <f>+'Despiece de Insumos'!C10</f>
        <v>M3</v>
      </c>
      <c r="E17" s="144">
        <f>'Cto 3000'!H39</f>
        <v>433561</v>
      </c>
      <c r="F17" s="16">
        <v>1</v>
      </c>
      <c r="G17" s="139">
        <f>+E17*F17</f>
        <v>433561</v>
      </c>
      <c r="H17" s="116"/>
      <c r="K17" s="151"/>
      <c r="M17" s="10"/>
    </row>
    <row r="18" spans="1:13" ht="24.75" customHeight="1">
      <c r="A18" s="915" t="str">
        <f>'Despiece de Insumos'!B29</f>
        <v>FORMALETA METALICA( trapezoidal) Y/O DE MADERA  (INC. ALAMBRE Y ESTACAS)</v>
      </c>
      <c r="B18" s="916"/>
      <c r="C18" s="917"/>
      <c r="D18" s="118" t="s">
        <v>49</v>
      </c>
      <c r="E18" s="144">
        <f>'Despiece de Insumos'!D29</f>
        <v>50000</v>
      </c>
      <c r="F18" s="16">
        <v>0.33</v>
      </c>
      <c r="G18" s="153">
        <f t="shared" ref="G18" si="0">+E18*F18</f>
        <v>16500</v>
      </c>
      <c r="H18" s="116"/>
    </row>
    <row r="19" spans="1:13">
      <c r="A19" s="29" t="s">
        <v>97</v>
      </c>
      <c r="B19" s="30"/>
      <c r="C19" s="30"/>
      <c r="D19" s="15" t="s">
        <v>49</v>
      </c>
      <c r="E19" s="145">
        <v>133</v>
      </c>
      <c r="F19" s="32">
        <v>1</v>
      </c>
      <c r="G19" s="153">
        <f>E19*F19</f>
        <v>133</v>
      </c>
      <c r="H19" s="116"/>
    </row>
    <row r="20" spans="1:13" ht="21.75" customHeight="1">
      <c r="A20" s="915" t="s">
        <v>98</v>
      </c>
      <c r="B20" s="916"/>
      <c r="C20" s="917"/>
      <c r="D20" s="19" t="s">
        <v>49</v>
      </c>
      <c r="E20" s="147">
        <v>20000</v>
      </c>
      <c r="F20" s="20">
        <v>75</v>
      </c>
      <c r="G20" s="153">
        <f>E20/F20</f>
        <v>266.66666666666669</v>
      </c>
      <c r="H20" s="116"/>
    </row>
    <row r="21" spans="1:13">
      <c r="A21" s="160" t="s">
        <v>83</v>
      </c>
      <c r="B21" s="125"/>
      <c r="C21" s="125"/>
      <c r="D21" s="19" t="s">
        <v>94</v>
      </c>
      <c r="E21" s="162">
        <f>'Despiece de Insumos'!D13</f>
        <v>15000</v>
      </c>
      <c r="F21" s="123">
        <v>1.4</v>
      </c>
      <c r="G21" s="161">
        <f>E21*F21</f>
        <v>21000</v>
      </c>
      <c r="H21" s="116"/>
    </row>
    <row r="22" spans="1:13" ht="13.5" thickBot="1">
      <c r="A22" s="37"/>
      <c r="B22" s="38"/>
      <c r="C22" s="38"/>
      <c r="D22" s="21"/>
      <c r="E22" s="146"/>
      <c r="F22" s="23"/>
      <c r="G22" s="140"/>
      <c r="H22" s="117"/>
      <c r="I22" s="177"/>
      <c r="J22" s="177"/>
    </row>
    <row r="23" spans="1:13" ht="13.5" thickBot="1">
      <c r="A23" s="6"/>
      <c r="B23" s="6"/>
      <c r="C23" s="6"/>
      <c r="D23" s="52"/>
      <c r="E23" s="6"/>
      <c r="F23" s="6"/>
      <c r="G23" s="26" t="s">
        <v>9</v>
      </c>
      <c r="H23" s="176">
        <f>SUM(G17:G22)</f>
        <v>471460.66666666669</v>
      </c>
      <c r="I23" s="28"/>
    </row>
    <row r="24" spans="1:13" ht="13.5" thickBot="1">
      <c r="A24" s="40" t="s">
        <v>14</v>
      </c>
      <c r="B24" s="40"/>
      <c r="C24" s="41"/>
      <c r="D24" s="52"/>
      <c r="E24" s="6"/>
      <c r="F24" s="6"/>
      <c r="G24" s="6"/>
      <c r="H24" s="6"/>
    </row>
    <row r="25" spans="1:13">
      <c r="A25" s="43" t="s">
        <v>15</v>
      </c>
      <c r="B25" s="44"/>
      <c r="C25" s="45" t="s">
        <v>16</v>
      </c>
      <c r="D25" s="11" t="s">
        <v>17</v>
      </c>
      <c r="E25" s="11" t="s">
        <v>18</v>
      </c>
      <c r="F25" s="11" t="s">
        <v>19</v>
      </c>
      <c r="G25" s="46" t="s">
        <v>8</v>
      </c>
      <c r="H25" s="14"/>
    </row>
    <row r="26" spans="1:13">
      <c r="A26" s="35"/>
      <c r="B26" s="30"/>
      <c r="C26" s="109"/>
      <c r="D26" s="110"/>
      <c r="E26" s="111"/>
      <c r="F26" s="112"/>
      <c r="G26" s="47"/>
      <c r="H26" s="18"/>
    </row>
    <row r="27" spans="1:13">
      <c r="A27" s="35"/>
      <c r="B27" s="30"/>
      <c r="C27" s="113"/>
      <c r="D27" s="108"/>
      <c r="E27" s="111"/>
      <c r="F27" s="16"/>
      <c r="G27" s="47"/>
      <c r="H27" s="18"/>
    </row>
    <row r="28" spans="1:13" ht="13.5" thickBot="1">
      <c r="A28" s="37"/>
      <c r="B28" s="39"/>
      <c r="C28" s="21"/>
      <c r="D28" s="21"/>
      <c r="E28" s="23"/>
      <c r="F28" s="24"/>
      <c r="G28" s="21"/>
      <c r="H28" s="18"/>
    </row>
    <row r="29" spans="1:13" ht="13.5" thickBot="1">
      <c r="A29" s="6"/>
      <c r="B29" s="6"/>
      <c r="C29" s="6"/>
      <c r="D29" s="52"/>
      <c r="E29" s="6"/>
      <c r="F29" s="6"/>
      <c r="G29" s="26" t="s">
        <v>9</v>
      </c>
      <c r="H29" s="27">
        <f>SUM(G26:G28)</f>
        <v>0</v>
      </c>
      <c r="I29" s="28"/>
    </row>
    <row r="30" spans="1:13" ht="13.5" thickBot="1">
      <c r="A30" s="40" t="s">
        <v>20</v>
      </c>
      <c r="B30" s="40"/>
      <c r="C30" s="6"/>
      <c r="D30" s="52"/>
      <c r="E30" s="6"/>
      <c r="F30" s="6"/>
      <c r="G30" s="6"/>
      <c r="H30" s="6"/>
    </row>
    <row r="31" spans="1:13">
      <c r="A31" s="84" t="s">
        <v>21</v>
      </c>
      <c r="B31" s="44"/>
      <c r="C31" s="48" t="s">
        <v>22</v>
      </c>
      <c r="D31" s="11" t="s">
        <v>23</v>
      </c>
      <c r="E31" s="12" t="s">
        <v>24</v>
      </c>
      <c r="F31" s="48" t="s">
        <v>7</v>
      </c>
      <c r="G31" s="13" t="s">
        <v>8</v>
      </c>
      <c r="H31" s="14"/>
    </row>
    <row r="32" spans="1:13">
      <c r="A32" s="84" t="s">
        <v>37</v>
      </c>
      <c r="B32" s="30">
        <v>1</v>
      </c>
      <c r="C32" s="135">
        <v>53124</v>
      </c>
      <c r="D32" s="172">
        <v>1.8</v>
      </c>
      <c r="E32" s="32">
        <f>+D32*C32</f>
        <v>95623.2</v>
      </c>
      <c r="F32" s="16">
        <v>6.2</v>
      </c>
      <c r="G32" s="141">
        <f>+E32/F32</f>
        <v>15423.096774193547</v>
      </c>
      <c r="H32" s="18"/>
      <c r="I32" s="28"/>
    </row>
    <row r="33" spans="1:10">
      <c r="A33" s="84" t="s">
        <v>38</v>
      </c>
      <c r="B33" s="30">
        <v>1</v>
      </c>
      <c r="C33" s="135">
        <v>42499</v>
      </c>
      <c r="D33" s="172">
        <v>1.8</v>
      </c>
      <c r="E33" s="32">
        <f t="shared" ref="E33" si="1">+D33*C33</f>
        <v>76498.2</v>
      </c>
      <c r="F33" s="16">
        <v>6.2</v>
      </c>
      <c r="G33" s="141">
        <f t="shared" ref="G33:G34" si="2">+E33/F33</f>
        <v>12338.419354838708</v>
      </c>
      <c r="H33" s="18"/>
      <c r="I33" s="28"/>
    </row>
    <row r="34" spans="1:10">
      <c r="A34" s="84" t="s">
        <v>39</v>
      </c>
      <c r="B34" s="30">
        <v>3</v>
      </c>
      <c r="C34" s="135">
        <v>31874</v>
      </c>
      <c r="D34" s="172">
        <v>1.8</v>
      </c>
      <c r="E34" s="32">
        <f>+D34*C34*B34</f>
        <v>172119.6</v>
      </c>
      <c r="F34" s="16">
        <v>6.2</v>
      </c>
      <c r="G34" s="141">
        <f t="shared" si="2"/>
        <v>27761.225806451614</v>
      </c>
      <c r="H34" s="18"/>
      <c r="I34" s="28"/>
    </row>
    <row r="35" spans="1:10">
      <c r="A35" s="35"/>
      <c r="B35" s="30"/>
      <c r="C35" s="32"/>
      <c r="D35" s="15"/>
      <c r="E35" s="32"/>
      <c r="F35" s="16"/>
      <c r="G35" s="17"/>
      <c r="H35" s="18"/>
    </row>
    <row r="36" spans="1:10">
      <c r="A36" s="35"/>
      <c r="B36" s="30"/>
      <c r="C36" s="32"/>
      <c r="D36" s="15"/>
      <c r="E36" s="32"/>
      <c r="F36" s="16"/>
      <c r="G36" s="17"/>
      <c r="H36" s="18"/>
      <c r="I36" s="28"/>
    </row>
    <row r="37" spans="1:10" ht="13.5" thickBot="1">
      <c r="A37" s="37"/>
      <c r="B37" s="38"/>
      <c r="C37" s="22"/>
      <c r="D37" s="114"/>
      <c r="E37" s="51"/>
      <c r="F37" s="51"/>
      <c r="G37" s="41"/>
      <c r="H37" s="25"/>
    </row>
    <row r="38" spans="1:10" ht="13.5" thickBot="1">
      <c r="A38" s="6"/>
      <c r="B38" s="6"/>
      <c r="C38" s="6"/>
      <c r="D38" s="52"/>
      <c r="E38" s="6"/>
      <c r="F38" s="6"/>
      <c r="G38" s="26" t="s">
        <v>9</v>
      </c>
      <c r="H38" s="27">
        <f>SUM(G32:G37)</f>
        <v>55522.741935483871</v>
      </c>
    </row>
    <row r="39" spans="1:10" ht="13.5" thickBot="1">
      <c r="A39" s="6"/>
      <c r="B39" s="6"/>
      <c r="C39" s="6"/>
      <c r="D39" s="52"/>
      <c r="E39" s="6"/>
      <c r="F39" s="6"/>
      <c r="G39" s="52"/>
      <c r="H39" s="6"/>
    </row>
    <row r="40" spans="1:10" ht="13.5" thickBot="1">
      <c r="A40" s="6"/>
      <c r="B40" s="6"/>
      <c r="C40" s="6"/>
      <c r="D40" s="52"/>
      <c r="E40" s="53" t="s">
        <v>25</v>
      </c>
      <c r="F40" s="54"/>
      <c r="G40" s="54"/>
      <c r="H40" s="27">
        <f>ROUND(H14+H23+H29+H38,0)</f>
        <v>537036</v>
      </c>
      <c r="I40" s="28"/>
      <c r="J40" s="177"/>
    </row>
    <row r="45" spans="1:10" s="194" customFormat="1" ht="14.25">
      <c r="A45" s="195" t="s">
        <v>134</v>
      </c>
      <c r="B45" s="195"/>
      <c r="C45" s="195"/>
      <c r="D45" s="197"/>
      <c r="E45" s="196"/>
      <c r="F45" s="196"/>
    </row>
    <row r="46" spans="1:10" s="194" customFormat="1" ht="14.25">
      <c r="A46" s="195" t="s">
        <v>131</v>
      </c>
      <c r="B46" s="195"/>
      <c r="C46" s="195"/>
      <c r="D46" s="197"/>
      <c r="E46" s="196"/>
      <c r="F46" s="196"/>
    </row>
  </sheetData>
  <mergeCells count="11">
    <mergeCell ref="A1:H2"/>
    <mergeCell ref="B3:H3"/>
    <mergeCell ref="A20:C20"/>
    <mergeCell ref="A18:C18"/>
    <mergeCell ref="A16:C16"/>
    <mergeCell ref="A9:C9"/>
    <mergeCell ref="A10:C10"/>
    <mergeCell ref="A11:C11"/>
    <mergeCell ref="A12:C12"/>
    <mergeCell ref="A13:C13"/>
    <mergeCell ref="B6:F7"/>
  </mergeCells>
  <printOptions horizontalCentered="1" verticalCentered="1"/>
  <pageMargins left="1.1811023622047245" right="0.39370078740157483" top="0.73229166666666667" bottom="0.9994791666666667" header="0" footer="0"/>
  <pageSetup orientation="portrait" r:id="rId1"/>
  <headerFooter alignWithMargins="0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3">
    <tabColor rgb="FFFF0000"/>
  </sheetPr>
  <dimension ref="A1:K50"/>
  <sheetViews>
    <sheetView view="pageBreakPreview" topLeftCell="A19" zoomScaleSheetLayoutView="100" workbookViewId="0">
      <selection activeCell="D17" sqref="D17"/>
    </sheetView>
  </sheetViews>
  <sheetFormatPr baseColWidth="10" defaultColWidth="9.28515625" defaultRowHeight="12.75"/>
  <cols>
    <col min="1" max="1" width="11.42578125" style="4" customWidth="1"/>
    <col min="2" max="2" width="10.42578125" style="4" customWidth="1"/>
    <col min="3" max="3" width="13" style="4" customWidth="1"/>
    <col min="4" max="4" width="11.42578125" style="107" customWidth="1"/>
    <col min="5" max="5" width="11.42578125" style="4" customWidth="1"/>
    <col min="6" max="6" width="10.7109375" style="4" customWidth="1"/>
    <col min="7" max="8" width="11.42578125" style="4" customWidth="1"/>
    <col min="9" max="9" width="20.7109375" style="4" customWidth="1"/>
    <col min="10" max="10" width="15.42578125" style="4" customWidth="1"/>
    <col min="11" max="257" width="11.42578125" style="4" customWidth="1"/>
    <col min="258" max="258" width="10.42578125" style="4" customWidth="1"/>
    <col min="259" max="259" width="13" style="4" customWidth="1"/>
    <col min="260" max="513" width="11.42578125" style="4" customWidth="1"/>
    <col min="514" max="514" width="10.42578125" style="4" customWidth="1"/>
    <col min="515" max="515" width="13" style="4" customWidth="1"/>
    <col min="516" max="769" width="11.42578125" style="4" customWidth="1"/>
    <col min="770" max="770" width="10.42578125" style="4" customWidth="1"/>
    <col min="771" max="771" width="13" style="4" customWidth="1"/>
    <col min="772" max="1025" width="11.42578125" style="4" customWidth="1"/>
    <col min="1026" max="1026" width="10.42578125" style="4" customWidth="1"/>
    <col min="1027" max="1027" width="13" style="4" customWidth="1"/>
    <col min="1028" max="1281" width="11.42578125" style="4" customWidth="1"/>
    <col min="1282" max="1282" width="10.42578125" style="4" customWidth="1"/>
    <col min="1283" max="1283" width="13" style="4" customWidth="1"/>
    <col min="1284" max="1537" width="11.42578125" style="4" customWidth="1"/>
    <col min="1538" max="1538" width="10.42578125" style="4" customWidth="1"/>
    <col min="1539" max="1539" width="13" style="4" customWidth="1"/>
    <col min="1540" max="1793" width="11.42578125" style="4" customWidth="1"/>
    <col min="1794" max="1794" width="10.42578125" style="4" customWidth="1"/>
    <col min="1795" max="1795" width="13" style="4" customWidth="1"/>
    <col min="1796" max="2049" width="11.42578125" style="4" customWidth="1"/>
    <col min="2050" max="2050" width="10.42578125" style="4" customWidth="1"/>
    <col min="2051" max="2051" width="13" style="4" customWidth="1"/>
    <col min="2052" max="2305" width="11.42578125" style="4" customWidth="1"/>
    <col min="2306" max="2306" width="10.42578125" style="4" customWidth="1"/>
    <col min="2307" max="2307" width="13" style="4" customWidth="1"/>
    <col min="2308" max="2561" width="11.42578125" style="4" customWidth="1"/>
    <col min="2562" max="2562" width="10.42578125" style="4" customWidth="1"/>
    <col min="2563" max="2563" width="13" style="4" customWidth="1"/>
    <col min="2564" max="2817" width="11.42578125" style="4" customWidth="1"/>
    <col min="2818" max="2818" width="10.42578125" style="4" customWidth="1"/>
    <col min="2819" max="2819" width="13" style="4" customWidth="1"/>
    <col min="2820" max="3073" width="11.42578125" style="4" customWidth="1"/>
    <col min="3074" max="3074" width="10.42578125" style="4" customWidth="1"/>
    <col min="3075" max="3075" width="13" style="4" customWidth="1"/>
    <col min="3076" max="3329" width="11.42578125" style="4" customWidth="1"/>
    <col min="3330" max="3330" width="10.42578125" style="4" customWidth="1"/>
    <col min="3331" max="3331" width="13" style="4" customWidth="1"/>
    <col min="3332" max="3585" width="11.42578125" style="4" customWidth="1"/>
    <col min="3586" max="3586" width="10.42578125" style="4" customWidth="1"/>
    <col min="3587" max="3587" width="13" style="4" customWidth="1"/>
    <col min="3588" max="3841" width="11.42578125" style="4" customWidth="1"/>
    <col min="3842" max="3842" width="10.42578125" style="4" customWidth="1"/>
    <col min="3843" max="3843" width="13" style="4" customWidth="1"/>
    <col min="3844" max="4097" width="11.42578125" style="4" customWidth="1"/>
    <col min="4098" max="4098" width="10.42578125" style="4" customWidth="1"/>
    <col min="4099" max="4099" width="13" style="4" customWidth="1"/>
    <col min="4100" max="4353" width="11.42578125" style="4" customWidth="1"/>
    <col min="4354" max="4354" width="10.42578125" style="4" customWidth="1"/>
    <col min="4355" max="4355" width="13" style="4" customWidth="1"/>
    <col min="4356" max="4609" width="11.42578125" style="4" customWidth="1"/>
    <col min="4610" max="4610" width="10.42578125" style="4" customWidth="1"/>
    <col min="4611" max="4611" width="13" style="4" customWidth="1"/>
    <col min="4612" max="4865" width="11.42578125" style="4" customWidth="1"/>
    <col min="4866" max="4866" width="10.42578125" style="4" customWidth="1"/>
    <col min="4867" max="4867" width="13" style="4" customWidth="1"/>
    <col min="4868" max="5121" width="11.42578125" style="4" customWidth="1"/>
    <col min="5122" max="5122" width="10.42578125" style="4" customWidth="1"/>
    <col min="5123" max="5123" width="13" style="4" customWidth="1"/>
    <col min="5124" max="5377" width="11.42578125" style="4" customWidth="1"/>
    <col min="5378" max="5378" width="10.42578125" style="4" customWidth="1"/>
    <col min="5379" max="5379" width="13" style="4" customWidth="1"/>
    <col min="5380" max="5633" width="11.42578125" style="4" customWidth="1"/>
    <col min="5634" max="5634" width="10.42578125" style="4" customWidth="1"/>
    <col min="5635" max="5635" width="13" style="4" customWidth="1"/>
    <col min="5636" max="5889" width="11.42578125" style="4" customWidth="1"/>
    <col min="5890" max="5890" width="10.42578125" style="4" customWidth="1"/>
    <col min="5891" max="5891" width="13" style="4" customWidth="1"/>
    <col min="5892" max="6145" width="11.42578125" style="4" customWidth="1"/>
    <col min="6146" max="6146" width="10.42578125" style="4" customWidth="1"/>
    <col min="6147" max="6147" width="13" style="4" customWidth="1"/>
    <col min="6148" max="6401" width="11.42578125" style="4" customWidth="1"/>
    <col min="6402" max="6402" width="10.42578125" style="4" customWidth="1"/>
    <col min="6403" max="6403" width="13" style="4" customWidth="1"/>
    <col min="6404" max="6657" width="11.42578125" style="4" customWidth="1"/>
    <col min="6658" max="6658" width="10.42578125" style="4" customWidth="1"/>
    <col min="6659" max="6659" width="13" style="4" customWidth="1"/>
    <col min="6660" max="6913" width="11.42578125" style="4" customWidth="1"/>
    <col min="6914" max="6914" width="10.42578125" style="4" customWidth="1"/>
    <col min="6915" max="6915" width="13" style="4" customWidth="1"/>
    <col min="6916" max="7169" width="11.42578125" style="4" customWidth="1"/>
    <col min="7170" max="7170" width="10.42578125" style="4" customWidth="1"/>
    <col min="7171" max="7171" width="13" style="4" customWidth="1"/>
    <col min="7172" max="7425" width="11.42578125" style="4" customWidth="1"/>
    <col min="7426" max="7426" width="10.42578125" style="4" customWidth="1"/>
    <col min="7427" max="7427" width="13" style="4" customWidth="1"/>
    <col min="7428" max="7681" width="11.42578125" style="4" customWidth="1"/>
    <col min="7682" max="7682" width="10.42578125" style="4" customWidth="1"/>
    <col min="7683" max="7683" width="13" style="4" customWidth="1"/>
    <col min="7684" max="7937" width="11.42578125" style="4" customWidth="1"/>
    <col min="7938" max="7938" width="10.42578125" style="4" customWidth="1"/>
    <col min="7939" max="7939" width="13" style="4" customWidth="1"/>
    <col min="7940" max="8193" width="11.42578125" style="4" customWidth="1"/>
    <col min="8194" max="8194" width="10.42578125" style="4" customWidth="1"/>
    <col min="8195" max="8195" width="13" style="4" customWidth="1"/>
    <col min="8196" max="8449" width="11.42578125" style="4" customWidth="1"/>
    <col min="8450" max="8450" width="10.42578125" style="4" customWidth="1"/>
    <col min="8451" max="8451" width="13" style="4" customWidth="1"/>
    <col min="8452" max="8705" width="11.42578125" style="4" customWidth="1"/>
    <col min="8706" max="8706" width="10.42578125" style="4" customWidth="1"/>
    <col min="8707" max="8707" width="13" style="4" customWidth="1"/>
    <col min="8708" max="8961" width="11.42578125" style="4" customWidth="1"/>
    <col min="8962" max="8962" width="10.42578125" style="4" customWidth="1"/>
    <col min="8963" max="8963" width="13" style="4" customWidth="1"/>
    <col min="8964" max="9217" width="11.42578125" style="4" customWidth="1"/>
    <col min="9218" max="9218" width="10.42578125" style="4" customWidth="1"/>
    <col min="9219" max="9219" width="13" style="4" customWidth="1"/>
    <col min="9220" max="9473" width="11.42578125" style="4" customWidth="1"/>
    <col min="9474" max="9474" width="10.42578125" style="4" customWidth="1"/>
    <col min="9475" max="9475" width="13" style="4" customWidth="1"/>
    <col min="9476" max="9729" width="11.42578125" style="4" customWidth="1"/>
    <col min="9730" max="9730" width="10.42578125" style="4" customWidth="1"/>
    <col min="9731" max="9731" width="13" style="4" customWidth="1"/>
    <col min="9732" max="9985" width="11.42578125" style="4" customWidth="1"/>
    <col min="9986" max="9986" width="10.42578125" style="4" customWidth="1"/>
    <col min="9987" max="9987" width="13" style="4" customWidth="1"/>
    <col min="9988" max="10241" width="11.42578125" style="4" customWidth="1"/>
    <col min="10242" max="10242" width="10.42578125" style="4" customWidth="1"/>
    <col min="10243" max="10243" width="13" style="4" customWidth="1"/>
    <col min="10244" max="10497" width="11.42578125" style="4" customWidth="1"/>
    <col min="10498" max="10498" width="10.42578125" style="4" customWidth="1"/>
    <col min="10499" max="10499" width="13" style="4" customWidth="1"/>
    <col min="10500" max="10753" width="11.42578125" style="4" customWidth="1"/>
    <col min="10754" max="10754" width="10.42578125" style="4" customWidth="1"/>
    <col min="10755" max="10755" width="13" style="4" customWidth="1"/>
    <col min="10756" max="11009" width="11.42578125" style="4" customWidth="1"/>
    <col min="11010" max="11010" width="10.42578125" style="4" customWidth="1"/>
    <col min="11011" max="11011" width="13" style="4" customWidth="1"/>
    <col min="11012" max="11265" width="11.42578125" style="4" customWidth="1"/>
    <col min="11266" max="11266" width="10.42578125" style="4" customWidth="1"/>
    <col min="11267" max="11267" width="13" style="4" customWidth="1"/>
    <col min="11268" max="11521" width="11.42578125" style="4" customWidth="1"/>
    <col min="11522" max="11522" width="10.42578125" style="4" customWidth="1"/>
    <col min="11523" max="11523" width="13" style="4" customWidth="1"/>
    <col min="11524" max="11777" width="11.42578125" style="4" customWidth="1"/>
    <col min="11778" max="11778" width="10.42578125" style="4" customWidth="1"/>
    <col min="11779" max="11779" width="13" style="4" customWidth="1"/>
    <col min="11780" max="12033" width="11.42578125" style="4" customWidth="1"/>
    <col min="12034" max="12034" width="10.42578125" style="4" customWidth="1"/>
    <col min="12035" max="12035" width="13" style="4" customWidth="1"/>
    <col min="12036" max="12289" width="11.42578125" style="4" customWidth="1"/>
    <col min="12290" max="12290" width="10.42578125" style="4" customWidth="1"/>
    <col min="12291" max="12291" width="13" style="4" customWidth="1"/>
    <col min="12292" max="12545" width="11.42578125" style="4" customWidth="1"/>
    <col min="12546" max="12546" width="10.42578125" style="4" customWidth="1"/>
    <col min="12547" max="12547" width="13" style="4" customWidth="1"/>
    <col min="12548" max="12801" width="11.42578125" style="4" customWidth="1"/>
    <col min="12802" max="12802" width="10.42578125" style="4" customWidth="1"/>
    <col min="12803" max="12803" width="13" style="4" customWidth="1"/>
    <col min="12804" max="13057" width="11.42578125" style="4" customWidth="1"/>
    <col min="13058" max="13058" width="10.42578125" style="4" customWidth="1"/>
    <col min="13059" max="13059" width="13" style="4" customWidth="1"/>
    <col min="13060" max="13313" width="11.42578125" style="4" customWidth="1"/>
    <col min="13314" max="13314" width="10.42578125" style="4" customWidth="1"/>
    <col min="13315" max="13315" width="13" style="4" customWidth="1"/>
    <col min="13316" max="13569" width="11.42578125" style="4" customWidth="1"/>
    <col min="13570" max="13570" width="10.42578125" style="4" customWidth="1"/>
    <col min="13571" max="13571" width="13" style="4" customWidth="1"/>
    <col min="13572" max="13825" width="11.42578125" style="4" customWidth="1"/>
    <col min="13826" max="13826" width="10.42578125" style="4" customWidth="1"/>
    <col min="13827" max="13827" width="13" style="4" customWidth="1"/>
    <col min="13828" max="14081" width="11.42578125" style="4" customWidth="1"/>
    <col min="14082" max="14082" width="10.42578125" style="4" customWidth="1"/>
    <col min="14083" max="14083" width="13" style="4" customWidth="1"/>
    <col min="14084" max="14337" width="11.42578125" style="4" customWidth="1"/>
    <col min="14338" max="14338" width="10.42578125" style="4" customWidth="1"/>
    <col min="14339" max="14339" width="13" style="4" customWidth="1"/>
    <col min="14340" max="14593" width="11.42578125" style="4" customWidth="1"/>
    <col min="14594" max="14594" width="10.42578125" style="4" customWidth="1"/>
    <col min="14595" max="14595" width="13" style="4" customWidth="1"/>
    <col min="14596" max="14849" width="11.42578125" style="4" customWidth="1"/>
    <col min="14850" max="14850" width="10.42578125" style="4" customWidth="1"/>
    <col min="14851" max="14851" width="13" style="4" customWidth="1"/>
    <col min="14852" max="15105" width="11.42578125" style="4" customWidth="1"/>
    <col min="15106" max="15106" width="10.42578125" style="4" customWidth="1"/>
    <col min="15107" max="15107" width="13" style="4" customWidth="1"/>
    <col min="15108" max="15361" width="11.42578125" style="4" customWidth="1"/>
    <col min="15362" max="15362" width="10.42578125" style="4" customWidth="1"/>
    <col min="15363" max="15363" width="13" style="4" customWidth="1"/>
    <col min="15364" max="15617" width="11.42578125" style="4" customWidth="1"/>
    <col min="15618" max="15618" width="10.42578125" style="4" customWidth="1"/>
    <col min="15619" max="15619" width="13" style="4" customWidth="1"/>
    <col min="15620" max="15873" width="11.42578125" style="4" customWidth="1"/>
    <col min="15874" max="15874" width="10.42578125" style="4" customWidth="1"/>
    <col min="15875" max="15875" width="13" style="4" customWidth="1"/>
    <col min="15876" max="16129" width="11.42578125" style="4" customWidth="1"/>
    <col min="16130" max="16130" width="10.42578125" style="4" customWidth="1"/>
    <col min="16131" max="16131" width="13" style="4" customWidth="1"/>
    <col min="16132" max="16384" width="11.42578125" style="4" customWidth="1"/>
  </cols>
  <sheetData>
    <row r="1" spans="1:9" s="56" customFormat="1" ht="15" customHeight="1">
      <c r="A1" s="891" t="s">
        <v>2</v>
      </c>
      <c r="B1" s="892"/>
      <c r="C1" s="892"/>
      <c r="D1" s="892"/>
      <c r="E1" s="892"/>
      <c r="F1" s="892"/>
      <c r="G1" s="892"/>
      <c r="H1" s="893"/>
    </row>
    <row r="2" spans="1:9" s="56" customFormat="1" ht="5.25" customHeight="1" thickBot="1">
      <c r="A2" s="894"/>
      <c r="B2" s="895"/>
      <c r="C2" s="895"/>
      <c r="D2" s="895"/>
      <c r="E2" s="895"/>
      <c r="F2" s="895"/>
      <c r="G2" s="895"/>
      <c r="H2" s="896"/>
    </row>
    <row r="3" spans="1:9" s="56" customFormat="1" ht="56.25" customHeight="1" thickBot="1">
      <c r="A3" s="322"/>
      <c r="B3" s="907" t="s">
        <v>393</v>
      </c>
      <c r="C3" s="908"/>
      <c r="D3" s="908"/>
      <c r="E3" s="908"/>
      <c r="F3" s="908"/>
      <c r="G3" s="908"/>
      <c r="H3" s="909"/>
    </row>
    <row r="4" spans="1:9">
      <c r="A4" s="5"/>
      <c r="B4" s="6"/>
      <c r="C4" s="6"/>
      <c r="D4" s="52"/>
      <c r="E4" s="6"/>
      <c r="F4" s="6"/>
      <c r="G4" s="6"/>
      <c r="H4" s="6"/>
    </row>
    <row r="5" spans="1:9">
      <c r="A5" s="5"/>
      <c r="B5" s="7"/>
      <c r="C5" s="6"/>
      <c r="E5" s="7"/>
      <c r="G5" s="8"/>
      <c r="H5" s="9"/>
    </row>
    <row r="6" spans="1:9">
      <c r="A6" s="57" t="s">
        <v>300</v>
      </c>
      <c r="B6" s="906" t="s">
        <v>360</v>
      </c>
      <c r="C6" s="906"/>
      <c r="D6" s="906"/>
      <c r="E6" s="906"/>
      <c r="F6" s="906"/>
      <c r="G6" s="7" t="s">
        <v>30</v>
      </c>
      <c r="H6" s="26" t="s">
        <v>0</v>
      </c>
    </row>
    <row r="7" spans="1:9">
      <c r="A7" s="7"/>
      <c r="B7" s="906"/>
      <c r="C7" s="906"/>
      <c r="D7" s="906"/>
      <c r="E7" s="906"/>
      <c r="F7" s="906"/>
      <c r="G7" s="7"/>
      <c r="H7" s="6"/>
    </row>
    <row r="8" spans="1:9" ht="13.5" thickBot="1">
      <c r="A8" s="10" t="s">
        <v>3</v>
      </c>
      <c r="B8" s="10"/>
      <c r="C8" s="6"/>
      <c r="D8" s="52"/>
      <c r="E8" s="6"/>
      <c r="F8" s="6"/>
      <c r="G8" s="6"/>
      <c r="H8" s="6"/>
    </row>
    <row r="9" spans="1:9">
      <c r="A9" s="912" t="s">
        <v>4</v>
      </c>
      <c r="B9" s="913"/>
      <c r="C9" s="914"/>
      <c r="D9" s="11" t="s">
        <v>5</v>
      </c>
      <c r="E9" s="12" t="s">
        <v>6</v>
      </c>
      <c r="F9" s="11" t="s">
        <v>7</v>
      </c>
      <c r="G9" s="13" t="s">
        <v>8</v>
      </c>
      <c r="H9" s="14"/>
    </row>
    <row r="10" spans="1:9">
      <c r="A10" s="918" t="s">
        <v>306</v>
      </c>
      <c r="B10" s="919"/>
      <c r="C10" s="920"/>
      <c r="D10" s="15"/>
      <c r="E10" s="108"/>
      <c r="F10" s="16"/>
      <c r="G10" s="17">
        <f>H38*0.1</f>
        <v>4917.7285714285717</v>
      </c>
      <c r="H10" s="18"/>
    </row>
    <row r="11" spans="1:9">
      <c r="A11" s="918"/>
      <c r="B11" s="919"/>
      <c r="C11" s="920"/>
      <c r="D11" s="15"/>
      <c r="E11" s="108"/>
      <c r="F11" s="16"/>
      <c r="G11" s="17"/>
      <c r="H11" s="18"/>
    </row>
    <row r="12" spans="1:9">
      <c r="A12" s="918"/>
      <c r="B12" s="919"/>
      <c r="C12" s="920"/>
      <c r="D12" s="15"/>
      <c r="E12" s="108"/>
      <c r="F12" s="16"/>
      <c r="G12" s="50"/>
      <c r="H12" s="131"/>
    </row>
    <row r="13" spans="1:9" ht="13.5" thickBot="1">
      <c r="A13" s="921"/>
      <c r="B13" s="922"/>
      <c r="C13" s="923"/>
      <c r="D13" s="21"/>
      <c r="E13" s="22"/>
      <c r="F13" s="23"/>
      <c r="G13" s="24"/>
      <c r="H13" s="25"/>
    </row>
    <row r="14" spans="1:9" ht="13.5" thickBot="1">
      <c r="A14" s="6"/>
      <c r="B14" s="6"/>
      <c r="C14" s="6"/>
      <c r="D14" s="52"/>
      <c r="E14" s="6"/>
      <c r="F14" s="6"/>
      <c r="G14" s="26" t="s">
        <v>9</v>
      </c>
      <c r="H14" s="27">
        <f>SUM(G10:G13)</f>
        <v>4917.7285714285717</v>
      </c>
      <c r="I14" s="132"/>
    </row>
    <row r="15" spans="1:9" ht="13.5" thickBot="1">
      <c r="A15" s="10" t="s">
        <v>10</v>
      </c>
      <c r="B15" s="10"/>
      <c r="C15" s="6"/>
      <c r="D15" s="52"/>
      <c r="E15" s="6"/>
      <c r="F15" s="6"/>
      <c r="G15" s="6"/>
      <c r="H15" s="6"/>
    </row>
    <row r="16" spans="1:9">
      <c r="A16" s="912" t="s">
        <v>4</v>
      </c>
      <c r="B16" s="913"/>
      <c r="C16" s="914"/>
      <c r="D16" s="11" t="s">
        <v>11</v>
      </c>
      <c r="E16" s="11" t="s">
        <v>12</v>
      </c>
      <c r="F16" s="11" t="s">
        <v>13</v>
      </c>
      <c r="G16" s="13" t="s">
        <v>8</v>
      </c>
      <c r="H16" s="14"/>
    </row>
    <row r="17" spans="1:11">
      <c r="A17" s="29" t="s">
        <v>352</v>
      </c>
      <c r="B17" s="30"/>
      <c r="C17" s="30"/>
      <c r="D17" s="118" t="str">
        <f>+'Despiece de Insumos'!C10</f>
        <v>M3</v>
      </c>
      <c r="E17" s="133">
        <f>'Cto 3000'!H39</f>
        <v>433561</v>
      </c>
      <c r="F17" s="16">
        <v>0.6</v>
      </c>
      <c r="G17" s="17">
        <f>+E17*F17</f>
        <v>260136.59999999998</v>
      </c>
      <c r="H17" s="18"/>
    </row>
    <row r="18" spans="1:11">
      <c r="A18" s="29" t="s">
        <v>304</v>
      </c>
      <c r="B18" s="30"/>
      <c r="C18" s="30"/>
      <c r="D18" s="118" t="str">
        <f>'Despiece de Insumos'!C11</f>
        <v>M3</v>
      </c>
      <c r="E18" s="133">
        <f>'Despiece de Insumos'!D11</f>
        <v>70000</v>
      </c>
      <c r="F18" s="34">
        <v>0.4</v>
      </c>
      <c r="G18" s="17">
        <f t="shared" ref="G18:G19" si="0">+E18*F18</f>
        <v>28000</v>
      </c>
      <c r="H18" s="18"/>
    </row>
    <row r="19" spans="1:11">
      <c r="A19" s="29" t="str">
        <f>+'Despiece de Insumos'!B9</f>
        <v>AGUA</v>
      </c>
      <c r="B19" s="30"/>
      <c r="C19" s="30"/>
      <c r="D19" s="118" t="str">
        <f>+'Despiece de Insumos'!C9</f>
        <v>Litro</v>
      </c>
      <c r="E19" s="133">
        <f>+'Despiece de Insumos'!D9</f>
        <v>15</v>
      </c>
      <c r="F19" s="123">
        <v>50</v>
      </c>
      <c r="G19" s="17">
        <f t="shared" si="0"/>
        <v>750</v>
      </c>
      <c r="H19" s="18"/>
    </row>
    <row r="20" spans="1:11">
      <c r="A20" s="160"/>
      <c r="B20" s="125"/>
      <c r="C20" s="125"/>
      <c r="D20" s="19"/>
      <c r="E20" s="162"/>
      <c r="F20" s="20"/>
      <c r="G20" s="161"/>
      <c r="H20" s="18"/>
    </row>
    <row r="21" spans="1:11">
      <c r="A21" s="124"/>
      <c r="B21" s="125"/>
      <c r="C21" s="126"/>
      <c r="D21" s="19"/>
      <c r="E21" s="20"/>
      <c r="F21" s="36"/>
      <c r="G21" s="127"/>
      <c r="H21" s="18"/>
    </row>
    <row r="22" spans="1:11">
      <c r="A22" s="124"/>
      <c r="B22" s="125"/>
      <c r="C22" s="126"/>
      <c r="D22" s="19"/>
      <c r="E22" s="20"/>
      <c r="F22" s="36"/>
      <c r="G22" s="127"/>
      <c r="H22" s="18"/>
    </row>
    <row r="23" spans="1:11" ht="13.5" thickBot="1">
      <c r="A23" s="37"/>
      <c r="B23" s="38"/>
      <c r="C23" s="39"/>
      <c r="D23" s="21"/>
      <c r="E23" s="22"/>
      <c r="F23" s="23"/>
      <c r="G23" s="24"/>
      <c r="H23" s="25"/>
    </row>
    <row r="24" spans="1:11" ht="13.5" thickBot="1">
      <c r="A24" s="6"/>
      <c r="B24" s="6"/>
      <c r="C24" s="6"/>
      <c r="D24" s="52"/>
      <c r="E24" s="6"/>
      <c r="F24" s="6"/>
      <c r="G24" s="26" t="s">
        <v>9</v>
      </c>
      <c r="H24" s="27">
        <f>SUM(G17:G23)</f>
        <v>288886.59999999998</v>
      </c>
      <c r="I24" s="28"/>
      <c r="J24" s="28"/>
    </row>
    <row r="25" spans="1:11" ht="13.5" thickBot="1">
      <c r="A25" s="40" t="s">
        <v>14</v>
      </c>
      <c r="B25" s="40"/>
      <c r="C25" s="41"/>
      <c r="D25" s="52"/>
      <c r="E25" s="6"/>
      <c r="F25" s="6"/>
      <c r="G25" s="6"/>
      <c r="H25" s="6"/>
      <c r="K25" s="42"/>
    </row>
    <row r="26" spans="1:11">
      <c r="A26" s="43" t="s">
        <v>15</v>
      </c>
      <c r="B26" s="44"/>
      <c r="C26" s="45" t="s">
        <v>16</v>
      </c>
      <c r="D26" s="11" t="s">
        <v>17</v>
      </c>
      <c r="E26" s="11" t="s">
        <v>18</v>
      </c>
      <c r="F26" s="11" t="s">
        <v>19</v>
      </c>
      <c r="G26" s="46" t="s">
        <v>8</v>
      </c>
      <c r="H26" s="14"/>
    </row>
    <row r="27" spans="1:11">
      <c r="A27" s="924" t="s">
        <v>104</v>
      </c>
      <c r="B27" s="925"/>
      <c r="C27" s="109">
        <v>0.4</v>
      </c>
      <c r="D27" s="110">
        <v>22</v>
      </c>
      <c r="E27" s="111">
        <f>C27*D27</f>
        <v>8.8000000000000007</v>
      </c>
      <c r="F27" s="112">
        <f>TRANSPORTE!H33</f>
        <v>1500</v>
      </c>
      <c r="G27" s="47">
        <f>E27*F27</f>
        <v>13200.000000000002</v>
      </c>
      <c r="H27" s="18"/>
    </row>
    <row r="28" spans="1:11">
      <c r="A28" s="926"/>
      <c r="B28" s="927"/>
      <c r="C28" s="113"/>
      <c r="D28" s="108"/>
      <c r="E28" s="111"/>
      <c r="F28" s="16"/>
      <c r="G28" s="47"/>
      <c r="H28" s="18"/>
    </row>
    <row r="29" spans="1:11" ht="13.5" thickBot="1">
      <c r="A29" s="37"/>
      <c r="B29" s="39"/>
      <c r="C29" s="21"/>
      <c r="D29" s="21"/>
      <c r="E29" s="23"/>
      <c r="F29" s="24"/>
      <c r="G29" s="21"/>
      <c r="H29" s="18"/>
    </row>
    <row r="30" spans="1:11" ht="13.5" thickBot="1">
      <c r="A30" s="6"/>
      <c r="B30" s="6"/>
      <c r="C30" s="6"/>
      <c r="D30" s="52"/>
      <c r="E30" s="6"/>
      <c r="F30" s="6"/>
      <c r="G30" s="26" t="s">
        <v>9</v>
      </c>
      <c r="H30" s="27">
        <f>SUM(G27:G29)</f>
        <v>13200.000000000002</v>
      </c>
      <c r="I30" s="28"/>
    </row>
    <row r="31" spans="1:11" ht="13.5" thickBot="1">
      <c r="A31" s="40" t="s">
        <v>20</v>
      </c>
      <c r="B31" s="40"/>
      <c r="C31" s="6"/>
      <c r="D31" s="52"/>
      <c r="E31" s="6"/>
      <c r="F31" s="6"/>
      <c r="G31" s="6"/>
      <c r="H31" s="6"/>
    </row>
    <row r="32" spans="1:11">
      <c r="A32" s="43" t="s">
        <v>21</v>
      </c>
      <c r="B32" s="44"/>
      <c r="C32" s="48" t="s">
        <v>22</v>
      </c>
      <c r="D32" s="11" t="s">
        <v>23</v>
      </c>
      <c r="E32" s="12" t="s">
        <v>24</v>
      </c>
      <c r="F32" s="48" t="s">
        <v>7</v>
      </c>
      <c r="G32" s="13" t="s">
        <v>8</v>
      </c>
      <c r="H32" s="14"/>
    </row>
    <row r="33" spans="1:9">
      <c r="A33" s="84" t="s">
        <v>37</v>
      </c>
      <c r="B33" s="143">
        <v>1</v>
      </c>
      <c r="C33" s="49">
        <v>53124</v>
      </c>
      <c r="D33" s="172">
        <v>1.8</v>
      </c>
      <c r="E33" s="32">
        <f>+D33*C33</f>
        <v>95623.2</v>
      </c>
      <c r="F33" s="16">
        <v>7</v>
      </c>
      <c r="G33" s="141">
        <f>+E33/F33</f>
        <v>13660.457142857142</v>
      </c>
      <c r="H33" s="18"/>
      <c r="I33" s="28"/>
    </row>
    <row r="34" spans="1:9">
      <c r="A34" s="84" t="s">
        <v>38</v>
      </c>
      <c r="B34" s="143">
        <v>1</v>
      </c>
      <c r="C34" s="49">
        <v>42499</v>
      </c>
      <c r="D34" s="172">
        <v>1.8</v>
      </c>
      <c r="E34" s="32">
        <f t="shared" ref="E34" si="1">+D34*C34</f>
        <v>76498.2</v>
      </c>
      <c r="F34" s="16">
        <v>7</v>
      </c>
      <c r="G34" s="141">
        <f t="shared" ref="G34:G35" si="2">+E34/F34</f>
        <v>10928.314285714285</v>
      </c>
      <c r="H34" s="18"/>
      <c r="I34" s="28"/>
    </row>
    <row r="35" spans="1:9">
      <c r="A35" s="84" t="s">
        <v>39</v>
      </c>
      <c r="B35" s="143">
        <v>3</v>
      </c>
      <c r="C35" s="49">
        <v>31874</v>
      </c>
      <c r="D35" s="172">
        <v>1.8</v>
      </c>
      <c r="E35" s="32">
        <f>+D35*C35*B35</f>
        <v>172119.6</v>
      </c>
      <c r="F35" s="16">
        <v>7</v>
      </c>
      <c r="G35" s="141">
        <f t="shared" si="2"/>
        <v>24588.514285714286</v>
      </c>
      <c r="H35" s="18"/>
      <c r="I35" s="28"/>
    </row>
    <row r="36" spans="1:9">
      <c r="A36" s="35"/>
      <c r="B36" s="30"/>
      <c r="C36" s="32"/>
      <c r="D36" s="15"/>
      <c r="E36" s="32"/>
      <c r="F36" s="16"/>
      <c r="G36" s="17"/>
      <c r="H36" s="18"/>
      <c r="I36" s="28"/>
    </row>
    <row r="37" spans="1:9" ht="13.5" thickBot="1">
      <c r="A37" s="37"/>
      <c r="B37" s="38"/>
      <c r="C37" s="22"/>
      <c r="D37" s="114"/>
      <c r="E37" s="51"/>
      <c r="F37" s="51"/>
      <c r="G37" s="41"/>
      <c r="H37" s="25"/>
    </row>
    <row r="38" spans="1:9" ht="13.5" thickBot="1">
      <c r="A38" s="6"/>
      <c r="B38" s="6"/>
      <c r="C38" s="6"/>
      <c r="D38" s="52"/>
      <c r="E38" s="6"/>
      <c r="F38" s="6"/>
      <c r="G38" s="26" t="s">
        <v>9</v>
      </c>
      <c r="H38" s="27">
        <f>SUM(G33:G37)</f>
        <v>49177.28571428571</v>
      </c>
    </row>
    <row r="39" spans="1:9" ht="13.5" thickBot="1">
      <c r="A39" s="6"/>
      <c r="B39" s="6"/>
      <c r="C39" s="6"/>
      <c r="D39" s="52"/>
      <c r="E39" s="6"/>
      <c r="F39" s="6"/>
      <c r="G39" s="52"/>
      <c r="H39" s="6"/>
    </row>
    <row r="40" spans="1:9" ht="13.5" thickBot="1">
      <c r="A40" s="6"/>
      <c r="B40" s="6"/>
      <c r="C40" s="6"/>
      <c r="D40" s="52"/>
      <c r="E40" s="53" t="s">
        <v>25</v>
      </c>
      <c r="F40" s="54"/>
      <c r="G40" s="54"/>
      <c r="H40" s="27">
        <f>ROUND(H14+H24+H30+H38,0)</f>
        <v>356182</v>
      </c>
      <c r="I40" s="28"/>
    </row>
    <row r="45" spans="1:9" s="194" customFormat="1" ht="14.25">
      <c r="A45" s="195" t="s">
        <v>134</v>
      </c>
      <c r="B45" s="195"/>
      <c r="C45" s="195"/>
      <c r="D45" s="197"/>
      <c r="E45" s="196"/>
      <c r="F45" s="196"/>
    </row>
    <row r="46" spans="1:9" s="194" customFormat="1" ht="14.25">
      <c r="A46" s="195" t="s">
        <v>131</v>
      </c>
      <c r="B46" s="195"/>
      <c r="C46" s="195"/>
      <c r="D46" s="197"/>
      <c r="E46" s="196"/>
      <c r="F46" s="196"/>
    </row>
    <row r="50" ht="26.25" customHeight="1"/>
  </sheetData>
  <mergeCells count="10">
    <mergeCell ref="A1:H2"/>
    <mergeCell ref="B3:H3"/>
    <mergeCell ref="B6:F7"/>
    <mergeCell ref="A27:B28"/>
    <mergeCell ref="A16:C16"/>
    <mergeCell ref="A9:C9"/>
    <mergeCell ref="A10:C10"/>
    <mergeCell ref="A11:C11"/>
    <mergeCell ref="A12:C12"/>
    <mergeCell ref="A13:C13"/>
  </mergeCells>
  <printOptions horizontalCentered="1" verticalCentered="1"/>
  <pageMargins left="1.1811023622047245" right="0.39370078740157483" top="0.76197916666666665" bottom="1.1811023622047245" header="0" footer="0"/>
  <pageSetup orientation="portrait" r:id="rId1"/>
  <headerFooter alignWithMargins="0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14">
    <tabColor rgb="FFFF0000"/>
  </sheetPr>
  <dimension ref="A1:K47"/>
  <sheetViews>
    <sheetView view="pageBreakPreview" topLeftCell="A25" zoomScaleSheetLayoutView="100" workbookViewId="0">
      <selection activeCell="D17" sqref="D17"/>
    </sheetView>
  </sheetViews>
  <sheetFormatPr baseColWidth="10" defaultColWidth="9.28515625" defaultRowHeight="12.75"/>
  <cols>
    <col min="1" max="1" width="11.42578125" style="4" customWidth="1"/>
    <col min="2" max="2" width="10.42578125" style="4" customWidth="1"/>
    <col min="3" max="3" width="13" style="4" customWidth="1"/>
    <col min="4" max="4" width="11.42578125" style="107" customWidth="1"/>
    <col min="5" max="7" width="11.42578125" style="4" customWidth="1"/>
    <col min="8" max="8" width="11.7109375" style="4" customWidth="1"/>
    <col min="9" max="9" width="15.42578125" style="4" customWidth="1"/>
    <col min="10" max="257" width="11.42578125" style="4" customWidth="1"/>
    <col min="258" max="258" width="10.42578125" style="4" customWidth="1"/>
    <col min="259" max="259" width="13" style="4" customWidth="1"/>
    <col min="260" max="513" width="11.42578125" style="4" customWidth="1"/>
    <col min="514" max="514" width="10.42578125" style="4" customWidth="1"/>
    <col min="515" max="515" width="13" style="4" customWidth="1"/>
    <col min="516" max="769" width="11.42578125" style="4" customWidth="1"/>
    <col min="770" max="770" width="10.42578125" style="4" customWidth="1"/>
    <col min="771" max="771" width="13" style="4" customWidth="1"/>
    <col min="772" max="1025" width="11.42578125" style="4" customWidth="1"/>
    <col min="1026" max="1026" width="10.42578125" style="4" customWidth="1"/>
    <col min="1027" max="1027" width="13" style="4" customWidth="1"/>
    <col min="1028" max="1281" width="11.42578125" style="4" customWidth="1"/>
    <col min="1282" max="1282" width="10.42578125" style="4" customWidth="1"/>
    <col min="1283" max="1283" width="13" style="4" customWidth="1"/>
    <col min="1284" max="1537" width="11.42578125" style="4" customWidth="1"/>
    <col min="1538" max="1538" width="10.42578125" style="4" customWidth="1"/>
    <col min="1539" max="1539" width="13" style="4" customWidth="1"/>
    <col min="1540" max="1793" width="11.42578125" style="4" customWidth="1"/>
    <col min="1794" max="1794" width="10.42578125" style="4" customWidth="1"/>
    <col min="1795" max="1795" width="13" style="4" customWidth="1"/>
    <col min="1796" max="2049" width="11.42578125" style="4" customWidth="1"/>
    <col min="2050" max="2050" width="10.42578125" style="4" customWidth="1"/>
    <col min="2051" max="2051" width="13" style="4" customWidth="1"/>
    <col min="2052" max="2305" width="11.42578125" style="4" customWidth="1"/>
    <col min="2306" max="2306" width="10.42578125" style="4" customWidth="1"/>
    <col min="2307" max="2307" width="13" style="4" customWidth="1"/>
    <col min="2308" max="2561" width="11.42578125" style="4" customWidth="1"/>
    <col min="2562" max="2562" width="10.42578125" style="4" customWidth="1"/>
    <col min="2563" max="2563" width="13" style="4" customWidth="1"/>
    <col min="2564" max="2817" width="11.42578125" style="4" customWidth="1"/>
    <col min="2818" max="2818" width="10.42578125" style="4" customWidth="1"/>
    <col min="2819" max="2819" width="13" style="4" customWidth="1"/>
    <col min="2820" max="3073" width="11.42578125" style="4" customWidth="1"/>
    <col min="3074" max="3074" width="10.42578125" style="4" customWidth="1"/>
    <col min="3075" max="3075" width="13" style="4" customWidth="1"/>
    <col min="3076" max="3329" width="11.42578125" style="4" customWidth="1"/>
    <col min="3330" max="3330" width="10.42578125" style="4" customWidth="1"/>
    <col min="3331" max="3331" width="13" style="4" customWidth="1"/>
    <col min="3332" max="3585" width="11.42578125" style="4" customWidth="1"/>
    <col min="3586" max="3586" width="10.42578125" style="4" customWidth="1"/>
    <col min="3587" max="3587" width="13" style="4" customWidth="1"/>
    <col min="3588" max="3841" width="11.42578125" style="4" customWidth="1"/>
    <col min="3842" max="3842" width="10.42578125" style="4" customWidth="1"/>
    <col min="3843" max="3843" width="13" style="4" customWidth="1"/>
    <col min="3844" max="4097" width="11.42578125" style="4" customWidth="1"/>
    <col min="4098" max="4098" width="10.42578125" style="4" customWidth="1"/>
    <col min="4099" max="4099" width="13" style="4" customWidth="1"/>
    <col min="4100" max="4353" width="11.42578125" style="4" customWidth="1"/>
    <col min="4354" max="4354" width="10.42578125" style="4" customWidth="1"/>
    <col min="4355" max="4355" width="13" style="4" customWidth="1"/>
    <col min="4356" max="4609" width="11.42578125" style="4" customWidth="1"/>
    <col min="4610" max="4610" width="10.42578125" style="4" customWidth="1"/>
    <col min="4611" max="4611" width="13" style="4" customWidth="1"/>
    <col min="4612" max="4865" width="11.42578125" style="4" customWidth="1"/>
    <col min="4866" max="4866" width="10.42578125" style="4" customWidth="1"/>
    <col min="4867" max="4867" width="13" style="4" customWidth="1"/>
    <col min="4868" max="5121" width="11.42578125" style="4" customWidth="1"/>
    <col min="5122" max="5122" width="10.42578125" style="4" customWidth="1"/>
    <col min="5123" max="5123" width="13" style="4" customWidth="1"/>
    <col min="5124" max="5377" width="11.42578125" style="4" customWidth="1"/>
    <col min="5378" max="5378" width="10.42578125" style="4" customWidth="1"/>
    <col min="5379" max="5379" width="13" style="4" customWidth="1"/>
    <col min="5380" max="5633" width="11.42578125" style="4" customWidth="1"/>
    <col min="5634" max="5634" width="10.42578125" style="4" customWidth="1"/>
    <col min="5635" max="5635" width="13" style="4" customWidth="1"/>
    <col min="5636" max="5889" width="11.42578125" style="4" customWidth="1"/>
    <col min="5890" max="5890" width="10.42578125" style="4" customWidth="1"/>
    <col min="5891" max="5891" width="13" style="4" customWidth="1"/>
    <col min="5892" max="6145" width="11.42578125" style="4" customWidth="1"/>
    <col min="6146" max="6146" width="10.42578125" style="4" customWidth="1"/>
    <col min="6147" max="6147" width="13" style="4" customWidth="1"/>
    <col min="6148" max="6401" width="11.42578125" style="4" customWidth="1"/>
    <col min="6402" max="6402" width="10.42578125" style="4" customWidth="1"/>
    <col min="6403" max="6403" width="13" style="4" customWidth="1"/>
    <col min="6404" max="6657" width="11.42578125" style="4" customWidth="1"/>
    <col min="6658" max="6658" width="10.42578125" style="4" customWidth="1"/>
    <col min="6659" max="6659" width="13" style="4" customWidth="1"/>
    <col min="6660" max="6913" width="11.42578125" style="4" customWidth="1"/>
    <col min="6914" max="6914" width="10.42578125" style="4" customWidth="1"/>
    <col min="6915" max="6915" width="13" style="4" customWidth="1"/>
    <col min="6916" max="7169" width="11.42578125" style="4" customWidth="1"/>
    <col min="7170" max="7170" width="10.42578125" style="4" customWidth="1"/>
    <col min="7171" max="7171" width="13" style="4" customWidth="1"/>
    <col min="7172" max="7425" width="11.42578125" style="4" customWidth="1"/>
    <col min="7426" max="7426" width="10.42578125" style="4" customWidth="1"/>
    <col min="7427" max="7427" width="13" style="4" customWidth="1"/>
    <col min="7428" max="7681" width="11.42578125" style="4" customWidth="1"/>
    <col min="7682" max="7682" width="10.42578125" style="4" customWidth="1"/>
    <col min="7683" max="7683" width="13" style="4" customWidth="1"/>
    <col min="7684" max="7937" width="11.42578125" style="4" customWidth="1"/>
    <col min="7938" max="7938" width="10.42578125" style="4" customWidth="1"/>
    <col min="7939" max="7939" width="13" style="4" customWidth="1"/>
    <col min="7940" max="8193" width="11.42578125" style="4" customWidth="1"/>
    <col min="8194" max="8194" width="10.42578125" style="4" customWidth="1"/>
    <col min="8195" max="8195" width="13" style="4" customWidth="1"/>
    <col min="8196" max="8449" width="11.42578125" style="4" customWidth="1"/>
    <col min="8450" max="8450" width="10.42578125" style="4" customWidth="1"/>
    <col min="8451" max="8451" width="13" style="4" customWidth="1"/>
    <col min="8452" max="8705" width="11.42578125" style="4" customWidth="1"/>
    <col min="8706" max="8706" width="10.42578125" style="4" customWidth="1"/>
    <col min="8707" max="8707" width="13" style="4" customWidth="1"/>
    <col min="8708" max="8961" width="11.42578125" style="4" customWidth="1"/>
    <col min="8962" max="8962" width="10.42578125" style="4" customWidth="1"/>
    <col min="8963" max="8963" width="13" style="4" customWidth="1"/>
    <col min="8964" max="9217" width="11.42578125" style="4" customWidth="1"/>
    <col min="9218" max="9218" width="10.42578125" style="4" customWidth="1"/>
    <col min="9219" max="9219" width="13" style="4" customWidth="1"/>
    <col min="9220" max="9473" width="11.42578125" style="4" customWidth="1"/>
    <col min="9474" max="9474" width="10.42578125" style="4" customWidth="1"/>
    <col min="9475" max="9475" width="13" style="4" customWidth="1"/>
    <col min="9476" max="9729" width="11.42578125" style="4" customWidth="1"/>
    <col min="9730" max="9730" width="10.42578125" style="4" customWidth="1"/>
    <col min="9731" max="9731" width="13" style="4" customWidth="1"/>
    <col min="9732" max="9985" width="11.42578125" style="4" customWidth="1"/>
    <col min="9986" max="9986" width="10.42578125" style="4" customWidth="1"/>
    <col min="9987" max="9987" width="13" style="4" customWidth="1"/>
    <col min="9988" max="10241" width="11.42578125" style="4" customWidth="1"/>
    <col min="10242" max="10242" width="10.42578125" style="4" customWidth="1"/>
    <col min="10243" max="10243" width="13" style="4" customWidth="1"/>
    <col min="10244" max="10497" width="11.42578125" style="4" customWidth="1"/>
    <col min="10498" max="10498" width="10.42578125" style="4" customWidth="1"/>
    <col min="10499" max="10499" width="13" style="4" customWidth="1"/>
    <col min="10500" max="10753" width="11.42578125" style="4" customWidth="1"/>
    <col min="10754" max="10754" width="10.42578125" style="4" customWidth="1"/>
    <col min="10755" max="10755" width="13" style="4" customWidth="1"/>
    <col min="10756" max="11009" width="11.42578125" style="4" customWidth="1"/>
    <col min="11010" max="11010" width="10.42578125" style="4" customWidth="1"/>
    <col min="11011" max="11011" width="13" style="4" customWidth="1"/>
    <col min="11012" max="11265" width="11.42578125" style="4" customWidth="1"/>
    <col min="11266" max="11266" width="10.42578125" style="4" customWidth="1"/>
    <col min="11267" max="11267" width="13" style="4" customWidth="1"/>
    <col min="11268" max="11521" width="11.42578125" style="4" customWidth="1"/>
    <col min="11522" max="11522" width="10.42578125" style="4" customWidth="1"/>
    <col min="11523" max="11523" width="13" style="4" customWidth="1"/>
    <col min="11524" max="11777" width="11.42578125" style="4" customWidth="1"/>
    <col min="11778" max="11778" width="10.42578125" style="4" customWidth="1"/>
    <col min="11779" max="11779" width="13" style="4" customWidth="1"/>
    <col min="11780" max="12033" width="11.42578125" style="4" customWidth="1"/>
    <col min="12034" max="12034" width="10.42578125" style="4" customWidth="1"/>
    <col min="12035" max="12035" width="13" style="4" customWidth="1"/>
    <col min="12036" max="12289" width="11.42578125" style="4" customWidth="1"/>
    <col min="12290" max="12290" width="10.42578125" style="4" customWidth="1"/>
    <col min="12291" max="12291" width="13" style="4" customWidth="1"/>
    <col min="12292" max="12545" width="11.42578125" style="4" customWidth="1"/>
    <col min="12546" max="12546" width="10.42578125" style="4" customWidth="1"/>
    <col min="12547" max="12547" width="13" style="4" customWidth="1"/>
    <col min="12548" max="12801" width="11.42578125" style="4" customWidth="1"/>
    <col min="12802" max="12802" width="10.42578125" style="4" customWidth="1"/>
    <col min="12803" max="12803" width="13" style="4" customWidth="1"/>
    <col min="12804" max="13057" width="11.42578125" style="4" customWidth="1"/>
    <col min="13058" max="13058" width="10.42578125" style="4" customWidth="1"/>
    <col min="13059" max="13059" width="13" style="4" customWidth="1"/>
    <col min="13060" max="13313" width="11.42578125" style="4" customWidth="1"/>
    <col min="13314" max="13314" width="10.42578125" style="4" customWidth="1"/>
    <col min="13315" max="13315" width="13" style="4" customWidth="1"/>
    <col min="13316" max="13569" width="11.42578125" style="4" customWidth="1"/>
    <col min="13570" max="13570" width="10.42578125" style="4" customWidth="1"/>
    <col min="13571" max="13571" width="13" style="4" customWidth="1"/>
    <col min="13572" max="13825" width="11.42578125" style="4" customWidth="1"/>
    <col min="13826" max="13826" width="10.42578125" style="4" customWidth="1"/>
    <col min="13827" max="13827" width="13" style="4" customWidth="1"/>
    <col min="13828" max="14081" width="11.42578125" style="4" customWidth="1"/>
    <col min="14082" max="14082" width="10.42578125" style="4" customWidth="1"/>
    <col min="14083" max="14083" width="13" style="4" customWidth="1"/>
    <col min="14084" max="14337" width="11.42578125" style="4" customWidth="1"/>
    <col min="14338" max="14338" width="10.42578125" style="4" customWidth="1"/>
    <col min="14339" max="14339" width="13" style="4" customWidth="1"/>
    <col min="14340" max="14593" width="11.42578125" style="4" customWidth="1"/>
    <col min="14594" max="14594" width="10.42578125" style="4" customWidth="1"/>
    <col min="14595" max="14595" width="13" style="4" customWidth="1"/>
    <col min="14596" max="14849" width="11.42578125" style="4" customWidth="1"/>
    <col min="14850" max="14850" width="10.42578125" style="4" customWidth="1"/>
    <col min="14851" max="14851" width="13" style="4" customWidth="1"/>
    <col min="14852" max="15105" width="11.42578125" style="4" customWidth="1"/>
    <col min="15106" max="15106" width="10.42578125" style="4" customWidth="1"/>
    <col min="15107" max="15107" width="13" style="4" customWidth="1"/>
    <col min="15108" max="15361" width="11.42578125" style="4" customWidth="1"/>
    <col min="15362" max="15362" width="10.42578125" style="4" customWidth="1"/>
    <col min="15363" max="15363" width="13" style="4" customWidth="1"/>
    <col min="15364" max="15617" width="11.42578125" style="4" customWidth="1"/>
    <col min="15618" max="15618" width="10.42578125" style="4" customWidth="1"/>
    <col min="15619" max="15619" width="13" style="4" customWidth="1"/>
    <col min="15620" max="15873" width="11.42578125" style="4" customWidth="1"/>
    <col min="15874" max="15874" width="10.42578125" style="4" customWidth="1"/>
    <col min="15875" max="15875" width="13" style="4" customWidth="1"/>
    <col min="15876" max="16129" width="11.42578125" style="4" customWidth="1"/>
    <col min="16130" max="16130" width="10.42578125" style="4" customWidth="1"/>
    <col min="16131" max="16131" width="13" style="4" customWidth="1"/>
    <col min="16132" max="16384" width="11.42578125" style="4" customWidth="1"/>
  </cols>
  <sheetData>
    <row r="1" spans="1:9" s="56" customFormat="1" ht="15" customHeight="1">
      <c r="A1" s="891" t="s">
        <v>2</v>
      </c>
      <c r="B1" s="892"/>
      <c r="C1" s="892"/>
      <c r="D1" s="892"/>
      <c r="E1" s="892"/>
      <c r="F1" s="892"/>
      <c r="G1" s="892"/>
      <c r="H1" s="893"/>
    </row>
    <row r="2" spans="1:9" s="56" customFormat="1" ht="5.25" customHeight="1" thickBot="1">
      <c r="A2" s="894"/>
      <c r="B2" s="895"/>
      <c r="C2" s="895"/>
      <c r="D2" s="895"/>
      <c r="E2" s="895"/>
      <c r="F2" s="895"/>
      <c r="G2" s="895"/>
      <c r="H2" s="896"/>
    </row>
    <row r="3" spans="1:9" s="56" customFormat="1" ht="56.25" customHeight="1" thickBot="1">
      <c r="A3" s="322"/>
      <c r="B3" s="907" t="s">
        <v>393</v>
      </c>
      <c r="C3" s="908"/>
      <c r="D3" s="908"/>
      <c r="E3" s="908"/>
      <c r="F3" s="908"/>
      <c r="G3" s="908"/>
      <c r="H3" s="909"/>
    </row>
    <row r="4" spans="1:9">
      <c r="A4" s="5"/>
      <c r="B4" s="6"/>
      <c r="C4" s="6"/>
      <c r="D4" s="52"/>
      <c r="E4" s="6"/>
      <c r="F4" s="6"/>
      <c r="G4" s="6"/>
      <c r="H4" s="6"/>
    </row>
    <row r="5" spans="1:9">
      <c r="A5" s="5"/>
      <c r="B5" s="7"/>
      <c r="C5" s="6"/>
      <c r="E5" s="7"/>
      <c r="G5" s="8"/>
      <c r="H5" s="9"/>
    </row>
    <row r="6" spans="1:9">
      <c r="A6" s="57" t="s">
        <v>301</v>
      </c>
      <c r="B6" s="928" t="s">
        <v>361</v>
      </c>
      <c r="C6" s="928"/>
      <c r="D6" s="928"/>
      <c r="E6" s="928"/>
      <c r="F6" s="928"/>
      <c r="G6" s="58" t="s">
        <v>30</v>
      </c>
      <c r="H6" s="61" t="s">
        <v>1</v>
      </c>
    </row>
    <row r="7" spans="1:9">
      <c r="A7" s="7"/>
      <c r="B7" s="7"/>
      <c r="C7" s="6"/>
      <c r="D7" s="26"/>
      <c r="E7" s="7"/>
      <c r="G7" s="7"/>
      <c r="H7" s="6"/>
    </row>
    <row r="8" spans="1:9" ht="13.5" thickBot="1">
      <c r="A8" s="10" t="s">
        <v>3</v>
      </c>
      <c r="B8" s="10"/>
      <c r="C8" s="6"/>
      <c r="D8" s="52"/>
      <c r="E8" s="6"/>
      <c r="F8" s="6"/>
      <c r="G8" s="6"/>
      <c r="H8" s="6"/>
    </row>
    <row r="9" spans="1:9">
      <c r="A9" s="912" t="s">
        <v>4</v>
      </c>
      <c r="B9" s="913"/>
      <c r="C9" s="914"/>
      <c r="D9" s="11" t="s">
        <v>5</v>
      </c>
      <c r="E9" s="12" t="s">
        <v>6</v>
      </c>
      <c r="F9" s="11" t="s">
        <v>7</v>
      </c>
      <c r="G9" s="13" t="s">
        <v>8</v>
      </c>
      <c r="H9" s="14"/>
    </row>
    <row r="10" spans="1:9">
      <c r="A10" s="918" t="str">
        <f>+EQUIPO!B10</f>
        <v>CIZALLA</v>
      </c>
      <c r="B10" s="919"/>
      <c r="C10" s="920"/>
      <c r="D10" s="15"/>
      <c r="E10" s="108">
        <v>1250</v>
      </c>
      <c r="F10" s="16">
        <v>20</v>
      </c>
      <c r="G10" s="17">
        <f>E10/F10</f>
        <v>62.5</v>
      </c>
      <c r="H10" s="18"/>
    </row>
    <row r="11" spans="1:9">
      <c r="A11" s="918" t="s">
        <v>307</v>
      </c>
      <c r="B11" s="919"/>
      <c r="C11" s="920"/>
      <c r="D11" s="15"/>
      <c r="E11" s="16"/>
      <c r="F11" s="16"/>
      <c r="G11" s="17">
        <f>H39*0.1</f>
        <v>89.24760000000002</v>
      </c>
      <c r="H11" s="18"/>
    </row>
    <row r="12" spans="1:9">
      <c r="A12" s="918"/>
      <c r="B12" s="919"/>
      <c r="C12" s="920"/>
      <c r="D12" s="15"/>
      <c r="E12" s="16"/>
      <c r="F12" s="16"/>
      <c r="G12" s="50"/>
      <c r="H12" s="181"/>
    </row>
    <row r="13" spans="1:9" ht="13.5" thickBot="1">
      <c r="A13" s="921"/>
      <c r="B13" s="922"/>
      <c r="C13" s="923"/>
      <c r="D13" s="21"/>
      <c r="E13" s="22"/>
      <c r="F13" s="23"/>
      <c r="G13" s="24"/>
      <c r="H13" s="25"/>
    </row>
    <row r="14" spans="1:9" ht="13.5" thickBot="1">
      <c r="A14" s="6"/>
      <c r="B14" s="6"/>
      <c r="C14" s="6"/>
      <c r="D14" s="52"/>
      <c r="E14" s="6"/>
      <c r="F14" s="6"/>
      <c r="G14" s="26" t="s">
        <v>9</v>
      </c>
      <c r="H14" s="27">
        <f>SUM(G10:G13)</f>
        <v>151.74760000000003</v>
      </c>
      <c r="I14" s="28"/>
    </row>
    <row r="15" spans="1:9" ht="13.5" thickBot="1">
      <c r="A15" s="10" t="s">
        <v>10</v>
      </c>
      <c r="B15" s="10"/>
      <c r="C15" s="6"/>
      <c r="D15" s="52"/>
      <c r="E15" s="6"/>
      <c r="F15" s="6"/>
      <c r="G15" s="6"/>
      <c r="H15" s="6"/>
    </row>
    <row r="16" spans="1:9">
      <c r="A16" s="912" t="s">
        <v>4</v>
      </c>
      <c r="B16" s="913"/>
      <c r="C16" s="914"/>
      <c r="D16" s="11" t="s">
        <v>11</v>
      </c>
      <c r="E16" s="11" t="s">
        <v>12</v>
      </c>
      <c r="F16" s="11" t="s">
        <v>13</v>
      </c>
      <c r="G16" s="13" t="s">
        <v>8</v>
      </c>
      <c r="H16" s="14"/>
    </row>
    <row r="17" spans="1:11" ht="18" customHeight="1">
      <c r="A17" s="915" t="s">
        <v>408</v>
      </c>
      <c r="B17" s="916"/>
      <c r="C17" s="917"/>
      <c r="D17" s="118" t="str">
        <f>+'Despiece de Insumos'!C15</f>
        <v>Kg</v>
      </c>
      <c r="E17" s="133">
        <f>'Despiece de Insumos'!D18</f>
        <v>2490</v>
      </c>
      <c r="F17" s="16">
        <v>1.05</v>
      </c>
      <c r="G17" s="17">
        <f>+E17*F17</f>
        <v>2614.5</v>
      </c>
      <c r="H17" s="18"/>
    </row>
    <row r="18" spans="1:11">
      <c r="A18" s="29" t="str">
        <f>+'Despiece de Insumos'!B14</f>
        <v>ALAMBRE NEGRO</v>
      </c>
      <c r="B18" s="30"/>
      <c r="C18" s="30"/>
      <c r="D18" s="118" t="str">
        <f>+'Despiece de Insumos'!C14</f>
        <v>Kg</v>
      </c>
      <c r="E18" s="133">
        <f>+'Despiece de Insumos'!D14</f>
        <v>3400</v>
      </c>
      <c r="F18" s="34">
        <v>0.03</v>
      </c>
      <c r="G18" s="17">
        <f>E18*F18</f>
        <v>102</v>
      </c>
      <c r="H18" s="18"/>
    </row>
    <row r="19" spans="1:11">
      <c r="A19" s="29"/>
      <c r="B19" s="30"/>
      <c r="C19" s="30"/>
      <c r="D19" s="118"/>
      <c r="E19" s="133"/>
      <c r="F19" s="16"/>
      <c r="G19" s="17"/>
      <c r="H19" s="18"/>
    </row>
    <row r="20" spans="1:11">
      <c r="A20" s="29"/>
      <c r="B20" s="30"/>
      <c r="C20" s="30"/>
      <c r="D20" s="118"/>
      <c r="E20" s="133"/>
      <c r="F20" s="123"/>
      <c r="G20" s="17"/>
      <c r="H20" s="18"/>
    </row>
    <row r="21" spans="1:11">
      <c r="A21" s="35"/>
      <c r="B21" s="30"/>
      <c r="C21" s="31"/>
      <c r="D21" s="19"/>
      <c r="E21" s="20"/>
      <c r="F21" s="36"/>
      <c r="G21" s="17"/>
      <c r="H21" s="18"/>
    </row>
    <row r="22" spans="1:11">
      <c r="A22" s="124"/>
      <c r="B22" s="125"/>
      <c r="C22" s="126"/>
      <c r="D22" s="19"/>
      <c r="E22" s="20"/>
      <c r="F22" s="36"/>
      <c r="G22" s="127"/>
      <c r="H22" s="18"/>
    </row>
    <row r="23" spans="1:11">
      <c r="A23" s="124"/>
      <c r="B23" s="125"/>
      <c r="C23" s="126"/>
      <c r="D23" s="19"/>
      <c r="E23" s="20"/>
      <c r="F23" s="36"/>
      <c r="G23" s="127"/>
      <c r="H23" s="18"/>
    </row>
    <row r="24" spans="1:11" ht="13.5" thickBot="1">
      <c r="A24" s="37"/>
      <c r="B24" s="38"/>
      <c r="C24" s="39"/>
      <c r="D24" s="21"/>
      <c r="E24" s="22"/>
      <c r="F24" s="23"/>
      <c r="G24" s="24"/>
      <c r="H24" s="25"/>
    </row>
    <row r="25" spans="1:11" ht="13.5" thickBot="1">
      <c r="A25" s="6"/>
      <c r="B25" s="6"/>
      <c r="C25" s="6"/>
      <c r="D25" s="52"/>
      <c r="E25" s="6"/>
      <c r="F25" s="6"/>
      <c r="G25" s="26" t="s">
        <v>9</v>
      </c>
      <c r="H25" s="27">
        <f>SUM(G17:G24)</f>
        <v>2716.5</v>
      </c>
      <c r="I25" s="28"/>
    </row>
    <row r="26" spans="1:11" ht="13.5" thickBot="1">
      <c r="A26" s="40" t="s">
        <v>14</v>
      </c>
      <c r="B26" s="40"/>
      <c r="C26" s="41"/>
      <c r="D26" s="52"/>
      <c r="E26" s="6"/>
      <c r="F26" s="6"/>
      <c r="G26" s="6"/>
      <c r="H26" s="6"/>
      <c r="K26" s="42"/>
    </row>
    <row r="27" spans="1:11">
      <c r="A27" s="43" t="s">
        <v>15</v>
      </c>
      <c r="B27" s="44"/>
      <c r="C27" s="45" t="s">
        <v>16</v>
      </c>
      <c r="D27" s="11" t="s">
        <v>17</v>
      </c>
      <c r="E27" s="11" t="s">
        <v>96</v>
      </c>
      <c r="F27" s="11" t="s">
        <v>19</v>
      </c>
      <c r="G27" s="46" t="s">
        <v>8</v>
      </c>
      <c r="H27" s="14"/>
    </row>
    <row r="28" spans="1:11">
      <c r="A28" s="35"/>
      <c r="B28" s="30"/>
      <c r="C28" s="109">
        <v>1.05</v>
      </c>
      <c r="D28" s="110">
        <v>6</v>
      </c>
      <c r="E28" s="171">
        <f>C28*D28</f>
        <v>6.3000000000000007</v>
      </c>
      <c r="F28" s="112">
        <v>7</v>
      </c>
      <c r="G28" s="47">
        <f>E28*F28</f>
        <v>44.100000000000009</v>
      </c>
      <c r="H28" s="18"/>
    </row>
    <row r="29" spans="1:11">
      <c r="A29" s="35"/>
      <c r="B29" s="30"/>
      <c r="C29" s="113"/>
      <c r="D29" s="108"/>
      <c r="E29" s="111"/>
      <c r="F29" s="16"/>
      <c r="G29" s="47"/>
      <c r="H29" s="18"/>
    </row>
    <row r="30" spans="1:11" ht="13.5" thickBot="1">
      <c r="A30" s="37"/>
      <c r="B30" s="39"/>
      <c r="C30" s="21"/>
      <c r="D30" s="21"/>
      <c r="E30" s="23"/>
      <c r="F30" s="24"/>
      <c r="G30" s="21"/>
      <c r="H30" s="18"/>
    </row>
    <row r="31" spans="1:11" ht="13.5" thickBot="1">
      <c r="A31" s="6"/>
      <c r="B31" s="6"/>
      <c r="C31" s="6"/>
      <c r="D31" s="52"/>
      <c r="E31" s="6"/>
      <c r="F31" s="6"/>
      <c r="G31" s="26" t="s">
        <v>9</v>
      </c>
      <c r="H31" s="27">
        <f>SUM(G28:G30)</f>
        <v>44.100000000000009</v>
      </c>
      <c r="I31" s="28"/>
    </row>
    <row r="32" spans="1:11" ht="13.5" thickBot="1">
      <c r="A32" s="40" t="s">
        <v>20</v>
      </c>
      <c r="B32" s="40"/>
      <c r="C32" s="6"/>
      <c r="D32" s="52"/>
      <c r="E32" s="6"/>
      <c r="F32" s="6"/>
      <c r="G32" s="6"/>
      <c r="H32" s="6"/>
    </row>
    <row r="33" spans="1:9">
      <c r="A33" s="43" t="s">
        <v>21</v>
      </c>
      <c r="B33" s="44"/>
      <c r="C33" s="48" t="s">
        <v>22</v>
      </c>
      <c r="D33" s="11" t="s">
        <v>23</v>
      </c>
      <c r="E33" s="12" t="s">
        <v>24</v>
      </c>
      <c r="F33" s="48" t="s">
        <v>7</v>
      </c>
      <c r="G33" s="13" t="s">
        <v>8</v>
      </c>
      <c r="H33" s="14"/>
    </row>
    <row r="34" spans="1:9">
      <c r="A34" s="84" t="s">
        <v>38</v>
      </c>
      <c r="B34" s="30">
        <v>1</v>
      </c>
      <c r="C34" s="49">
        <v>42499</v>
      </c>
      <c r="D34" s="172">
        <v>1.8</v>
      </c>
      <c r="E34" s="32">
        <f t="shared" ref="E34" si="0">+D34*C34</f>
        <v>76498.2</v>
      </c>
      <c r="F34" s="32">
        <v>150</v>
      </c>
      <c r="G34" s="50">
        <f t="shared" ref="G34:G35" si="1">+E34/F34</f>
        <v>509.988</v>
      </c>
      <c r="H34" s="18"/>
      <c r="I34" s="28"/>
    </row>
    <row r="35" spans="1:9">
      <c r="A35" s="84" t="s">
        <v>39</v>
      </c>
      <c r="B35" s="30">
        <v>1</v>
      </c>
      <c r="C35" s="49">
        <v>31874</v>
      </c>
      <c r="D35" s="172">
        <v>1.8</v>
      </c>
      <c r="E35" s="32">
        <f>+D35*C35*B35</f>
        <v>57373.200000000004</v>
      </c>
      <c r="F35" s="32">
        <v>150</v>
      </c>
      <c r="G35" s="50">
        <f t="shared" si="1"/>
        <v>382.48800000000006</v>
      </c>
      <c r="H35" s="18"/>
      <c r="I35" s="28"/>
    </row>
    <row r="36" spans="1:9">
      <c r="A36" s="35"/>
      <c r="B36" s="30"/>
      <c r="C36" s="32"/>
      <c r="D36" s="15"/>
      <c r="E36" s="32"/>
      <c r="F36" s="16"/>
      <c r="G36" s="17"/>
      <c r="H36" s="18"/>
    </row>
    <row r="37" spans="1:9">
      <c r="A37" s="35"/>
      <c r="B37" s="30"/>
      <c r="C37" s="32"/>
      <c r="D37" s="15"/>
      <c r="E37" s="32"/>
      <c r="F37" s="16"/>
      <c r="G37" s="17"/>
      <c r="H37" s="18"/>
      <c r="I37" s="28"/>
    </row>
    <row r="38" spans="1:9" ht="13.5" thickBot="1">
      <c r="A38" s="37"/>
      <c r="B38" s="38"/>
      <c r="C38" s="22"/>
      <c r="D38" s="114"/>
      <c r="E38" s="51"/>
      <c r="F38" s="51"/>
      <c r="G38" s="41">
        <v>0</v>
      </c>
      <c r="H38" s="25"/>
    </row>
    <row r="39" spans="1:9" ht="13.5" thickBot="1">
      <c r="A39" s="6"/>
      <c r="B39" s="6"/>
      <c r="C39" s="6"/>
      <c r="D39" s="52"/>
      <c r="E39" s="6"/>
      <c r="F39" s="6"/>
      <c r="G39" s="26" t="s">
        <v>9</v>
      </c>
      <c r="H39" s="27">
        <f>G34+G35</f>
        <v>892.47600000000011</v>
      </c>
    </row>
    <row r="40" spans="1:9" ht="13.5" thickBot="1">
      <c r="A40" s="6"/>
      <c r="B40" s="6"/>
      <c r="C40" s="6"/>
      <c r="D40" s="52"/>
      <c r="E40" s="6"/>
      <c r="F40" s="6"/>
      <c r="G40" s="52"/>
      <c r="H40" s="180"/>
      <c r="I40" s="151"/>
    </row>
    <row r="41" spans="1:9" ht="13.5" thickBot="1">
      <c r="A41" s="6"/>
      <c r="B41" s="6"/>
      <c r="C41" s="6"/>
      <c r="D41" s="52"/>
      <c r="E41" s="53" t="s">
        <v>25</v>
      </c>
      <c r="F41" s="54"/>
      <c r="G41" s="54"/>
      <c r="H41" s="27">
        <f>ROUND(H14+H25+H31+H39,0)</f>
        <v>3805</v>
      </c>
      <c r="I41" s="28"/>
    </row>
    <row r="46" spans="1:9" s="194" customFormat="1" ht="14.25">
      <c r="A46" s="195" t="s">
        <v>134</v>
      </c>
      <c r="B46" s="195"/>
      <c r="C46" s="195"/>
      <c r="D46" s="197"/>
      <c r="E46" s="196"/>
      <c r="F46" s="196"/>
    </row>
    <row r="47" spans="1:9" s="194" customFormat="1" ht="14.25">
      <c r="A47" s="195" t="s">
        <v>131</v>
      </c>
      <c r="B47" s="195"/>
      <c r="C47" s="195"/>
      <c r="D47" s="197"/>
      <c r="E47" s="196"/>
      <c r="F47" s="196"/>
    </row>
  </sheetData>
  <mergeCells count="10">
    <mergeCell ref="A1:H2"/>
    <mergeCell ref="B3:H3"/>
    <mergeCell ref="A17:C17"/>
    <mergeCell ref="A16:C16"/>
    <mergeCell ref="A9:C9"/>
    <mergeCell ref="A10:C10"/>
    <mergeCell ref="A11:C11"/>
    <mergeCell ref="A12:C12"/>
    <mergeCell ref="A13:C13"/>
    <mergeCell ref="B6:F6"/>
  </mergeCells>
  <printOptions horizontalCentered="1" verticalCentered="1"/>
  <pageMargins left="1.1811023622047245" right="0.39370078740157483" top="0.75208333333333333" bottom="1.0093749999999999" header="0" footer="0"/>
  <pageSetup orientation="portrait" r:id="rId1"/>
  <headerFooter alignWithMargins="0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FF0000"/>
  </sheetPr>
  <dimension ref="A1:M46"/>
  <sheetViews>
    <sheetView view="pageBreakPreview" topLeftCell="B21" zoomScaleNormal="118" zoomScaleSheetLayoutView="100" zoomScalePageLayoutView="118" workbookViewId="0">
      <selection activeCell="D17" sqref="D17"/>
    </sheetView>
  </sheetViews>
  <sheetFormatPr baseColWidth="10" defaultRowHeight="12.75"/>
  <cols>
    <col min="1" max="1" width="11.42578125" style="4" customWidth="1"/>
    <col min="2" max="2" width="10.42578125" style="4" customWidth="1"/>
    <col min="3" max="3" width="19" style="4" customWidth="1"/>
    <col min="4" max="4" width="11.42578125" style="107" customWidth="1"/>
    <col min="5" max="8" width="11.42578125" style="4" customWidth="1"/>
    <col min="9" max="9" width="15.42578125" style="4" customWidth="1"/>
    <col min="10" max="254" width="11.42578125" style="4" customWidth="1"/>
    <col min="255" max="255" width="10.42578125" style="4" customWidth="1"/>
    <col min="256" max="256" width="13" style="4" customWidth="1"/>
    <col min="257" max="510" width="11.42578125" style="4" customWidth="1"/>
    <col min="511" max="511" width="10.42578125" style="4" customWidth="1"/>
    <col min="512" max="512" width="13" style="4" customWidth="1"/>
    <col min="513" max="766" width="11.42578125" style="4" customWidth="1"/>
    <col min="767" max="767" width="10.42578125" style="4" customWidth="1"/>
    <col min="768" max="768" width="13" style="4" customWidth="1"/>
    <col min="769" max="1022" width="11.42578125" style="4" customWidth="1"/>
    <col min="1023" max="1023" width="10.42578125" style="4" customWidth="1"/>
    <col min="1024" max="1024" width="13" style="4" customWidth="1"/>
    <col min="1025" max="1278" width="11.42578125" style="4" customWidth="1"/>
    <col min="1279" max="1279" width="10.42578125" style="4" customWidth="1"/>
    <col min="1280" max="1280" width="13" style="4" customWidth="1"/>
    <col min="1281" max="1534" width="11.42578125" style="4" customWidth="1"/>
    <col min="1535" max="1535" width="10.42578125" style="4" customWidth="1"/>
    <col min="1536" max="1536" width="13" style="4" customWidth="1"/>
    <col min="1537" max="1790" width="11.42578125" style="4" customWidth="1"/>
    <col min="1791" max="1791" width="10.42578125" style="4" customWidth="1"/>
    <col min="1792" max="1792" width="13" style="4" customWidth="1"/>
    <col min="1793" max="2046" width="11.42578125" style="4" customWidth="1"/>
    <col min="2047" max="2047" width="10.42578125" style="4" customWidth="1"/>
    <col min="2048" max="2048" width="13" style="4" customWidth="1"/>
    <col min="2049" max="2302" width="11.42578125" style="4" customWidth="1"/>
    <col min="2303" max="2303" width="10.42578125" style="4" customWidth="1"/>
    <col min="2304" max="2304" width="13" style="4" customWidth="1"/>
    <col min="2305" max="2558" width="11.42578125" style="4" customWidth="1"/>
    <col min="2559" max="2559" width="10.42578125" style="4" customWidth="1"/>
    <col min="2560" max="2560" width="13" style="4" customWidth="1"/>
    <col min="2561" max="2814" width="11.42578125" style="4" customWidth="1"/>
    <col min="2815" max="2815" width="10.42578125" style="4" customWidth="1"/>
    <col min="2816" max="2816" width="13" style="4" customWidth="1"/>
    <col min="2817" max="3070" width="11.42578125" style="4" customWidth="1"/>
    <col min="3071" max="3071" width="10.42578125" style="4" customWidth="1"/>
    <col min="3072" max="3072" width="13" style="4" customWidth="1"/>
    <col min="3073" max="3326" width="11.42578125" style="4" customWidth="1"/>
    <col min="3327" max="3327" width="10.42578125" style="4" customWidth="1"/>
    <col min="3328" max="3328" width="13" style="4" customWidth="1"/>
    <col min="3329" max="3582" width="11.42578125" style="4" customWidth="1"/>
    <col min="3583" max="3583" width="10.42578125" style="4" customWidth="1"/>
    <col min="3584" max="3584" width="13" style="4" customWidth="1"/>
    <col min="3585" max="3838" width="11.42578125" style="4" customWidth="1"/>
    <col min="3839" max="3839" width="10.42578125" style="4" customWidth="1"/>
    <col min="3840" max="3840" width="13" style="4" customWidth="1"/>
    <col min="3841" max="4094" width="11.42578125" style="4" customWidth="1"/>
    <col min="4095" max="4095" width="10.42578125" style="4" customWidth="1"/>
    <col min="4096" max="4096" width="13" style="4" customWidth="1"/>
    <col min="4097" max="4350" width="11.42578125" style="4" customWidth="1"/>
    <col min="4351" max="4351" width="10.42578125" style="4" customWidth="1"/>
    <col min="4352" max="4352" width="13" style="4" customWidth="1"/>
    <col min="4353" max="4606" width="11.42578125" style="4" customWidth="1"/>
    <col min="4607" max="4607" width="10.42578125" style="4" customWidth="1"/>
    <col min="4608" max="4608" width="13" style="4" customWidth="1"/>
    <col min="4609" max="4862" width="11.42578125" style="4" customWidth="1"/>
    <col min="4863" max="4863" width="10.42578125" style="4" customWidth="1"/>
    <col min="4864" max="4864" width="13" style="4" customWidth="1"/>
    <col min="4865" max="5118" width="11.42578125" style="4" customWidth="1"/>
    <col min="5119" max="5119" width="10.42578125" style="4" customWidth="1"/>
    <col min="5120" max="5120" width="13" style="4" customWidth="1"/>
    <col min="5121" max="5374" width="11.42578125" style="4" customWidth="1"/>
    <col min="5375" max="5375" width="10.42578125" style="4" customWidth="1"/>
    <col min="5376" max="5376" width="13" style="4" customWidth="1"/>
    <col min="5377" max="5630" width="11.42578125" style="4" customWidth="1"/>
    <col min="5631" max="5631" width="10.42578125" style="4" customWidth="1"/>
    <col min="5632" max="5632" width="13" style="4" customWidth="1"/>
    <col min="5633" max="5886" width="11.42578125" style="4" customWidth="1"/>
    <col min="5887" max="5887" width="10.42578125" style="4" customWidth="1"/>
    <col min="5888" max="5888" width="13" style="4" customWidth="1"/>
    <col min="5889" max="6142" width="11.42578125" style="4" customWidth="1"/>
    <col min="6143" max="6143" width="10.42578125" style="4" customWidth="1"/>
    <col min="6144" max="6144" width="13" style="4" customWidth="1"/>
    <col min="6145" max="6398" width="11.42578125" style="4" customWidth="1"/>
    <col min="6399" max="6399" width="10.42578125" style="4" customWidth="1"/>
    <col min="6400" max="6400" width="13" style="4" customWidth="1"/>
    <col min="6401" max="6654" width="11.42578125" style="4" customWidth="1"/>
    <col min="6655" max="6655" width="10.42578125" style="4" customWidth="1"/>
    <col min="6656" max="6656" width="13" style="4" customWidth="1"/>
    <col min="6657" max="6910" width="11.42578125" style="4" customWidth="1"/>
    <col min="6911" max="6911" width="10.42578125" style="4" customWidth="1"/>
    <col min="6912" max="6912" width="13" style="4" customWidth="1"/>
    <col min="6913" max="7166" width="11.42578125" style="4" customWidth="1"/>
    <col min="7167" max="7167" width="10.42578125" style="4" customWidth="1"/>
    <col min="7168" max="7168" width="13" style="4" customWidth="1"/>
    <col min="7169" max="7422" width="11.42578125" style="4" customWidth="1"/>
    <col min="7423" max="7423" width="10.42578125" style="4" customWidth="1"/>
    <col min="7424" max="7424" width="13" style="4" customWidth="1"/>
    <col min="7425" max="7678" width="11.42578125" style="4" customWidth="1"/>
    <col min="7679" max="7679" width="10.42578125" style="4" customWidth="1"/>
    <col min="7680" max="7680" width="13" style="4" customWidth="1"/>
    <col min="7681" max="7934" width="11.42578125" style="4" customWidth="1"/>
    <col min="7935" max="7935" width="10.42578125" style="4" customWidth="1"/>
    <col min="7936" max="7936" width="13" style="4" customWidth="1"/>
    <col min="7937" max="8190" width="11.42578125" style="4" customWidth="1"/>
    <col min="8191" max="8191" width="10.42578125" style="4" customWidth="1"/>
    <col min="8192" max="8192" width="13" style="4" customWidth="1"/>
    <col min="8193" max="8446" width="11.42578125" style="4" customWidth="1"/>
    <col min="8447" max="8447" width="10.42578125" style="4" customWidth="1"/>
    <col min="8448" max="8448" width="13" style="4" customWidth="1"/>
    <col min="8449" max="8702" width="11.42578125" style="4" customWidth="1"/>
    <col min="8703" max="8703" width="10.42578125" style="4" customWidth="1"/>
    <col min="8704" max="8704" width="13" style="4" customWidth="1"/>
    <col min="8705" max="8958" width="11.42578125" style="4" customWidth="1"/>
    <col min="8959" max="8959" width="10.42578125" style="4" customWidth="1"/>
    <col min="8960" max="8960" width="13" style="4" customWidth="1"/>
    <col min="8961" max="9214" width="11.42578125" style="4" customWidth="1"/>
    <col min="9215" max="9215" width="10.42578125" style="4" customWidth="1"/>
    <col min="9216" max="9216" width="13" style="4" customWidth="1"/>
    <col min="9217" max="9470" width="11.42578125" style="4" customWidth="1"/>
    <col min="9471" max="9471" width="10.42578125" style="4" customWidth="1"/>
    <col min="9472" max="9472" width="13" style="4" customWidth="1"/>
    <col min="9473" max="9726" width="11.42578125" style="4" customWidth="1"/>
    <col min="9727" max="9727" width="10.42578125" style="4" customWidth="1"/>
    <col min="9728" max="9728" width="13" style="4" customWidth="1"/>
    <col min="9729" max="9982" width="11.42578125" style="4" customWidth="1"/>
    <col min="9983" max="9983" width="10.42578125" style="4" customWidth="1"/>
    <col min="9984" max="9984" width="13" style="4" customWidth="1"/>
    <col min="9985" max="10238" width="11.42578125" style="4" customWidth="1"/>
    <col min="10239" max="10239" width="10.42578125" style="4" customWidth="1"/>
    <col min="10240" max="10240" width="13" style="4" customWidth="1"/>
    <col min="10241" max="10494" width="11.42578125" style="4" customWidth="1"/>
    <col min="10495" max="10495" width="10.42578125" style="4" customWidth="1"/>
    <col min="10496" max="10496" width="13" style="4" customWidth="1"/>
    <col min="10497" max="10750" width="11.42578125" style="4" customWidth="1"/>
    <col min="10751" max="10751" width="10.42578125" style="4" customWidth="1"/>
    <col min="10752" max="10752" width="13" style="4" customWidth="1"/>
    <col min="10753" max="11006" width="11.42578125" style="4" customWidth="1"/>
    <col min="11007" max="11007" width="10.42578125" style="4" customWidth="1"/>
    <col min="11008" max="11008" width="13" style="4" customWidth="1"/>
    <col min="11009" max="11262" width="11.42578125" style="4" customWidth="1"/>
    <col min="11263" max="11263" width="10.42578125" style="4" customWidth="1"/>
    <col min="11264" max="11264" width="13" style="4" customWidth="1"/>
    <col min="11265" max="11518" width="11.42578125" style="4" customWidth="1"/>
    <col min="11519" max="11519" width="10.42578125" style="4" customWidth="1"/>
    <col min="11520" max="11520" width="13" style="4" customWidth="1"/>
    <col min="11521" max="11774" width="11.42578125" style="4" customWidth="1"/>
    <col min="11775" max="11775" width="10.42578125" style="4" customWidth="1"/>
    <col min="11776" max="11776" width="13" style="4" customWidth="1"/>
    <col min="11777" max="12030" width="11.42578125" style="4" customWidth="1"/>
    <col min="12031" max="12031" width="10.42578125" style="4" customWidth="1"/>
    <col min="12032" max="12032" width="13" style="4" customWidth="1"/>
    <col min="12033" max="12286" width="11.42578125" style="4" customWidth="1"/>
    <col min="12287" max="12287" width="10.42578125" style="4" customWidth="1"/>
    <col min="12288" max="12288" width="13" style="4" customWidth="1"/>
    <col min="12289" max="12542" width="11.42578125" style="4" customWidth="1"/>
    <col min="12543" max="12543" width="10.42578125" style="4" customWidth="1"/>
    <col min="12544" max="12544" width="13" style="4" customWidth="1"/>
    <col min="12545" max="12798" width="11.42578125" style="4" customWidth="1"/>
    <col min="12799" max="12799" width="10.42578125" style="4" customWidth="1"/>
    <col min="12800" max="12800" width="13" style="4" customWidth="1"/>
    <col min="12801" max="13054" width="11.42578125" style="4" customWidth="1"/>
    <col min="13055" max="13055" width="10.42578125" style="4" customWidth="1"/>
    <col min="13056" max="13056" width="13" style="4" customWidth="1"/>
    <col min="13057" max="13310" width="11.42578125" style="4" customWidth="1"/>
    <col min="13311" max="13311" width="10.42578125" style="4" customWidth="1"/>
    <col min="13312" max="13312" width="13" style="4" customWidth="1"/>
    <col min="13313" max="13566" width="11.42578125" style="4" customWidth="1"/>
    <col min="13567" max="13567" width="10.42578125" style="4" customWidth="1"/>
    <col min="13568" max="13568" width="13" style="4" customWidth="1"/>
    <col min="13569" max="13822" width="11.42578125" style="4" customWidth="1"/>
    <col min="13823" max="13823" width="10.42578125" style="4" customWidth="1"/>
    <col min="13824" max="13824" width="13" style="4" customWidth="1"/>
    <col min="13825" max="14078" width="11.42578125" style="4" customWidth="1"/>
    <col min="14079" max="14079" width="10.42578125" style="4" customWidth="1"/>
    <col min="14080" max="14080" width="13" style="4" customWidth="1"/>
    <col min="14081" max="14334" width="11.42578125" style="4" customWidth="1"/>
    <col min="14335" max="14335" width="10.42578125" style="4" customWidth="1"/>
    <col min="14336" max="14336" width="13" style="4" customWidth="1"/>
    <col min="14337" max="14590" width="11.42578125" style="4" customWidth="1"/>
    <col min="14591" max="14591" width="10.42578125" style="4" customWidth="1"/>
    <col min="14592" max="14592" width="13" style="4" customWidth="1"/>
    <col min="14593" max="14846" width="11.42578125" style="4" customWidth="1"/>
    <col min="14847" max="14847" width="10.42578125" style="4" customWidth="1"/>
    <col min="14848" max="14848" width="13" style="4" customWidth="1"/>
    <col min="14849" max="15102" width="11.42578125" style="4" customWidth="1"/>
    <col min="15103" max="15103" width="10.42578125" style="4" customWidth="1"/>
    <col min="15104" max="15104" width="13" style="4" customWidth="1"/>
    <col min="15105" max="15358" width="11.42578125" style="4" customWidth="1"/>
    <col min="15359" max="15359" width="10.42578125" style="4" customWidth="1"/>
    <col min="15360" max="15360" width="13" style="4" customWidth="1"/>
    <col min="15361" max="15614" width="11.42578125" style="4" customWidth="1"/>
    <col min="15615" max="15615" width="10.42578125" style="4" customWidth="1"/>
    <col min="15616" max="15616" width="13" style="4" customWidth="1"/>
    <col min="15617" max="15870" width="11.42578125" style="4" customWidth="1"/>
    <col min="15871" max="15871" width="10.42578125" style="4" customWidth="1"/>
    <col min="15872" max="15872" width="13" style="4" customWidth="1"/>
    <col min="15873" max="16126" width="11.42578125" style="4" customWidth="1"/>
    <col min="16127" max="16127" width="10.42578125" style="4" customWidth="1"/>
    <col min="16128" max="16128" width="13" style="4" customWidth="1"/>
    <col min="16129" max="16384" width="11.42578125" style="4" customWidth="1"/>
  </cols>
  <sheetData>
    <row r="1" spans="1:9" s="56" customFormat="1" ht="12">
      <c r="A1" s="891" t="s">
        <v>2</v>
      </c>
      <c r="B1" s="892"/>
      <c r="C1" s="892"/>
      <c r="D1" s="892"/>
      <c r="E1" s="892"/>
      <c r="F1" s="892"/>
      <c r="G1" s="892"/>
      <c r="H1" s="893"/>
    </row>
    <row r="2" spans="1:9" s="56" customFormat="1" thickBot="1">
      <c r="A2" s="894"/>
      <c r="B2" s="895"/>
      <c r="C2" s="895"/>
      <c r="D2" s="895"/>
      <c r="E2" s="895"/>
      <c r="F2" s="895"/>
      <c r="G2" s="895"/>
      <c r="H2" s="896"/>
    </row>
    <row r="3" spans="1:9" s="56" customFormat="1" ht="54" customHeight="1" thickBot="1">
      <c r="A3" s="322"/>
      <c r="B3" s="907" t="s">
        <v>393</v>
      </c>
      <c r="C3" s="908"/>
      <c r="D3" s="908"/>
      <c r="E3" s="908"/>
      <c r="F3" s="908"/>
      <c r="G3" s="908"/>
      <c r="H3" s="909"/>
    </row>
    <row r="5" spans="1:9">
      <c r="A5" s="5"/>
      <c r="B5" s="7"/>
      <c r="C5" s="6"/>
      <c r="E5" s="7"/>
      <c r="G5" s="8"/>
      <c r="H5" s="9"/>
    </row>
    <row r="6" spans="1:9">
      <c r="A6" s="57" t="s">
        <v>419</v>
      </c>
      <c r="B6" s="906" t="s">
        <v>370</v>
      </c>
      <c r="C6" s="906"/>
      <c r="D6" s="906"/>
      <c r="E6" s="906"/>
      <c r="F6" s="906"/>
      <c r="G6" s="58" t="s">
        <v>30</v>
      </c>
      <c r="H6" s="61" t="s">
        <v>347</v>
      </c>
    </row>
    <row r="7" spans="1:9">
      <c r="A7" s="58"/>
      <c r="B7" s="906"/>
      <c r="C7" s="906"/>
      <c r="D7" s="906"/>
      <c r="E7" s="906"/>
      <c r="F7" s="906"/>
      <c r="G7" s="58"/>
      <c r="H7" s="56"/>
    </row>
    <row r="8" spans="1:9" ht="13.5" thickBot="1">
      <c r="A8" s="10" t="s">
        <v>3</v>
      </c>
      <c r="B8" s="10"/>
      <c r="C8" s="6"/>
      <c r="D8" s="52"/>
      <c r="E8" s="6"/>
      <c r="F8" s="6"/>
      <c r="G8" s="6"/>
      <c r="H8" s="6"/>
    </row>
    <row r="9" spans="1:9">
      <c r="A9" s="912" t="s">
        <v>4</v>
      </c>
      <c r="B9" s="913"/>
      <c r="C9" s="914"/>
      <c r="D9" s="11" t="s">
        <v>5</v>
      </c>
      <c r="E9" s="12" t="s">
        <v>6</v>
      </c>
      <c r="F9" s="11" t="s">
        <v>7</v>
      </c>
      <c r="G9" s="13" t="s">
        <v>8</v>
      </c>
      <c r="H9" s="14"/>
    </row>
    <row r="10" spans="1:9">
      <c r="A10" s="935" t="s">
        <v>349</v>
      </c>
      <c r="B10" s="936"/>
      <c r="C10" s="937"/>
      <c r="D10" s="15"/>
      <c r="E10" s="67"/>
      <c r="F10" s="67"/>
      <c r="G10" s="68">
        <f>H38*0.1</f>
        <v>14.343300000000003</v>
      </c>
      <c r="H10" s="18"/>
    </row>
    <row r="11" spans="1:9">
      <c r="A11" s="932" t="s">
        <v>348</v>
      </c>
      <c r="B11" s="933"/>
      <c r="C11" s="934"/>
      <c r="D11" s="15" t="str">
        <f>EQUIPO!C6</f>
        <v>Hora</v>
      </c>
      <c r="E11" s="193">
        <v>83300</v>
      </c>
      <c r="F11" s="83">
        <v>2.1999999999999999E-2</v>
      </c>
      <c r="G11" s="68">
        <f>E11*F11</f>
        <v>1832.6</v>
      </c>
      <c r="H11" s="18"/>
    </row>
    <row r="12" spans="1:9">
      <c r="A12" s="918"/>
      <c r="B12" s="919"/>
      <c r="C12" s="920"/>
      <c r="D12" s="15"/>
      <c r="E12" s="108"/>
      <c r="F12" s="16"/>
      <c r="G12" s="17"/>
      <c r="H12" s="18"/>
    </row>
    <row r="13" spans="1:9" ht="13.5" thickBot="1">
      <c r="A13" s="921"/>
      <c r="B13" s="922"/>
      <c r="C13" s="923"/>
      <c r="D13" s="21"/>
      <c r="E13" s="149"/>
      <c r="F13" s="23"/>
      <c r="G13" s="121"/>
      <c r="H13" s="25"/>
    </row>
    <row r="14" spans="1:9" ht="13.5" thickBot="1">
      <c r="A14" s="6"/>
      <c r="B14" s="6"/>
      <c r="C14" s="6"/>
      <c r="D14" s="52"/>
      <c r="E14" s="6"/>
      <c r="F14" s="6"/>
      <c r="G14" s="26" t="s">
        <v>9</v>
      </c>
      <c r="H14" s="77">
        <f>SUM(G10:G13)</f>
        <v>1846.9432999999999</v>
      </c>
      <c r="I14" s="28"/>
    </row>
    <row r="15" spans="1:9" ht="13.5" thickBot="1">
      <c r="A15" s="10" t="s">
        <v>10</v>
      </c>
      <c r="B15" s="10"/>
      <c r="C15" s="6"/>
      <c r="D15" s="52"/>
      <c r="E15" s="6"/>
      <c r="F15" s="6"/>
      <c r="G15" s="6"/>
      <c r="H15" s="6"/>
    </row>
    <row r="16" spans="1:9">
      <c r="A16" s="912" t="s">
        <v>4</v>
      </c>
      <c r="B16" s="913"/>
      <c r="C16" s="914"/>
      <c r="D16" s="11" t="s">
        <v>11</v>
      </c>
      <c r="E16" s="11" t="s">
        <v>12</v>
      </c>
      <c r="F16" s="11" t="s">
        <v>13</v>
      </c>
      <c r="G16" s="13" t="s">
        <v>8</v>
      </c>
      <c r="H16" s="14"/>
    </row>
    <row r="17" spans="1:13" ht="24.75" customHeight="1">
      <c r="A17" s="929" t="s">
        <v>350</v>
      </c>
      <c r="B17" s="930"/>
      <c r="C17" s="931"/>
      <c r="D17" s="66" t="s">
        <v>57</v>
      </c>
      <c r="E17" s="82">
        <v>142000</v>
      </c>
      <c r="F17" s="67">
        <v>0.01</v>
      </c>
      <c r="G17" s="68">
        <f>E17*F17</f>
        <v>1420</v>
      </c>
      <c r="H17" s="18"/>
      <c r="K17" s="151"/>
      <c r="M17" s="10"/>
    </row>
    <row r="18" spans="1:13">
      <c r="A18" s="84" t="s">
        <v>351</v>
      </c>
      <c r="B18" s="80"/>
      <c r="C18" s="81"/>
      <c r="D18" s="66" t="s">
        <v>347</v>
      </c>
      <c r="E18" s="82">
        <v>620</v>
      </c>
      <c r="F18" s="83">
        <v>1.05</v>
      </c>
      <c r="G18" s="68">
        <f>E18*F18</f>
        <v>651</v>
      </c>
      <c r="H18" s="18"/>
      <c r="M18" s="10"/>
    </row>
    <row r="19" spans="1:13">
      <c r="A19" s="29"/>
      <c r="B19" s="30"/>
      <c r="C19" s="30"/>
      <c r="D19" s="118"/>
      <c r="E19" s="144"/>
      <c r="F19" s="33"/>
      <c r="G19" s="188"/>
      <c r="H19" s="18"/>
    </row>
    <row r="20" spans="1:13">
      <c r="A20" s="29"/>
      <c r="B20" s="30"/>
      <c r="C20" s="30"/>
      <c r="D20" s="15"/>
      <c r="E20" s="145"/>
      <c r="F20" s="33"/>
      <c r="G20" s="188"/>
      <c r="H20" s="18"/>
    </row>
    <row r="21" spans="1:13">
      <c r="A21" s="29"/>
      <c r="B21" s="30"/>
      <c r="C21" s="30"/>
      <c r="D21" s="19"/>
      <c r="E21" s="147"/>
      <c r="F21" s="36"/>
      <c r="G21" s="188"/>
      <c r="H21" s="18"/>
    </row>
    <row r="22" spans="1:13">
      <c r="A22" s="160"/>
      <c r="B22" s="125"/>
      <c r="C22" s="125"/>
      <c r="D22" s="19"/>
      <c r="E22" s="162"/>
      <c r="F22" s="20"/>
      <c r="G22" s="189"/>
      <c r="H22" s="18"/>
    </row>
    <row r="23" spans="1:13" ht="13.5" thickBot="1">
      <c r="A23" s="37"/>
      <c r="B23" s="38"/>
      <c r="C23" s="38"/>
      <c r="D23" s="21"/>
      <c r="E23" s="146"/>
      <c r="F23" s="23"/>
      <c r="G23" s="190"/>
      <c r="H23" s="25"/>
    </row>
    <row r="24" spans="1:13" ht="13.5" thickBot="1">
      <c r="A24" s="6"/>
      <c r="B24" s="6"/>
      <c r="C24" s="6"/>
      <c r="D24" s="52"/>
      <c r="E24" s="6"/>
      <c r="F24" s="6"/>
      <c r="G24" s="26" t="s">
        <v>9</v>
      </c>
      <c r="H24" s="165">
        <f>SUM(G17:G23)</f>
        <v>2071</v>
      </c>
      <c r="I24" s="28"/>
    </row>
    <row r="25" spans="1:13" ht="13.5" thickBot="1">
      <c r="A25" s="40" t="s">
        <v>14</v>
      </c>
      <c r="B25" s="40"/>
      <c r="C25" s="41"/>
      <c r="D25" s="52"/>
      <c r="E25" s="6"/>
      <c r="F25" s="6"/>
      <c r="G25" s="6"/>
      <c r="H25" s="6"/>
    </row>
    <row r="26" spans="1:13">
      <c r="A26" s="43" t="s">
        <v>15</v>
      </c>
      <c r="B26" s="44"/>
      <c r="C26" s="45" t="s">
        <v>16</v>
      </c>
      <c r="D26" s="11" t="s">
        <v>17</v>
      </c>
      <c r="E26" s="11" t="s">
        <v>18</v>
      </c>
      <c r="F26" s="11" t="s">
        <v>19</v>
      </c>
      <c r="G26" s="46" t="s">
        <v>8</v>
      </c>
      <c r="H26" s="14"/>
    </row>
    <row r="27" spans="1:13" s="185" customFormat="1">
      <c r="A27" s="84"/>
      <c r="B27" s="80"/>
      <c r="C27" s="93"/>
      <c r="D27" s="94"/>
      <c r="E27" s="96"/>
      <c r="F27" s="170"/>
      <c r="G27" s="97"/>
      <c r="H27" s="184"/>
    </row>
    <row r="28" spans="1:13">
      <c r="A28" s="35"/>
      <c r="B28" s="30"/>
      <c r="C28" s="113"/>
      <c r="D28" s="108"/>
      <c r="E28" s="111"/>
      <c r="F28" s="16"/>
      <c r="G28" s="47"/>
      <c r="H28" s="18"/>
    </row>
    <row r="29" spans="1:13" ht="13.5" thickBot="1">
      <c r="A29" s="37"/>
      <c r="B29" s="39"/>
      <c r="C29" s="21"/>
      <c r="D29" s="21"/>
      <c r="E29" s="23"/>
      <c r="F29" s="24"/>
      <c r="G29" s="21"/>
      <c r="H29" s="18"/>
    </row>
    <row r="30" spans="1:13" ht="13.5" thickBot="1">
      <c r="A30" s="6"/>
      <c r="B30" s="6"/>
      <c r="C30" s="6"/>
      <c r="D30" s="52"/>
      <c r="E30" s="6"/>
      <c r="F30" s="6"/>
      <c r="G30" s="26" t="s">
        <v>9</v>
      </c>
      <c r="H30" s="77">
        <f>SUM(G27:G29)</f>
        <v>0</v>
      </c>
      <c r="I30" s="28"/>
    </row>
    <row r="31" spans="1:13" ht="13.5" thickBot="1">
      <c r="A31" s="40" t="s">
        <v>20</v>
      </c>
      <c r="B31" s="40"/>
      <c r="C31" s="6"/>
      <c r="D31" s="52"/>
      <c r="E31" s="6"/>
      <c r="F31" s="6"/>
      <c r="G31" s="6"/>
      <c r="H31" s="6"/>
    </row>
    <row r="32" spans="1:13">
      <c r="A32" s="43" t="s">
        <v>21</v>
      </c>
      <c r="B32" s="44"/>
      <c r="C32" s="48" t="s">
        <v>22</v>
      </c>
      <c r="D32" s="11" t="s">
        <v>23</v>
      </c>
      <c r="E32" s="12" t="s">
        <v>24</v>
      </c>
      <c r="F32" s="48" t="s">
        <v>7</v>
      </c>
      <c r="G32" s="13" t="s">
        <v>8</v>
      </c>
      <c r="H32" s="14"/>
    </row>
    <row r="33" spans="1:9">
      <c r="A33" s="35"/>
      <c r="B33" s="30"/>
      <c r="C33" s="135"/>
      <c r="D33" s="172"/>
      <c r="E33" s="16"/>
      <c r="F33" s="16"/>
      <c r="G33" s="141"/>
      <c r="H33" s="18"/>
      <c r="I33" s="28"/>
    </row>
    <row r="34" spans="1:9">
      <c r="A34" s="35" t="s">
        <v>54</v>
      </c>
      <c r="B34" s="30">
        <v>1</v>
      </c>
      <c r="C34" s="135">
        <v>31874</v>
      </c>
      <c r="D34" s="172">
        <v>1.8</v>
      </c>
      <c r="E34" s="16">
        <f>+D34*C34</f>
        <v>57373.200000000004</v>
      </c>
      <c r="F34" s="16">
        <v>400</v>
      </c>
      <c r="G34" s="141">
        <f t="shared" ref="G34" si="0">+E34/F34</f>
        <v>143.43300000000002</v>
      </c>
      <c r="H34" s="18"/>
      <c r="I34" s="28"/>
    </row>
    <row r="35" spans="1:9">
      <c r="A35" s="35"/>
      <c r="B35" s="30"/>
      <c r="C35" s="32"/>
      <c r="D35" s="173"/>
      <c r="E35" s="32"/>
      <c r="F35" s="16"/>
      <c r="G35" s="17"/>
      <c r="H35" s="18"/>
    </row>
    <row r="36" spans="1:9">
      <c r="A36" s="35"/>
      <c r="B36" s="30"/>
      <c r="C36" s="32"/>
      <c r="D36" s="15"/>
      <c r="E36" s="32"/>
      <c r="F36" s="16"/>
      <c r="G36" s="17"/>
      <c r="H36" s="18"/>
      <c r="I36" s="28"/>
    </row>
    <row r="37" spans="1:9" ht="13.5" thickBot="1">
      <c r="A37" s="37"/>
      <c r="B37" s="38"/>
      <c r="C37" s="22"/>
      <c r="D37" s="114"/>
      <c r="E37" s="51"/>
      <c r="F37" s="51"/>
      <c r="G37" s="41"/>
      <c r="H37" s="25"/>
    </row>
    <row r="38" spans="1:9" ht="13.5" thickBot="1">
      <c r="A38" s="6"/>
      <c r="B38" s="6"/>
      <c r="C38" s="6"/>
      <c r="D38" s="52"/>
      <c r="E38" s="6"/>
      <c r="F38" s="6"/>
      <c r="G38" s="26" t="s">
        <v>9</v>
      </c>
      <c r="H38" s="77">
        <f>SUM(G33:G37)</f>
        <v>143.43300000000002</v>
      </c>
    </row>
    <row r="39" spans="1:9" ht="13.5" thickBot="1">
      <c r="A39" s="6"/>
      <c r="B39" s="6"/>
      <c r="C39" s="6"/>
      <c r="D39" s="52"/>
      <c r="E39" s="6"/>
      <c r="F39" s="6"/>
      <c r="G39" s="52"/>
      <c r="H39" s="6"/>
    </row>
    <row r="40" spans="1:9" ht="13.5" thickBot="1">
      <c r="A40" s="6"/>
      <c r="B40" s="6"/>
      <c r="C40" s="6"/>
      <c r="D40" s="52"/>
      <c r="E40" s="53" t="s">
        <v>25</v>
      </c>
      <c r="F40" s="54"/>
      <c r="G40" s="54"/>
      <c r="H40" s="27">
        <f>ROUND(H14+H24+H30+H38,0)</f>
        <v>4061</v>
      </c>
      <c r="I40" s="28"/>
    </row>
    <row r="45" spans="1:9" s="194" customFormat="1" ht="14.25">
      <c r="A45" s="195" t="s">
        <v>134</v>
      </c>
      <c r="B45" s="195"/>
      <c r="C45" s="195"/>
      <c r="D45" s="197"/>
      <c r="E45" s="196"/>
      <c r="F45" s="196"/>
    </row>
    <row r="46" spans="1:9" s="194" customFormat="1" ht="14.25">
      <c r="A46" s="195" t="s">
        <v>131</v>
      </c>
      <c r="B46" s="195"/>
      <c r="C46" s="195"/>
      <c r="D46" s="197"/>
      <c r="E46" s="196"/>
      <c r="F46" s="196"/>
    </row>
  </sheetData>
  <mergeCells count="10">
    <mergeCell ref="A1:H2"/>
    <mergeCell ref="B3:H3"/>
    <mergeCell ref="B6:F7"/>
    <mergeCell ref="A9:C9"/>
    <mergeCell ref="A10:C10"/>
    <mergeCell ref="A12:C12"/>
    <mergeCell ref="A13:C13"/>
    <mergeCell ref="A16:C16"/>
    <mergeCell ref="A17:C17"/>
    <mergeCell ref="A11:C11"/>
  </mergeCells>
  <pageMargins left="0.7" right="0.7" top="0.75" bottom="0.75" header="0.3" footer="0.3"/>
  <pageSetup orientation="portrait" r:id="rId1"/>
  <colBreaks count="1" manualBreakCount="1">
    <brk id="8" max="1048575" man="1"/>
  </colBreaks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FF0000"/>
  </sheetPr>
  <dimension ref="A1:H42"/>
  <sheetViews>
    <sheetView view="pageBreakPreview" topLeftCell="A12" zoomScale="78" zoomScaleSheetLayoutView="78" workbookViewId="0">
      <selection activeCell="D17" sqref="D17"/>
    </sheetView>
  </sheetViews>
  <sheetFormatPr baseColWidth="10" defaultColWidth="9.28515625" defaultRowHeight="12"/>
  <cols>
    <col min="1" max="1" width="11.42578125" style="56" customWidth="1"/>
    <col min="2" max="2" width="10.42578125" style="56" customWidth="1"/>
    <col min="3" max="3" width="15" style="56" customWidth="1"/>
    <col min="4" max="5" width="10.7109375" style="56" customWidth="1"/>
    <col min="6" max="6" width="10.28515625" style="56" customWidth="1"/>
    <col min="7" max="7" width="12.28515625" style="56" customWidth="1"/>
    <col min="8" max="8" width="13.7109375" style="56" bestFit="1" customWidth="1"/>
    <col min="9" max="248" width="11.42578125" style="56" customWidth="1"/>
    <col min="249" max="249" width="10.42578125" style="56" customWidth="1"/>
    <col min="250" max="250" width="13" style="56" customWidth="1"/>
    <col min="251" max="504" width="11.42578125" style="56" customWidth="1"/>
    <col min="505" max="505" width="10.42578125" style="56" customWidth="1"/>
    <col min="506" max="506" width="13" style="56" customWidth="1"/>
    <col min="507" max="760" width="11.42578125" style="56" customWidth="1"/>
    <col min="761" max="761" width="10.42578125" style="56" customWidth="1"/>
    <col min="762" max="762" width="13" style="56" customWidth="1"/>
    <col min="763" max="1016" width="11.42578125" style="56" customWidth="1"/>
    <col min="1017" max="1017" width="10.42578125" style="56" customWidth="1"/>
    <col min="1018" max="1018" width="13" style="56" customWidth="1"/>
    <col min="1019" max="1272" width="11.42578125" style="56" customWidth="1"/>
    <col min="1273" max="1273" width="10.42578125" style="56" customWidth="1"/>
    <col min="1274" max="1274" width="13" style="56" customWidth="1"/>
    <col min="1275" max="1528" width="11.42578125" style="56" customWidth="1"/>
    <col min="1529" max="1529" width="10.42578125" style="56" customWidth="1"/>
    <col min="1530" max="1530" width="13" style="56" customWidth="1"/>
    <col min="1531" max="1784" width="11.42578125" style="56" customWidth="1"/>
    <col min="1785" max="1785" width="10.42578125" style="56" customWidth="1"/>
    <col min="1786" max="1786" width="13" style="56" customWidth="1"/>
    <col min="1787" max="2040" width="11.42578125" style="56" customWidth="1"/>
    <col min="2041" max="2041" width="10.42578125" style="56" customWidth="1"/>
    <col min="2042" max="2042" width="13" style="56" customWidth="1"/>
    <col min="2043" max="2296" width="11.42578125" style="56" customWidth="1"/>
    <col min="2297" max="2297" width="10.42578125" style="56" customWidth="1"/>
    <col min="2298" max="2298" width="13" style="56" customWidth="1"/>
    <col min="2299" max="2552" width="11.42578125" style="56" customWidth="1"/>
    <col min="2553" max="2553" width="10.42578125" style="56" customWidth="1"/>
    <col min="2554" max="2554" width="13" style="56" customWidth="1"/>
    <col min="2555" max="2808" width="11.42578125" style="56" customWidth="1"/>
    <col min="2809" max="2809" width="10.42578125" style="56" customWidth="1"/>
    <col min="2810" max="2810" width="13" style="56" customWidth="1"/>
    <col min="2811" max="3064" width="11.42578125" style="56" customWidth="1"/>
    <col min="3065" max="3065" width="10.42578125" style="56" customWidth="1"/>
    <col min="3066" max="3066" width="13" style="56" customWidth="1"/>
    <col min="3067" max="3320" width="11.42578125" style="56" customWidth="1"/>
    <col min="3321" max="3321" width="10.42578125" style="56" customWidth="1"/>
    <col min="3322" max="3322" width="13" style="56" customWidth="1"/>
    <col min="3323" max="3576" width="11.42578125" style="56" customWidth="1"/>
    <col min="3577" max="3577" width="10.42578125" style="56" customWidth="1"/>
    <col min="3578" max="3578" width="13" style="56" customWidth="1"/>
    <col min="3579" max="3832" width="11.42578125" style="56" customWidth="1"/>
    <col min="3833" max="3833" width="10.42578125" style="56" customWidth="1"/>
    <col min="3834" max="3834" width="13" style="56" customWidth="1"/>
    <col min="3835" max="4088" width="11.42578125" style="56" customWidth="1"/>
    <col min="4089" max="4089" width="10.42578125" style="56" customWidth="1"/>
    <col min="4090" max="4090" width="13" style="56" customWidth="1"/>
    <col min="4091" max="4344" width="11.42578125" style="56" customWidth="1"/>
    <col min="4345" max="4345" width="10.42578125" style="56" customWidth="1"/>
    <col min="4346" max="4346" width="13" style="56" customWidth="1"/>
    <col min="4347" max="4600" width="11.42578125" style="56" customWidth="1"/>
    <col min="4601" max="4601" width="10.42578125" style="56" customWidth="1"/>
    <col min="4602" max="4602" width="13" style="56" customWidth="1"/>
    <col min="4603" max="4856" width="11.42578125" style="56" customWidth="1"/>
    <col min="4857" max="4857" width="10.42578125" style="56" customWidth="1"/>
    <col min="4858" max="4858" width="13" style="56" customWidth="1"/>
    <col min="4859" max="5112" width="11.42578125" style="56" customWidth="1"/>
    <col min="5113" max="5113" width="10.42578125" style="56" customWidth="1"/>
    <col min="5114" max="5114" width="13" style="56" customWidth="1"/>
    <col min="5115" max="5368" width="11.42578125" style="56" customWidth="1"/>
    <col min="5369" max="5369" width="10.42578125" style="56" customWidth="1"/>
    <col min="5370" max="5370" width="13" style="56" customWidth="1"/>
    <col min="5371" max="5624" width="11.42578125" style="56" customWidth="1"/>
    <col min="5625" max="5625" width="10.42578125" style="56" customWidth="1"/>
    <col min="5626" max="5626" width="13" style="56" customWidth="1"/>
    <col min="5627" max="5880" width="11.42578125" style="56" customWidth="1"/>
    <col min="5881" max="5881" width="10.42578125" style="56" customWidth="1"/>
    <col min="5882" max="5882" width="13" style="56" customWidth="1"/>
    <col min="5883" max="6136" width="11.42578125" style="56" customWidth="1"/>
    <col min="6137" max="6137" width="10.42578125" style="56" customWidth="1"/>
    <col min="6138" max="6138" width="13" style="56" customWidth="1"/>
    <col min="6139" max="6392" width="11.42578125" style="56" customWidth="1"/>
    <col min="6393" max="6393" width="10.42578125" style="56" customWidth="1"/>
    <col min="6394" max="6394" width="13" style="56" customWidth="1"/>
    <col min="6395" max="6648" width="11.42578125" style="56" customWidth="1"/>
    <col min="6649" max="6649" width="10.42578125" style="56" customWidth="1"/>
    <col min="6650" max="6650" width="13" style="56" customWidth="1"/>
    <col min="6651" max="6904" width="11.42578125" style="56" customWidth="1"/>
    <col min="6905" max="6905" width="10.42578125" style="56" customWidth="1"/>
    <col min="6906" max="6906" width="13" style="56" customWidth="1"/>
    <col min="6907" max="7160" width="11.42578125" style="56" customWidth="1"/>
    <col min="7161" max="7161" width="10.42578125" style="56" customWidth="1"/>
    <col min="7162" max="7162" width="13" style="56" customWidth="1"/>
    <col min="7163" max="7416" width="11.42578125" style="56" customWidth="1"/>
    <col min="7417" max="7417" width="10.42578125" style="56" customWidth="1"/>
    <col min="7418" max="7418" width="13" style="56" customWidth="1"/>
    <col min="7419" max="7672" width="11.42578125" style="56" customWidth="1"/>
    <col min="7673" max="7673" width="10.42578125" style="56" customWidth="1"/>
    <col min="7674" max="7674" width="13" style="56" customWidth="1"/>
    <col min="7675" max="7928" width="11.42578125" style="56" customWidth="1"/>
    <col min="7929" max="7929" width="10.42578125" style="56" customWidth="1"/>
    <col min="7930" max="7930" width="13" style="56" customWidth="1"/>
    <col min="7931" max="8184" width="11.42578125" style="56" customWidth="1"/>
    <col min="8185" max="8185" width="10.42578125" style="56" customWidth="1"/>
    <col min="8186" max="8186" width="13" style="56" customWidth="1"/>
    <col min="8187" max="8440" width="11.42578125" style="56" customWidth="1"/>
    <col min="8441" max="8441" width="10.42578125" style="56" customWidth="1"/>
    <col min="8442" max="8442" width="13" style="56" customWidth="1"/>
    <col min="8443" max="8696" width="11.42578125" style="56" customWidth="1"/>
    <col min="8697" max="8697" width="10.42578125" style="56" customWidth="1"/>
    <col min="8698" max="8698" width="13" style="56" customWidth="1"/>
    <col min="8699" max="8952" width="11.42578125" style="56" customWidth="1"/>
    <col min="8953" max="8953" width="10.42578125" style="56" customWidth="1"/>
    <col min="8954" max="8954" width="13" style="56" customWidth="1"/>
    <col min="8955" max="9208" width="11.42578125" style="56" customWidth="1"/>
    <col min="9209" max="9209" width="10.42578125" style="56" customWidth="1"/>
    <col min="9210" max="9210" width="13" style="56" customWidth="1"/>
    <col min="9211" max="9464" width="11.42578125" style="56" customWidth="1"/>
    <col min="9465" max="9465" width="10.42578125" style="56" customWidth="1"/>
    <col min="9466" max="9466" width="13" style="56" customWidth="1"/>
    <col min="9467" max="9720" width="11.42578125" style="56" customWidth="1"/>
    <col min="9721" max="9721" width="10.42578125" style="56" customWidth="1"/>
    <col min="9722" max="9722" width="13" style="56" customWidth="1"/>
    <col min="9723" max="9976" width="11.42578125" style="56" customWidth="1"/>
    <col min="9977" max="9977" width="10.42578125" style="56" customWidth="1"/>
    <col min="9978" max="9978" width="13" style="56" customWidth="1"/>
    <col min="9979" max="10232" width="11.42578125" style="56" customWidth="1"/>
    <col min="10233" max="10233" width="10.42578125" style="56" customWidth="1"/>
    <col min="10234" max="10234" width="13" style="56" customWidth="1"/>
    <col min="10235" max="10488" width="11.42578125" style="56" customWidth="1"/>
    <col min="10489" max="10489" width="10.42578125" style="56" customWidth="1"/>
    <col min="10490" max="10490" width="13" style="56" customWidth="1"/>
    <col min="10491" max="10744" width="11.42578125" style="56" customWidth="1"/>
    <col min="10745" max="10745" width="10.42578125" style="56" customWidth="1"/>
    <col min="10746" max="10746" width="13" style="56" customWidth="1"/>
    <col min="10747" max="11000" width="11.42578125" style="56" customWidth="1"/>
    <col min="11001" max="11001" width="10.42578125" style="56" customWidth="1"/>
    <col min="11002" max="11002" width="13" style="56" customWidth="1"/>
    <col min="11003" max="11256" width="11.42578125" style="56" customWidth="1"/>
    <col min="11257" max="11257" width="10.42578125" style="56" customWidth="1"/>
    <col min="11258" max="11258" width="13" style="56" customWidth="1"/>
    <col min="11259" max="11512" width="11.42578125" style="56" customWidth="1"/>
    <col min="11513" max="11513" width="10.42578125" style="56" customWidth="1"/>
    <col min="11514" max="11514" width="13" style="56" customWidth="1"/>
    <col min="11515" max="11768" width="11.42578125" style="56" customWidth="1"/>
    <col min="11769" max="11769" width="10.42578125" style="56" customWidth="1"/>
    <col min="11770" max="11770" width="13" style="56" customWidth="1"/>
    <col min="11771" max="12024" width="11.42578125" style="56" customWidth="1"/>
    <col min="12025" max="12025" width="10.42578125" style="56" customWidth="1"/>
    <col min="12026" max="12026" width="13" style="56" customWidth="1"/>
    <col min="12027" max="12280" width="11.42578125" style="56" customWidth="1"/>
    <col min="12281" max="12281" width="10.42578125" style="56" customWidth="1"/>
    <col min="12282" max="12282" width="13" style="56" customWidth="1"/>
    <col min="12283" max="12536" width="11.42578125" style="56" customWidth="1"/>
    <col min="12537" max="12537" width="10.42578125" style="56" customWidth="1"/>
    <col min="12538" max="12538" width="13" style="56" customWidth="1"/>
    <col min="12539" max="12792" width="11.42578125" style="56" customWidth="1"/>
    <col min="12793" max="12793" width="10.42578125" style="56" customWidth="1"/>
    <col min="12794" max="12794" width="13" style="56" customWidth="1"/>
    <col min="12795" max="13048" width="11.42578125" style="56" customWidth="1"/>
    <col min="13049" max="13049" width="10.42578125" style="56" customWidth="1"/>
    <col min="13050" max="13050" width="13" style="56" customWidth="1"/>
    <col min="13051" max="13304" width="11.42578125" style="56" customWidth="1"/>
    <col min="13305" max="13305" width="10.42578125" style="56" customWidth="1"/>
    <col min="13306" max="13306" width="13" style="56" customWidth="1"/>
    <col min="13307" max="13560" width="11.42578125" style="56" customWidth="1"/>
    <col min="13561" max="13561" width="10.42578125" style="56" customWidth="1"/>
    <col min="13562" max="13562" width="13" style="56" customWidth="1"/>
    <col min="13563" max="13816" width="11.42578125" style="56" customWidth="1"/>
    <col min="13817" max="13817" width="10.42578125" style="56" customWidth="1"/>
    <col min="13818" max="13818" width="13" style="56" customWidth="1"/>
    <col min="13819" max="14072" width="11.42578125" style="56" customWidth="1"/>
    <col min="14073" max="14073" width="10.42578125" style="56" customWidth="1"/>
    <col min="14074" max="14074" width="13" style="56" customWidth="1"/>
    <col min="14075" max="14328" width="11.42578125" style="56" customWidth="1"/>
    <col min="14329" max="14329" width="10.42578125" style="56" customWidth="1"/>
    <col min="14330" max="14330" width="13" style="56" customWidth="1"/>
    <col min="14331" max="14584" width="11.42578125" style="56" customWidth="1"/>
    <col min="14585" max="14585" width="10.42578125" style="56" customWidth="1"/>
    <col min="14586" max="14586" width="13" style="56" customWidth="1"/>
    <col min="14587" max="14840" width="11.42578125" style="56" customWidth="1"/>
    <col min="14841" max="14841" width="10.42578125" style="56" customWidth="1"/>
    <col min="14842" max="14842" width="13" style="56" customWidth="1"/>
    <col min="14843" max="15096" width="11.42578125" style="56" customWidth="1"/>
    <col min="15097" max="15097" width="10.42578125" style="56" customWidth="1"/>
    <col min="15098" max="15098" width="13" style="56" customWidth="1"/>
    <col min="15099" max="15352" width="11.42578125" style="56" customWidth="1"/>
    <col min="15353" max="15353" width="10.42578125" style="56" customWidth="1"/>
    <col min="15354" max="15354" width="13" style="56" customWidth="1"/>
    <col min="15355" max="15608" width="11.42578125" style="56" customWidth="1"/>
    <col min="15609" max="15609" width="10.42578125" style="56" customWidth="1"/>
    <col min="15610" max="15610" width="13" style="56" customWidth="1"/>
    <col min="15611" max="15864" width="11.42578125" style="56" customWidth="1"/>
    <col min="15865" max="15865" width="10.42578125" style="56" customWidth="1"/>
    <col min="15866" max="15866" width="13" style="56" customWidth="1"/>
    <col min="15867" max="16120" width="11.42578125" style="56" customWidth="1"/>
    <col min="16121" max="16121" width="10.42578125" style="56" customWidth="1"/>
    <col min="16122" max="16122" width="13" style="56" customWidth="1"/>
    <col min="16123" max="16384" width="11.42578125" style="56" customWidth="1"/>
  </cols>
  <sheetData>
    <row r="1" spans="1:8">
      <c r="A1" s="891" t="s">
        <v>2</v>
      </c>
      <c r="B1" s="892"/>
      <c r="C1" s="892"/>
      <c r="D1" s="892"/>
      <c r="E1" s="892"/>
      <c r="F1" s="892"/>
      <c r="G1" s="892"/>
      <c r="H1" s="893"/>
    </row>
    <row r="2" spans="1:8" ht="12.75" thickBot="1">
      <c r="A2" s="894"/>
      <c r="B2" s="895"/>
      <c r="C2" s="895"/>
      <c r="D2" s="895"/>
      <c r="E2" s="895"/>
      <c r="F2" s="895"/>
      <c r="G2" s="895"/>
      <c r="H2" s="896"/>
    </row>
    <row r="3" spans="1:8" ht="66" customHeight="1" thickBot="1">
      <c r="A3" s="322"/>
      <c r="B3" s="907" t="s">
        <v>393</v>
      </c>
      <c r="C3" s="908"/>
      <c r="D3" s="908"/>
      <c r="E3" s="908"/>
      <c r="F3" s="908"/>
      <c r="G3" s="908"/>
      <c r="H3" s="909"/>
    </row>
    <row r="5" spans="1:8">
      <c r="A5" s="57"/>
      <c r="B5" s="58"/>
      <c r="E5" s="58"/>
      <c r="G5" s="59"/>
      <c r="H5" s="60"/>
    </row>
    <row r="6" spans="1:8">
      <c r="A6" s="910" t="s">
        <v>372</v>
      </c>
      <c r="B6" s="906" t="s">
        <v>371</v>
      </c>
      <c r="C6" s="906"/>
      <c r="D6" s="906"/>
      <c r="E6" s="906"/>
      <c r="F6" s="906"/>
      <c r="G6" s="59" t="s">
        <v>30</v>
      </c>
      <c r="H6" s="61" t="s">
        <v>0</v>
      </c>
    </row>
    <row r="7" spans="1:8">
      <c r="A7" s="910"/>
      <c r="B7" s="906"/>
      <c r="C7" s="906"/>
      <c r="D7" s="906"/>
      <c r="E7" s="906"/>
      <c r="F7" s="906"/>
      <c r="G7" s="58"/>
    </row>
    <row r="8" spans="1:8" ht="12.75" thickBot="1">
      <c r="A8" s="58" t="s">
        <v>3</v>
      </c>
      <c r="B8" s="58"/>
    </row>
    <row r="9" spans="1:8">
      <c r="A9" s="897" t="s">
        <v>4</v>
      </c>
      <c r="B9" s="898"/>
      <c r="C9" s="899"/>
      <c r="D9" s="62" t="s">
        <v>5</v>
      </c>
      <c r="E9" s="63" t="s">
        <v>6</v>
      </c>
      <c r="F9" s="62" t="s">
        <v>7</v>
      </c>
      <c r="G9" s="64" t="s">
        <v>8</v>
      </c>
      <c r="H9" s="65"/>
    </row>
    <row r="10" spans="1:8">
      <c r="A10" s="900" t="s">
        <v>305</v>
      </c>
      <c r="B10" s="901"/>
      <c r="C10" s="902"/>
      <c r="D10" s="66"/>
      <c r="E10" s="82"/>
      <c r="F10" s="67"/>
      <c r="G10" s="164">
        <f>H33*0.1</f>
        <v>1912.4</v>
      </c>
      <c r="H10" s="69"/>
    </row>
    <row r="11" spans="1:8">
      <c r="A11" s="900"/>
      <c r="B11" s="901"/>
      <c r="C11" s="902"/>
      <c r="D11" s="66"/>
      <c r="E11" s="82"/>
      <c r="F11" s="67"/>
      <c r="G11" s="164"/>
      <c r="H11" s="69"/>
    </row>
    <row r="12" spans="1:8">
      <c r="A12" s="900"/>
      <c r="B12" s="901"/>
      <c r="C12" s="902"/>
      <c r="D12" s="70"/>
      <c r="E12" s="71"/>
      <c r="F12" s="67"/>
      <c r="G12" s="164"/>
      <c r="H12" s="69"/>
    </row>
    <row r="13" spans="1:8" ht="12.75" thickBot="1">
      <c r="A13" s="900"/>
      <c r="B13" s="901"/>
      <c r="C13" s="902"/>
      <c r="D13" s="66"/>
      <c r="E13" s="82"/>
      <c r="F13" s="67"/>
      <c r="G13" s="164"/>
      <c r="H13" s="76"/>
    </row>
    <row r="14" spans="1:8" ht="12.75" thickBot="1">
      <c r="G14" s="61" t="s">
        <v>9</v>
      </c>
      <c r="H14" s="175">
        <f>ROUND(G10,0)</f>
        <v>1912</v>
      </c>
    </row>
    <row r="15" spans="1:8" ht="12.75" thickBot="1">
      <c r="A15" s="58" t="s">
        <v>10</v>
      </c>
      <c r="B15" s="58"/>
    </row>
    <row r="16" spans="1:8">
      <c r="A16" s="897" t="s">
        <v>4</v>
      </c>
      <c r="B16" s="898"/>
      <c r="C16" s="899"/>
      <c r="D16" s="62" t="s">
        <v>11</v>
      </c>
      <c r="E16" s="62" t="s">
        <v>12</v>
      </c>
      <c r="F16" s="62" t="s">
        <v>13</v>
      </c>
      <c r="G16" s="64" t="s">
        <v>8</v>
      </c>
      <c r="H16" s="65"/>
    </row>
    <row r="17" spans="1:8">
      <c r="A17" s="79"/>
      <c r="B17" s="80"/>
      <c r="C17" s="81"/>
      <c r="D17" s="66"/>
      <c r="E17" s="82"/>
      <c r="F17" s="83"/>
      <c r="G17" s="68"/>
      <c r="H17" s="69"/>
    </row>
    <row r="18" spans="1:8">
      <c r="A18" s="84"/>
      <c r="B18" s="80"/>
      <c r="C18" s="81"/>
      <c r="D18" s="66"/>
      <c r="E18" s="82"/>
      <c r="F18" s="83"/>
      <c r="G18" s="68"/>
      <c r="H18" s="69"/>
    </row>
    <row r="19" spans="1:8">
      <c r="A19" s="84"/>
      <c r="B19" s="80"/>
      <c r="C19" s="81"/>
      <c r="D19" s="70"/>
      <c r="E19" s="71"/>
      <c r="F19" s="85"/>
      <c r="G19" s="68"/>
      <c r="H19" s="69"/>
    </row>
    <row r="20" spans="1:8">
      <c r="A20" s="84"/>
      <c r="B20" s="80"/>
      <c r="C20" s="81"/>
      <c r="D20" s="70"/>
      <c r="E20" s="71"/>
      <c r="F20" s="85"/>
      <c r="G20" s="68"/>
      <c r="H20" s="69"/>
    </row>
    <row r="21" spans="1:8" ht="12.75" thickBot="1">
      <c r="A21" s="86"/>
      <c r="B21" s="87"/>
      <c r="C21" s="88"/>
      <c r="D21" s="72"/>
      <c r="E21" s="73"/>
      <c r="F21" s="74"/>
      <c r="G21" s="75"/>
      <c r="H21" s="76"/>
    </row>
    <row r="22" spans="1:8" ht="12.75" thickBot="1">
      <c r="G22" s="61" t="s">
        <v>9</v>
      </c>
      <c r="H22" s="165">
        <f>SUM(G17:G21)</f>
        <v>0</v>
      </c>
    </row>
    <row r="23" spans="1:8" ht="12.75" thickBot="1">
      <c r="A23" s="89" t="s">
        <v>14</v>
      </c>
      <c r="B23" s="89"/>
      <c r="C23" s="90"/>
    </row>
    <row r="24" spans="1:8">
      <c r="A24" s="128" t="s">
        <v>15</v>
      </c>
      <c r="B24" s="129"/>
      <c r="C24" s="130" t="s">
        <v>16</v>
      </c>
      <c r="D24" s="62" t="s">
        <v>17</v>
      </c>
      <c r="E24" s="62" t="s">
        <v>18</v>
      </c>
      <c r="F24" s="62" t="s">
        <v>19</v>
      </c>
      <c r="G24" s="92" t="s">
        <v>8</v>
      </c>
      <c r="H24" s="65"/>
    </row>
    <row r="25" spans="1:8">
      <c r="A25" s="84" t="s">
        <v>102</v>
      </c>
      <c r="B25" s="80"/>
      <c r="C25" s="93">
        <v>1.3</v>
      </c>
      <c r="D25" s="94">
        <v>5</v>
      </c>
      <c r="E25" s="95">
        <f>C25*D25</f>
        <v>6.5</v>
      </c>
      <c r="F25" s="96">
        <f>TRANSPORTE!H33</f>
        <v>1500</v>
      </c>
      <c r="G25" s="97">
        <f>E25*F25</f>
        <v>9750</v>
      </c>
      <c r="H25" s="69"/>
    </row>
    <row r="26" spans="1:8">
      <c r="A26" s="84"/>
      <c r="B26" s="80"/>
      <c r="C26" s="98"/>
      <c r="D26" s="66"/>
      <c r="E26" s="99"/>
      <c r="F26" s="67"/>
      <c r="G26" s="67"/>
      <c r="H26" s="69"/>
    </row>
    <row r="27" spans="1:8" ht="12.75" thickBot="1">
      <c r="A27" s="86"/>
      <c r="B27" s="88"/>
      <c r="C27" s="72"/>
      <c r="D27" s="73"/>
      <c r="E27" s="74"/>
      <c r="F27" s="75"/>
      <c r="G27" s="72"/>
      <c r="H27" s="76"/>
    </row>
    <row r="28" spans="1:8" ht="12.75" thickBot="1">
      <c r="G28" s="61" t="s">
        <v>9</v>
      </c>
      <c r="H28" s="165">
        <f>SUM(G25:G27)</f>
        <v>9750</v>
      </c>
    </row>
    <row r="29" spans="1:8" ht="12.75" thickBot="1">
      <c r="A29" s="89" t="s">
        <v>20</v>
      </c>
      <c r="B29" s="89"/>
    </row>
    <row r="30" spans="1:8">
      <c r="A30" s="128" t="s">
        <v>21</v>
      </c>
      <c r="B30" s="129"/>
      <c r="C30" s="100" t="s">
        <v>22</v>
      </c>
      <c r="D30" s="62" t="s">
        <v>23</v>
      </c>
      <c r="E30" s="63" t="s">
        <v>24</v>
      </c>
      <c r="F30" s="100" t="s">
        <v>7</v>
      </c>
      <c r="G30" s="64" t="s">
        <v>8</v>
      </c>
      <c r="H30" s="65"/>
    </row>
    <row r="31" spans="1:8">
      <c r="A31" s="84" t="s">
        <v>39</v>
      </c>
      <c r="B31" s="80">
        <v>1</v>
      </c>
      <c r="C31" s="101">
        <v>31874</v>
      </c>
      <c r="D31" s="192">
        <v>1.8</v>
      </c>
      <c r="E31" s="166">
        <f>+D31*C31*B31</f>
        <v>57373.200000000004</v>
      </c>
      <c r="F31" s="67">
        <v>3</v>
      </c>
      <c r="G31" s="167">
        <f>+E31/F31</f>
        <v>19124.400000000001</v>
      </c>
      <c r="H31" s="69"/>
    </row>
    <row r="32" spans="1:8" ht="12.75" thickBot="1">
      <c r="A32" s="86"/>
      <c r="B32" s="87"/>
      <c r="C32" s="73"/>
      <c r="D32" s="103"/>
      <c r="E32" s="103"/>
      <c r="F32" s="103"/>
      <c r="G32" s="90"/>
      <c r="H32" s="76"/>
    </row>
    <row r="33" spans="1:8" ht="12.75" thickBot="1">
      <c r="G33" s="61" t="s">
        <v>9</v>
      </c>
      <c r="H33" s="175">
        <f>ROUND(G31+G32,0)</f>
        <v>19124</v>
      </c>
    </row>
    <row r="34" spans="1:8" ht="12.75" thickBot="1">
      <c r="G34" s="104"/>
    </row>
    <row r="35" spans="1:8" ht="12.75" thickBot="1">
      <c r="E35" s="105" t="s">
        <v>25</v>
      </c>
      <c r="F35" s="106"/>
      <c r="G35" s="106"/>
      <c r="H35" s="175">
        <f>ROUND(H14+H22+H28+H33,0)</f>
        <v>30786</v>
      </c>
    </row>
    <row r="41" spans="1:8" s="194" customFormat="1" ht="14.25">
      <c r="A41" s="195" t="s">
        <v>134</v>
      </c>
      <c r="B41" s="195"/>
      <c r="C41" s="195"/>
      <c r="D41" s="197"/>
      <c r="E41" s="196"/>
      <c r="F41" s="196"/>
    </row>
    <row r="42" spans="1:8" s="194" customFormat="1" ht="14.25">
      <c r="A42" s="195" t="s">
        <v>131</v>
      </c>
      <c r="B42" s="195"/>
      <c r="C42" s="195"/>
      <c r="D42" s="197"/>
      <c r="E42" s="196"/>
      <c r="F42" s="196"/>
    </row>
  </sheetData>
  <mergeCells count="10">
    <mergeCell ref="A11:C11"/>
    <mergeCell ref="A12:C12"/>
    <mergeCell ref="A13:C13"/>
    <mergeCell ref="A16:C16"/>
    <mergeCell ref="A1:H2"/>
    <mergeCell ref="B3:H3"/>
    <mergeCell ref="A6:A7"/>
    <mergeCell ref="B6:F7"/>
    <mergeCell ref="A9:C9"/>
    <mergeCell ref="A10:C10"/>
  </mergeCells>
  <pageMargins left="0.7" right="0.7" top="0.75" bottom="0.75" header="0.3" footer="0.3"/>
  <pageSetup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Hoja16">
    <tabColor rgb="FFFF0000"/>
  </sheetPr>
  <dimension ref="A1:K46"/>
  <sheetViews>
    <sheetView view="pageBreakPreview" zoomScaleSheetLayoutView="100" workbookViewId="0">
      <selection activeCell="D17" sqref="D17"/>
    </sheetView>
  </sheetViews>
  <sheetFormatPr baseColWidth="10" defaultColWidth="9.28515625" defaultRowHeight="12.75"/>
  <cols>
    <col min="1" max="1" width="11.42578125" style="4" customWidth="1"/>
    <col min="2" max="2" width="11.28515625" style="4" customWidth="1"/>
    <col min="3" max="3" width="13" style="4" customWidth="1"/>
    <col min="4" max="4" width="11.42578125" style="107" customWidth="1"/>
    <col min="5" max="8" width="11.42578125" style="4" customWidth="1"/>
    <col min="9" max="9" width="15.42578125" style="4" customWidth="1"/>
    <col min="10" max="257" width="11.42578125" style="4" customWidth="1"/>
    <col min="258" max="258" width="10.42578125" style="4" customWidth="1"/>
    <col min="259" max="259" width="13" style="4" customWidth="1"/>
    <col min="260" max="513" width="11.42578125" style="4" customWidth="1"/>
    <col min="514" max="514" width="10.42578125" style="4" customWidth="1"/>
    <col min="515" max="515" width="13" style="4" customWidth="1"/>
    <col min="516" max="769" width="11.42578125" style="4" customWidth="1"/>
    <col min="770" max="770" width="10.42578125" style="4" customWidth="1"/>
    <col min="771" max="771" width="13" style="4" customWidth="1"/>
    <col min="772" max="1025" width="11.42578125" style="4" customWidth="1"/>
    <col min="1026" max="1026" width="10.42578125" style="4" customWidth="1"/>
    <col min="1027" max="1027" width="13" style="4" customWidth="1"/>
    <col min="1028" max="1281" width="11.42578125" style="4" customWidth="1"/>
    <col min="1282" max="1282" width="10.42578125" style="4" customWidth="1"/>
    <col min="1283" max="1283" width="13" style="4" customWidth="1"/>
    <col min="1284" max="1537" width="11.42578125" style="4" customWidth="1"/>
    <col min="1538" max="1538" width="10.42578125" style="4" customWidth="1"/>
    <col min="1539" max="1539" width="13" style="4" customWidth="1"/>
    <col min="1540" max="1793" width="11.42578125" style="4" customWidth="1"/>
    <col min="1794" max="1794" width="10.42578125" style="4" customWidth="1"/>
    <col min="1795" max="1795" width="13" style="4" customWidth="1"/>
    <col min="1796" max="2049" width="11.42578125" style="4" customWidth="1"/>
    <col min="2050" max="2050" width="10.42578125" style="4" customWidth="1"/>
    <col min="2051" max="2051" width="13" style="4" customWidth="1"/>
    <col min="2052" max="2305" width="11.42578125" style="4" customWidth="1"/>
    <col min="2306" max="2306" width="10.42578125" style="4" customWidth="1"/>
    <col min="2307" max="2307" width="13" style="4" customWidth="1"/>
    <col min="2308" max="2561" width="11.42578125" style="4" customWidth="1"/>
    <col min="2562" max="2562" width="10.42578125" style="4" customWidth="1"/>
    <col min="2563" max="2563" width="13" style="4" customWidth="1"/>
    <col min="2564" max="2817" width="11.42578125" style="4" customWidth="1"/>
    <col min="2818" max="2818" width="10.42578125" style="4" customWidth="1"/>
    <col min="2819" max="2819" width="13" style="4" customWidth="1"/>
    <col min="2820" max="3073" width="11.42578125" style="4" customWidth="1"/>
    <col min="3074" max="3074" width="10.42578125" style="4" customWidth="1"/>
    <col min="3075" max="3075" width="13" style="4" customWidth="1"/>
    <col min="3076" max="3329" width="11.42578125" style="4" customWidth="1"/>
    <col min="3330" max="3330" width="10.42578125" style="4" customWidth="1"/>
    <col min="3331" max="3331" width="13" style="4" customWidth="1"/>
    <col min="3332" max="3585" width="11.42578125" style="4" customWidth="1"/>
    <col min="3586" max="3586" width="10.42578125" style="4" customWidth="1"/>
    <col min="3587" max="3587" width="13" style="4" customWidth="1"/>
    <col min="3588" max="3841" width="11.42578125" style="4" customWidth="1"/>
    <col min="3842" max="3842" width="10.42578125" style="4" customWidth="1"/>
    <col min="3843" max="3843" width="13" style="4" customWidth="1"/>
    <col min="3844" max="4097" width="11.42578125" style="4" customWidth="1"/>
    <col min="4098" max="4098" width="10.42578125" style="4" customWidth="1"/>
    <col min="4099" max="4099" width="13" style="4" customWidth="1"/>
    <col min="4100" max="4353" width="11.42578125" style="4" customWidth="1"/>
    <col min="4354" max="4354" width="10.42578125" style="4" customWidth="1"/>
    <col min="4355" max="4355" width="13" style="4" customWidth="1"/>
    <col min="4356" max="4609" width="11.42578125" style="4" customWidth="1"/>
    <col min="4610" max="4610" width="10.42578125" style="4" customWidth="1"/>
    <col min="4611" max="4611" width="13" style="4" customWidth="1"/>
    <col min="4612" max="4865" width="11.42578125" style="4" customWidth="1"/>
    <col min="4866" max="4866" width="10.42578125" style="4" customWidth="1"/>
    <col min="4867" max="4867" width="13" style="4" customWidth="1"/>
    <col min="4868" max="5121" width="11.42578125" style="4" customWidth="1"/>
    <col min="5122" max="5122" width="10.42578125" style="4" customWidth="1"/>
    <col min="5123" max="5123" width="13" style="4" customWidth="1"/>
    <col min="5124" max="5377" width="11.42578125" style="4" customWidth="1"/>
    <col min="5378" max="5378" width="10.42578125" style="4" customWidth="1"/>
    <col min="5379" max="5379" width="13" style="4" customWidth="1"/>
    <col min="5380" max="5633" width="11.42578125" style="4" customWidth="1"/>
    <col min="5634" max="5634" width="10.42578125" style="4" customWidth="1"/>
    <col min="5635" max="5635" width="13" style="4" customWidth="1"/>
    <col min="5636" max="5889" width="11.42578125" style="4" customWidth="1"/>
    <col min="5890" max="5890" width="10.42578125" style="4" customWidth="1"/>
    <col min="5891" max="5891" width="13" style="4" customWidth="1"/>
    <col min="5892" max="6145" width="11.42578125" style="4" customWidth="1"/>
    <col min="6146" max="6146" width="10.42578125" style="4" customWidth="1"/>
    <col min="6147" max="6147" width="13" style="4" customWidth="1"/>
    <col min="6148" max="6401" width="11.42578125" style="4" customWidth="1"/>
    <col min="6402" max="6402" width="10.42578125" style="4" customWidth="1"/>
    <col min="6403" max="6403" width="13" style="4" customWidth="1"/>
    <col min="6404" max="6657" width="11.42578125" style="4" customWidth="1"/>
    <col min="6658" max="6658" width="10.42578125" style="4" customWidth="1"/>
    <col min="6659" max="6659" width="13" style="4" customWidth="1"/>
    <col min="6660" max="6913" width="11.42578125" style="4" customWidth="1"/>
    <col min="6914" max="6914" width="10.42578125" style="4" customWidth="1"/>
    <col min="6915" max="6915" width="13" style="4" customWidth="1"/>
    <col min="6916" max="7169" width="11.42578125" style="4" customWidth="1"/>
    <col min="7170" max="7170" width="10.42578125" style="4" customWidth="1"/>
    <col min="7171" max="7171" width="13" style="4" customWidth="1"/>
    <col min="7172" max="7425" width="11.42578125" style="4" customWidth="1"/>
    <col min="7426" max="7426" width="10.42578125" style="4" customWidth="1"/>
    <col min="7427" max="7427" width="13" style="4" customWidth="1"/>
    <col min="7428" max="7681" width="11.42578125" style="4" customWidth="1"/>
    <col min="7682" max="7682" width="10.42578125" style="4" customWidth="1"/>
    <col min="7683" max="7683" width="13" style="4" customWidth="1"/>
    <col min="7684" max="7937" width="11.42578125" style="4" customWidth="1"/>
    <col min="7938" max="7938" width="10.42578125" style="4" customWidth="1"/>
    <col min="7939" max="7939" width="13" style="4" customWidth="1"/>
    <col min="7940" max="8193" width="11.42578125" style="4" customWidth="1"/>
    <col min="8194" max="8194" width="10.42578125" style="4" customWidth="1"/>
    <col min="8195" max="8195" width="13" style="4" customWidth="1"/>
    <col min="8196" max="8449" width="11.42578125" style="4" customWidth="1"/>
    <col min="8450" max="8450" width="10.42578125" style="4" customWidth="1"/>
    <col min="8451" max="8451" width="13" style="4" customWidth="1"/>
    <col min="8452" max="8705" width="11.42578125" style="4" customWidth="1"/>
    <col min="8706" max="8706" width="10.42578125" style="4" customWidth="1"/>
    <col min="8707" max="8707" width="13" style="4" customWidth="1"/>
    <col min="8708" max="8961" width="11.42578125" style="4" customWidth="1"/>
    <col min="8962" max="8962" width="10.42578125" style="4" customWidth="1"/>
    <col min="8963" max="8963" width="13" style="4" customWidth="1"/>
    <col min="8964" max="9217" width="11.42578125" style="4" customWidth="1"/>
    <col min="9218" max="9218" width="10.42578125" style="4" customWidth="1"/>
    <col min="9219" max="9219" width="13" style="4" customWidth="1"/>
    <col min="9220" max="9473" width="11.42578125" style="4" customWidth="1"/>
    <col min="9474" max="9474" width="10.42578125" style="4" customWidth="1"/>
    <col min="9475" max="9475" width="13" style="4" customWidth="1"/>
    <col min="9476" max="9729" width="11.42578125" style="4" customWidth="1"/>
    <col min="9730" max="9730" width="10.42578125" style="4" customWidth="1"/>
    <col min="9731" max="9731" width="13" style="4" customWidth="1"/>
    <col min="9732" max="9985" width="11.42578125" style="4" customWidth="1"/>
    <col min="9986" max="9986" width="10.42578125" style="4" customWidth="1"/>
    <col min="9987" max="9987" width="13" style="4" customWidth="1"/>
    <col min="9988" max="10241" width="11.42578125" style="4" customWidth="1"/>
    <col min="10242" max="10242" width="10.42578125" style="4" customWidth="1"/>
    <col min="10243" max="10243" width="13" style="4" customWidth="1"/>
    <col min="10244" max="10497" width="11.42578125" style="4" customWidth="1"/>
    <col min="10498" max="10498" width="10.42578125" style="4" customWidth="1"/>
    <col min="10499" max="10499" width="13" style="4" customWidth="1"/>
    <col min="10500" max="10753" width="11.42578125" style="4" customWidth="1"/>
    <col min="10754" max="10754" width="10.42578125" style="4" customWidth="1"/>
    <col min="10755" max="10755" width="13" style="4" customWidth="1"/>
    <col min="10756" max="11009" width="11.42578125" style="4" customWidth="1"/>
    <col min="11010" max="11010" width="10.42578125" style="4" customWidth="1"/>
    <col min="11011" max="11011" width="13" style="4" customWidth="1"/>
    <col min="11012" max="11265" width="11.42578125" style="4" customWidth="1"/>
    <col min="11266" max="11266" width="10.42578125" style="4" customWidth="1"/>
    <col min="11267" max="11267" width="13" style="4" customWidth="1"/>
    <col min="11268" max="11521" width="11.42578125" style="4" customWidth="1"/>
    <col min="11522" max="11522" width="10.42578125" style="4" customWidth="1"/>
    <col min="11523" max="11523" width="13" style="4" customWidth="1"/>
    <col min="11524" max="11777" width="11.42578125" style="4" customWidth="1"/>
    <col min="11778" max="11778" width="10.42578125" style="4" customWidth="1"/>
    <col min="11779" max="11779" width="13" style="4" customWidth="1"/>
    <col min="11780" max="12033" width="11.42578125" style="4" customWidth="1"/>
    <col min="12034" max="12034" width="10.42578125" style="4" customWidth="1"/>
    <col min="12035" max="12035" width="13" style="4" customWidth="1"/>
    <col min="12036" max="12289" width="11.42578125" style="4" customWidth="1"/>
    <col min="12290" max="12290" width="10.42578125" style="4" customWidth="1"/>
    <col min="12291" max="12291" width="13" style="4" customWidth="1"/>
    <col min="12292" max="12545" width="11.42578125" style="4" customWidth="1"/>
    <col min="12546" max="12546" width="10.42578125" style="4" customWidth="1"/>
    <col min="12547" max="12547" width="13" style="4" customWidth="1"/>
    <col min="12548" max="12801" width="11.42578125" style="4" customWidth="1"/>
    <col min="12802" max="12802" width="10.42578125" style="4" customWidth="1"/>
    <col min="12803" max="12803" width="13" style="4" customWidth="1"/>
    <col min="12804" max="13057" width="11.42578125" style="4" customWidth="1"/>
    <col min="13058" max="13058" width="10.42578125" style="4" customWidth="1"/>
    <col min="13059" max="13059" width="13" style="4" customWidth="1"/>
    <col min="13060" max="13313" width="11.42578125" style="4" customWidth="1"/>
    <col min="13314" max="13314" width="10.42578125" style="4" customWidth="1"/>
    <col min="13315" max="13315" width="13" style="4" customWidth="1"/>
    <col min="13316" max="13569" width="11.42578125" style="4" customWidth="1"/>
    <col min="13570" max="13570" width="10.42578125" style="4" customWidth="1"/>
    <col min="13571" max="13571" width="13" style="4" customWidth="1"/>
    <col min="13572" max="13825" width="11.42578125" style="4" customWidth="1"/>
    <col min="13826" max="13826" width="10.42578125" style="4" customWidth="1"/>
    <col min="13827" max="13827" width="13" style="4" customWidth="1"/>
    <col min="13828" max="14081" width="11.42578125" style="4" customWidth="1"/>
    <col min="14082" max="14082" width="10.42578125" style="4" customWidth="1"/>
    <col min="14083" max="14083" width="13" style="4" customWidth="1"/>
    <col min="14084" max="14337" width="11.42578125" style="4" customWidth="1"/>
    <col min="14338" max="14338" width="10.42578125" style="4" customWidth="1"/>
    <col min="14339" max="14339" width="13" style="4" customWidth="1"/>
    <col min="14340" max="14593" width="11.42578125" style="4" customWidth="1"/>
    <col min="14594" max="14594" width="10.42578125" style="4" customWidth="1"/>
    <col min="14595" max="14595" width="13" style="4" customWidth="1"/>
    <col min="14596" max="14849" width="11.42578125" style="4" customWidth="1"/>
    <col min="14850" max="14850" width="10.42578125" style="4" customWidth="1"/>
    <col min="14851" max="14851" width="13" style="4" customWidth="1"/>
    <col min="14852" max="15105" width="11.42578125" style="4" customWidth="1"/>
    <col min="15106" max="15106" width="10.42578125" style="4" customWidth="1"/>
    <col min="15107" max="15107" width="13" style="4" customWidth="1"/>
    <col min="15108" max="15361" width="11.42578125" style="4" customWidth="1"/>
    <col min="15362" max="15362" width="10.42578125" style="4" customWidth="1"/>
    <col min="15363" max="15363" width="13" style="4" customWidth="1"/>
    <col min="15364" max="15617" width="11.42578125" style="4" customWidth="1"/>
    <col min="15618" max="15618" width="10.42578125" style="4" customWidth="1"/>
    <col min="15619" max="15619" width="13" style="4" customWidth="1"/>
    <col min="15620" max="15873" width="11.42578125" style="4" customWidth="1"/>
    <col min="15874" max="15874" width="10.42578125" style="4" customWidth="1"/>
    <col min="15875" max="15875" width="13" style="4" customWidth="1"/>
    <col min="15876" max="16129" width="11.42578125" style="4" customWidth="1"/>
    <col min="16130" max="16130" width="10.42578125" style="4" customWidth="1"/>
    <col min="16131" max="16131" width="13" style="4" customWidth="1"/>
    <col min="16132" max="16384" width="11.42578125" style="4" customWidth="1"/>
  </cols>
  <sheetData>
    <row r="1" spans="1:8" s="56" customFormat="1" ht="15" customHeight="1">
      <c r="A1" s="891" t="s">
        <v>2</v>
      </c>
      <c r="B1" s="892"/>
      <c r="C1" s="892"/>
      <c r="D1" s="892"/>
      <c r="E1" s="892"/>
      <c r="F1" s="892"/>
      <c r="G1" s="892"/>
      <c r="H1" s="893"/>
    </row>
    <row r="2" spans="1:8" s="56" customFormat="1" ht="5.25" customHeight="1" thickBot="1">
      <c r="A2" s="894"/>
      <c r="B2" s="895"/>
      <c r="C2" s="895"/>
      <c r="D2" s="895"/>
      <c r="E2" s="895"/>
      <c r="F2" s="895"/>
      <c r="G2" s="895"/>
      <c r="H2" s="896"/>
    </row>
    <row r="3" spans="1:8" s="56" customFormat="1" ht="56.25" customHeight="1" thickBot="1">
      <c r="A3" s="322"/>
      <c r="B3" s="907" t="s">
        <v>393</v>
      </c>
      <c r="C3" s="908"/>
      <c r="D3" s="908"/>
      <c r="E3" s="908"/>
      <c r="F3" s="908"/>
      <c r="G3" s="908"/>
      <c r="H3" s="909"/>
    </row>
    <row r="5" spans="1:8">
      <c r="A5" s="5"/>
      <c r="B5" s="6"/>
      <c r="C5" s="6"/>
      <c r="D5" s="52"/>
      <c r="E5" s="6"/>
      <c r="F5" s="6"/>
      <c r="G5" s="6"/>
      <c r="H5" s="6"/>
    </row>
    <row r="6" spans="1:8">
      <c r="A6" s="5"/>
      <c r="B6" s="7"/>
      <c r="C6" s="6"/>
      <c r="E6" s="7"/>
      <c r="G6" s="8"/>
      <c r="H6" s="122"/>
    </row>
    <row r="7" spans="1:8">
      <c r="A7" s="57" t="s">
        <v>302</v>
      </c>
      <c r="B7" s="906" t="s">
        <v>423</v>
      </c>
      <c r="C7" s="906"/>
      <c r="D7" s="906"/>
      <c r="E7" s="906"/>
      <c r="F7" s="906"/>
      <c r="G7" s="58" t="s">
        <v>30</v>
      </c>
      <c r="H7" s="61" t="s">
        <v>0</v>
      </c>
    </row>
    <row r="8" spans="1:8">
      <c r="A8" s="58"/>
      <c r="B8" s="906"/>
      <c r="C8" s="906"/>
      <c r="D8" s="906"/>
      <c r="E8" s="906"/>
      <c r="F8" s="906"/>
      <c r="G8" s="58"/>
      <c r="H8" s="56"/>
    </row>
    <row r="9" spans="1:8" ht="13.5" thickBot="1">
      <c r="A9" s="10" t="s">
        <v>3</v>
      </c>
      <c r="B9" s="10"/>
      <c r="C9" s="6"/>
      <c r="D9" s="52"/>
      <c r="E9" s="6"/>
      <c r="F9" s="6"/>
      <c r="G9" s="6"/>
      <c r="H9" s="6"/>
    </row>
    <row r="10" spans="1:8">
      <c r="A10" s="912" t="s">
        <v>4</v>
      </c>
      <c r="B10" s="913"/>
      <c r="C10" s="914"/>
      <c r="D10" s="11" t="s">
        <v>5</v>
      </c>
      <c r="E10" s="12" t="s">
        <v>6</v>
      </c>
      <c r="F10" s="11" t="s">
        <v>7</v>
      </c>
      <c r="G10" s="13" t="s">
        <v>8</v>
      </c>
      <c r="H10" s="14"/>
    </row>
    <row r="11" spans="1:8">
      <c r="A11" s="918" t="s">
        <v>305</v>
      </c>
      <c r="B11" s="919"/>
      <c r="C11" s="920"/>
      <c r="D11" s="15"/>
      <c r="E11" s="108"/>
      <c r="F11" s="16"/>
      <c r="G11" s="148">
        <f>H38*0.1</f>
        <v>4781.13</v>
      </c>
      <c r="H11" s="18"/>
    </row>
    <row r="12" spans="1:8">
      <c r="A12" s="918"/>
      <c r="B12" s="919"/>
      <c r="C12" s="920"/>
      <c r="D12" s="15"/>
      <c r="E12" s="108"/>
      <c r="F12" s="16"/>
      <c r="G12" s="148"/>
      <c r="H12" s="18"/>
    </row>
    <row r="13" spans="1:8">
      <c r="A13" s="918"/>
      <c r="B13" s="919"/>
      <c r="C13" s="920"/>
      <c r="D13" s="15"/>
      <c r="E13" s="108"/>
      <c r="F13" s="16"/>
      <c r="G13" s="50"/>
      <c r="H13" s="181"/>
    </row>
    <row r="14" spans="1:8" ht="13.5" thickBot="1">
      <c r="A14" s="921"/>
      <c r="B14" s="922"/>
      <c r="C14" s="923"/>
      <c r="D14" s="21"/>
      <c r="E14" s="22"/>
      <c r="F14" s="23"/>
      <c r="G14" s="24"/>
      <c r="H14" s="25"/>
    </row>
    <row r="15" spans="1:8" ht="13.5" thickBot="1">
      <c r="A15" s="6"/>
      <c r="B15" s="6"/>
      <c r="C15" s="6"/>
      <c r="D15" s="52"/>
      <c r="E15" s="6"/>
      <c r="F15" s="6"/>
      <c r="G15" s="26" t="s">
        <v>9</v>
      </c>
      <c r="H15" s="27">
        <f>SUM(G11:G14)</f>
        <v>4781.13</v>
      </c>
    </row>
    <row r="16" spans="1:8" ht="13.5" thickBot="1">
      <c r="A16" s="10" t="s">
        <v>10</v>
      </c>
      <c r="B16" s="10"/>
      <c r="C16" s="6"/>
      <c r="D16" s="52"/>
      <c r="E16" s="6"/>
      <c r="F16" s="6"/>
      <c r="G16" s="6"/>
      <c r="H16" s="6"/>
    </row>
    <row r="17" spans="1:11">
      <c r="A17" s="912" t="s">
        <v>4</v>
      </c>
      <c r="B17" s="913"/>
      <c r="C17" s="913"/>
      <c r="D17" s="48" t="s">
        <v>11</v>
      </c>
      <c r="E17" s="48" t="s">
        <v>12</v>
      </c>
      <c r="F17" s="48" t="s">
        <v>13</v>
      </c>
      <c r="G17" s="134" t="s">
        <v>8</v>
      </c>
      <c r="H17" s="14"/>
    </row>
    <row r="18" spans="1:11" ht="16.5" customHeight="1">
      <c r="A18" s="938" t="s">
        <v>310</v>
      </c>
      <c r="B18" s="939"/>
      <c r="C18" s="940"/>
      <c r="D18" s="118" t="str">
        <f>+'Despiece de Insumos'!C10</f>
        <v>M3</v>
      </c>
      <c r="E18" s="119">
        <f>'Cto 2000'!H40</f>
        <v>388547</v>
      </c>
      <c r="F18" s="16">
        <v>1</v>
      </c>
      <c r="G18" s="17">
        <f>+E18*F18</f>
        <v>388547</v>
      </c>
      <c r="H18" s="18"/>
    </row>
    <row r="19" spans="1:11" ht="15" customHeight="1">
      <c r="A19" s="915"/>
      <c r="B19" s="916"/>
      <c r="C19" s="917"/>
      <c r="D19" s="118"/>
      <c r="E19" s="119"/>
      <c r="F19" s="16"/>
      <c r="G19" s="17"/>
      <c r="H19" s="18"/>
    </row>
    <row r="20" spans="1:11">
      <c r="A20" s="29"/>
      <c r="B20" s="30"/>
      <c r="C20" s="30"/>
      <c r="D20" s="118"/>
      <c r="E20" s="119"/>
      <c r="F20" s="16"/>
      <c r="G20" s="17"/>
      <c r="H20" s="18"/>
    </row>
    <row r="21" spans="1:11">
      <c r="A21" s="29"/>
      <c r="B21" s="30"/>
      <c r="C21" s="30"/>
      <c r="D21" s="118"/>
      <c r="E21" s="119"/>
      <c r="F21" s="16"/>
      <c r="G21" s="17"/>
      <c r="H21" s="18"/>
    </row>
    <row r="22" spans="1:11" ht="13.5" thickBot="1">
      <c r="A22" s="37"/>
      <c r="B22" s="179"/>
      <c r="C22" s="38"/>
      <c r="D22" s="21"/>
      <c r="E22" s="22"/>
      <c r="F22" s="23"/>
      <c r="G22" s="121"/>
      <c r="H22" s="25"/>
    </row>
    <row r="23" spans="1:11" ht="13.5" thickBot="1">
      <c r="A23" s="6"/>
      <c r="B23" s="6"/>
      <c r="C23" s="6"/>
      <c r="D23" s="52"/>
      <c r="E23" s="6"/>
      <c r="F23" s="6"/>
      <c r="G23" s="26" t="s">
        <v>9</v>
      </c>
      <c r="H23" s="55">
        <f>SUM(G18:G22)</f>
        <v>388547</v>
      </c>
    </row>
    <row r="24" spans="1:11" ht="13.5" thickBot="1">
      <c r="A24" s="40" t="s">
        <v>14</v>
      </c>
      <c r="B24" s="40"/>
      <c r="C24" s="41"/>
      <c r="D24" s="52"/>
      <c r="E24" s="6"/>
      <c r="F24" s="6"/>
      <c r="G24" s="6"/>
      <c r="H24" s="6"/>
      <c r="K24" s="42"/>
    </row>
    <row r="25" spans="1:11">
      <c r="A25" s="43" t="s">
        <v>15</v>
      </c>
      <c r="B25" s="44"/>
      <c r="C25" s="45" t="s">
        <v>16</v>
      </c>
      <c r="D25" s="11" t="s">
        <v>17</v>
      </c>
      <c r="E25" s="11" t="s">
        <v>18</v>
      </c>
      <c r="F25" s="11" t="s">
        <v>19</v>
      </c>
      <c r="G25" s="46" t="s">
        <v>8</v>
      </c>
      <c r="H25" s="14"/>
    </row>
    <row r="26" spans="1:11">
      <c r="A26" s="35"/>
      <c r="B26" s="30"/>
      <c r="C26" s="109"/>
      <c r="D26" s="110"/>
      <c r="E26" s="112"/>
      <c r="F26" s="112"/>
      <c r="G26" s="47"/>
      <c r="H26" s="18"/>
    </row>
    <row r="27" spans="1:11">
      <c r="A27" s="35"/>
      <c r="B27" s="30"/>
      <c r="C27" s="113"/>
      <c r="D27" s="110"/>
      <c r="E27" s="111"/>
      <c r="F27" s="112"/>
      <c r="G27" s="47"/>
      <c r="H27" s="18"/>
    </row>
    <row r="28" spans="1:11" ht="13.5" thickBot="1">
      <c r="A28" s="37"/>
      <c r="B28" s="39"/>
      <c r="C28" s="21"/>
      <c r="D28" s="21"/>
      <c r="E28" s="23"/>
      <c r="F28" s="24"/>
      <c r="G28" s="21"/>
      <c r="H28" s="18"/>
    </row>
    <row r="29" spans="1:11" ht="13.5" thickBot="1">
      <c r="A29" s="6"/>
      <c r="B29" s="6"/>
      <c r="C29" s="6"/>
      <c r="D29" s="52"/>
      <c r="E29" s="6"/>
      <c r="F29" s="6"/>
      <c r="G29" s="26" t="s">
        <v>9</v>
      </c>
      <c r="H29" s="27">
        <f>SUM(G26:G28)</f>
        <v>0</v>
      </c>
    </row>
    <row r="30" spans="1:11" ht="13.5" thickBot="1">
      <c r="A30" s="40" t="s">
        <v>20</v>
      </c>
      <c r="B30" s="40"/>
      <c r="C30" s="6"/>
      <c r="D30" s="52"/>
      <c r="E30" s="6"/>
      <c r="F30" s="6"/>
      <c r="G30" s="6"/>
      <c r="H30" s="6"/>
    </row>
    <row r="31" spans="1:11">
      <c r="A31" s="43" t="s">
        <v>21</v>
      </c>
      <c r="B31" s="44"/>
      <c r="C31" s="48" t="s">
        <v>22</v>
      </c>
      <c r="D31" s="11" t="s">
        <v>23</v>
      </c>
      <c r="E31" s="12" t="s">
        <v>24</v>
      </c>
      <c r="F31" s="48" t="s">
        <v>7</v>
      </c>
      <c r="G31" s="13" t="s">
        <v>8</v>
      </c>
      <c r="H31" s="14"/>
    </row>
    <row r="32" spans="1:11">
      <c r="A32" s="136" t="str">
        <f>+'MANO DE OBRA'!B34</f>
        <v>Maestro</v>
      </c>
      <c r="B32" s="30"/>
      <c r="C32" s="135">
        <v>53124</v>
      </c>
      <c r="D32" s="174">
        <v>1.8</v>
      </c>
      <c r="E32" s="32">
        <f>+D32*C32</f>
        <v>95623.2</v>
      </c>
      <c r="F32" s="137">
        <v>6</v>
      </c>
      <c r="G32" s="141">
        <f>+E32/F32</f>
        <v>15937.199999999999</v>
      </c>
      <c r="H32" s="18"/>
      <c r="I32" s="28"/>
    </row>
    <row r="33" spans="1:9">
      <c r="A33" s="136" t="str">
        <f>+'MANO DE OBRA'!B35</f>
        <v>Oficial</v>
      </c>
      <c r="B33" s="30"/>
      <c r="C33" s="135">
        <v>42499</v>
      </c>
      <c r="D33" s="174">
        <v>1.8</v>
      </c>
      <c r="E33" s="32">
        <f t="shared" ref="E33" si="0">+D33*C33</f>
        <v>76498.2</v>
      </c>
      <c r="F33" s="137">
        <v>6</v>
      </c>
      <c r="G33" s="141">
        <f t="shared" ref="G33:G34" si="1">+E33/F33</f>
        <v>12749.699999999999</v>
      </c>
      <c r="H33" s="18"/>
      <c r="I33" s="28"/>
    </row>
    <row r="34" spans="1:9">
      <c r="A34" s="136" t="str">
        <f>+'MANO DE OBRA'!B36</f>
        <v>Obrero</v>
      </c>
      <c r="B34" s="115">
        <v>2</v>
      </c>
      <c r="C34" s="135">
        <v>31874</v>
      </c>
      <c r="D34" s="174">
        <v>1.8</v>
      </c>
      <c r="E34" s="32">
        <f>+D34*C34*B34</f>
        <v>114746.40000000001</v>
      </c>
      <c r="F34" s="137">
        <v>6</v>
      </c>
      <c r="G34" s="141">
        <f t="shared" si="1"/>
        <v>19124.400000000001</v>
      </c>
      <c r="H34" s="18"/>
      <c r="I34" s="28"/>
    </row>
    <row r="35" spans="1:9">
      <c r="A35" s="35"/>
      <c r="B35" s="30"/>
      <c r="C35" s="32"/>
      <c r="D35" s="15"/>
      <c r="E35" s="32"/>
      <c r="F35" s="16"/>
      <c r="G35" s="17"/>
      <c r="H35" s="18"/>
    </row>
    <row r="36" spans="1:9">
      <c r="A36" s="35"/>
      <c r="B36" s="30"/>
      <c r="C36" s="32"/>
      <c r="D36" s="15"/>
      <c r="E36" s="32"/>
      <c r="F36" s="16"/>
      <c r="G36" s="17"/>
      <c r="H36" s="18"/>
      <c r="I36" s="28"/>
    </row>
    <row r="37" spans="1:9" ht="13.5" thickBot="1">
      <c r="A37" s="37"/>
      <c r="B37" s="38"/>
      <c r="C37" s="22"/>
      <c r="D37" s="114"/>
      <c r="E37" s="51"/>
      <c r="F37" s="51"/>
      <c r="G37" s="41"/>
      <c r="H37" s="25"/>
    </row>
    <row r="38" spans="1:9" ht="13.5" thickBot="1">
      <c r="A38" s="6"/>
      <c r="B38" s="6"/>
      <c r="C38" s="6"/>
      <c r="D38" s="52"/>
      <c r="E38" s="6"/>
      <c r="F38" s="6"/>
      <c r="G38" s="26" t="s">
        <v>9</v>
      </c>
      <c r="H38" s="27">
        <f>SUM(G32:G37)</f>
        <v>47811.3</v>
      </c>
    </row>
    <row r="39" spans="1:9" ht="13.5" thickBot="1">
      <c r="A39" s="6"/>
      <c r="B39" s="6"/>
      <c r="C39" s="6"/>
      <c r="D39" s="52"/>
      <c r="E39" s="6"/>
      <c r="F39" s="6"/>
      <c r="G39" s="52"/>
      <c r="H39" s="6"/>
    </row>
    <row r="40" spans="1:9" ht="13.5" thickBot="1">
      <c r="A40" s="6"/>
      <c r="B40" s="6"/>
      <c r="C40" s="6"/>
      <c r="D40" s="52"/>
      <c r="E40" s="53" t="s">
        <v>25</v>
      </c>
      <c r="F40" s="54"/>
      <c r="G40" s="54"/>
      <c r="H40" s="27">
        <f>ROUND(H15+H23+H29+H38,0)</f>
        <v>441139</v>
      </c>
      <c r="I40" s="28"/>
    </row>
    <row r="45" spans="1:9" s="194" customFormat="1" ht="14.25">
      <c r="A45" s="195" t="s">
        <v>134</v>
      </c>
      <c r="B45" s="195"/>
      <c r="C45" s="195"/>
      <c r="D45" s="197"/>
      <c r="E45" s="196"/>
      <c r="F45" s="196"/>
    </row>
    <row r="46" spans="1:9" s="194" customFormat="1" ht="14.25">
      <c r="A46" s="195" t="s">
        <v>131</v>
      </c>
      <c r="B46" s="195"/>
      <c r="C46" s="195"/>
      <c r="D46" s="197"/>
      <c r="E46" s="196"/>
      <c r="F46" s="196"/>
    </row>
  </sheetData>
  <mergeCells count="11">
    <mergeCell ref="A18:C18"/>
    <mergeCell ref="A19:C19"/>
    <mergeCell ref="A11:C11"/>
    <mergeCell ref="A12:C12"/>
    <mergeCell ref="B7:F8"/>
    <mergeCell ref="A10:C10"/>
    <mergeCell ref="A1:H2"/>
    <mergeCell ref="B3:H3"/>
    <mergeCell ref="A13:C13"/>
    <mergeCell ref="A14:C14"/>
    <mergeCell ref="A17:C17"/>
  </mergeCells>
  <pageMargins left="0.82677165354330717" right="0.23622047244094491" top="0.9375" bottom="1.2395833333333333" header="0.31496062992125984" footer="0.31496062992125984"/>
  <pageSetup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Hoja17">
    <tabColor rgb="FFFF0000"/>
  </sheetPr>
  <dimension ref="A1:K45"/>
  <sheetViews>
    <sheetView view="pageBreakPreview" zoomScale="105" zoomScaleSheetLayoutView="105" workbookViewId="0">
      <selection activeCell="D17" sqref="D17"/>
    </sheetView>
  </sheetViews>
  <sheetFormatPr baseColWidth="10" defaultColWidth="9.28515625" defaultRowHeight="12.75"/>
  <cols>
    <col min="1" max="2" width="11.42578125" style="4" customWidth="1"/>
    <col min="3" max="3" width="13" style="4" customWidth="1"/>
    <col min="4" max="4" width="11.42578125" style="107" customWidth="1"/>
    <col min="5" max="8" width="11.42578125" style="4" customWidth="1"/>
    <col min="9" max="9" width="15.42578125" style="4" customWidth="1"/>
    <col min="10" max="257" width="11.42578125" style="4" customWidth="1"/>
    <col min="258" max="258" width="10.42578125" style="4" customWidth="1"/>
    <col min="259" max="259" width="13" style="4" customWidth="1"/>
    <col min="260" max="513" width="11.42578125" style="4" customWidth="1"/>
    <col min="514" max="514" width="10.42578125" style="4" customWidth="1"/>
    <col min="515" max="515" width="13" style="4" customWidth="1"/>
    <col min="516" max="769" width="11.42578125" style="4" customWidth="1"/>
    <col min="770" max="770" width="10.42578125" style="4" customWidth="1"/>
    <col min="771" max="771" width="13" style="4" customWidth="1"/>
    <col min="772" max="1025" width="11.42578125" style="4" customWidth="1"/>
    <col min="1026" max="1026" width="10.42578125" style="4" customWidth="1"/>
    <col min="1027" max="1027" width="13" style="4" customWidth="1"/>
    <col min="1028" max="1281" width="11.42578125" style="4" customWidth="1"/>
    <col min="1282" max="1282" width="10.42578125" style="4" customWidth="1"/>
    <col min="1283" max="1283" width="13" style="4" customWidth="1"/>
    <col min="1284" max="1537" width="11.42578125" style="4" customWidth="1"/>
    <col min="1538" max="1538" width="10.42578125" style="4" customWidth="1"/>
    <col min="1539" max="1539" width="13" style="4" customWidth="1"/>
    <col min="1540" max="1793" width="11.42578125" style="4" customWidth="1"/>
    <col min="1794" max="1794" width="10.42578125" style="4" customWidth="1"/>
    <col min="1795" max="1795" width="13" style="4" customWidth="1"/>
    <col min="1796" max="2049" width="11.42578125" style="4" customWidth="1"/>
    <col min="2050" max="2050" width="10.42578125" style="4" customWidth="1"/>
    <col min="2051" max="2051" width="13" style="4" customWidth="1"/>
    <col min="2052" max="2305" width="11.42578125" style="4" customWidth="1"/>
    <col min="2306" max="2306" width="10.42578125" style="4" customWidth="1"/>
    <col min="2307" max="2307" width="13" style="4" customWidth="1"/>
    <col min="2308" max="2561" width="11.42578125" style="4" customWidth="1"/>
    <col min="2562" max="2562" width="10.42578125" style="4" customWidth="1"/>
    <col min="2563" max="2563" width="13" style="4" customWidth="1"/>
    <col min="2564" max="2817" width="11.42578125" style="4" customWidth="1"/>
    <col min="2818" max="2818" width="10.42578125" style="4" customWidth="1"/>
    <col min="2819" max="2819" width="13" style="4" customWidth="1"/>
    <col min="2820" max="3073" width="11.42578125" style="4" customWidth="1"/>
    <col min="3074" max="3074" width="10.42578125" style="4" customWidth="1"/>
    <col min="3075" max="3075" width="13" style="4" customWidth="1"/>
    <col min="3076" max="3329" width="11.42578125" style="4" customWidth="1"/>
    <col min="3330" max="3330" width="10.42578125" style="4" customWidth="1"/>
    <col min="3331" max="3331" width="13" style="4" customWidth="1"/>
    <col min="3332" max="3585" width="11.42578125" style="4" customWidth="1"/>
    <col min="3586" max="3586" width="10.42578125" style="4" customWidth="1"/>
    <col min="3587" max="3587" width="13" style="4" customWidth="1"/>
    <col min="3588" max="3841" width="11.42578125" style="4" customWidth="1"/>
    <col min="3842" max="3842" width="10.42578125" style="4" customWidth="1"/>
    <col min="3843" max="3843" width="13" style="4" customWidth="1"/>
    <col min="3844" max="4097" width="11.42578125" style="4" customWidth="1"/>
    <col min="4098" max="4098" width="10.42578125" style="4" customWidth="1"/>
    <col min="4099" max="4099" width="13" style="4" customWidth="1"/>
    <col min="4100" max="4353" width="11.42578125" style="4" customWidth="1"/>
    <col min="4354" max="4354" width="10.42578125" style="4" customWidth="1"/>
    <col min="4355" max="4355" width="13" style="4" customWidth="1"/>
    <col min="4356" max="4609" width="11.42578125" style="4" customWidth="1"/>
    <col min="4610" max="4610" width="10.42578125" style="4" customWidth="1"/>
    <col min="4611" max="4611" width="13" style="4" customWidth="1"/>
    <col min="4612" max="4865" width="11.42578125" style="4" customWidth="1"/>
    <col min="4866" max="4866" width="10.42578125" style="4" customWidth="1"/>
    <col min="4867" max="4867" width="13" style="4" customWidth="1"/>
    <col min="4868" max="5121" width="11.42578125" style="4" customWidth="1"/>
    <col min="5122" max="5122" width="10.42578125" style="4" customWidth="1"/>
    <col min="5123" max="5123" width="13" style="4" customWidth="1"/>
    <col min="5124" max="5377" width="11.42578125" style="4" customWidth="1"/>
    <col min="5378" max="5378" width="10.42578125" style="4" customWidth="1"/>
    <col min="5379" max="5379" width="13" style="4" customWidth="1"/>
    <col min="5380" max="5633" width="11.42578125" style="4" customWidth="1"/>
    <col min="5634" max="5634" width="10.42578125" style="4" customWidth="1"/>
    <col min="5635" max="5635" width="13" style="4" customWidth="1"/>
    <col min="5636" max="5889" width="11.42578125" style="4" customWidth="1"/>
    <col min="5890" max="5890" width="10.42578125" style="4" customWidth="1"/>
    <col min="5891" max="5891" width="13" style="4" customWidth="1"/>
    <col min="5892" max="6145" width="11.42578125" style="4" customWidth="1"/>
    <col min="6146" max="6146" width="10.42578125" style="4" customWidth="1"/>
    <col min="6147" max="6147" width="13" style="4" customWidth="1"/>
    <col min="6148" max="6401" width="11.42578125" style="4" customWidth="1"/>
    <col min="6402" max="6402" width="10.42578125" style="4" customWidth="1"/>
    <col min="6403" max="6403" width="13" style="4" customWidth="1"/>
    <col min="6404" max="6657" width="11.42578125" style="4" customWidth="1"/>
    <col min="6658" max="6658" width="10.42578125" style="4" customWidth="1"/>
    <col min="6659" max="6659" width="13" style="4" customWidth="1"/>
    <col min="6660" max="6913" width="11.42578125" style="4" customWidth="1"/>
    <col min="6914" max="6914" width="10.42578125" style="4" customWidth="1"/>
    <col min="6915" max="6915" width="13" style="4" customWidth="1"/>
    <col min="6916" max="7169" width="11.42578125" style="4" customWidth="1"/>
    <col min="7170" max="7170" width="10.42578125" style="4" customWidth="1"/>
    <col min="7171" max="7171" width="13" style="4" customWidth="1"/>
    <col min="7172" max="7425" width="11.42578125" style="4" customWidth="1"/>
    <col min="7426" max="7426" width="10.42578125" style="4" customWidth="1"/>
    <col min="7427" max="7427" width="13" style="4" customWidth="1"/>
    <col min="7428" max="7681" width="11.42578125" style="4" customWidth="1"/>
    <col min="7682" max="7682" width="10.42578125" style="4" customWidth="1"/>
    <col min="7683" max="7683" width="13" style="4" customWidth="1"/>
    <col min="7684" max="7937" width="11.42578125" style="4" customWidth="1"/>
    <col min="7938" max="7938" width="10.42578125" style="4" customWidth="1"/>
    <col min="7939" max="7939" width="13" style="4" customWidth="1"/>
    <col min="7940" max="8193" width="11.42578125" style="4" customWidth="1"/>
    <col min="8194" max="8194" width="10.42578125" style="4" customWidth="1"/>
    <col min="8195" max="8195" width="13" style="4" customWidth="1"/>
    <col min="8196" max="8449" width="11.42578125" style="4" customWidth="1"/>
    <col min="8450" max="8450" width="10.42578125" style="4" customWidth="1"/>
    <col min="8451" max="8451" width="13" style="4" customWidth="1"/>
    <col min="8452" max="8705" width="11.42578125" style="4" customWidth="1"/>
    <col min="8706" max="8706" width="10.42578125" style="4" customWidth="1"/>
    <col min="8707" max="8707" width="13" style="4" customWidth="1"/>
    <col min="8708" max="8961" width="11.42578125" style="4" customWidth="1"/>
    <col min="8962" max="8962" width="10.42578125" style="4" customWidth="1"/>
    <col min="8963" max="8963" width="13" style="4" customWidth="1"/>
    <col min="8964" max="9217" width="11.42578125" style="4" customWidth="1"/>
    <col min="9218" max="9218" width="10.42578125" style="4" customWidth="1"/>
    <col min="9219" max="9219" width="13" style="4" customWidth="1"/>
    <col min="9220" max="9473" width="11.42578125" style="4" customWidth="1"/>
    <col min="9474" max="9474" width="10.42578125" style="4" customWidth="1"/>
    <col min="9475" max="9475" width="13" style="4" customWidth="1"/>
    <col min="9476" max="9729" width="11.42578125" style="4" customWidth="1"/>
    <col min="9730" max="9730" width="10.42578125" style="4" customWidth="1"/>
    <col min="9731" max="9731" width="13" style="4" customWidth="1"/>
    <col min="9732" max="9985" width="11.42578125" style="4" customWidth="1"/>
    <col min="9986" max="9986" width="10.42578125" style="4" customWidth="1"/>
    <col min="9987" max="9987" width="13" style="4" customWidth="1"/>
    <col min="9988" max="10241" width="11.42578125" style="4" customWidth="1"/>
    <col min="10242" max="10242" width="10.42578125" style="4" customWidth="1"/>
    <col min="10243" max="10243" width="13" style="4" customWidth="1"/>
    <col min="10244" max="10497" width="11.42578125" style="4" customWidth="1"/>
    <col min="10498" max="10498" width="10.42578125" style="4" customWidth="1"/>
    <col min="10499" max="10499" width="13" style="4" customWidth="1"/>
    <col min="10500" max="10753" width="11.42578125" style="4" customWidth="1"/>
    <col min="10754" max="10754" width="10.42578125" style="4" customWidth="1"/>
    <col min="10755" max="10755" width="13" style="4" customWidth="1"/>
    <col min="10756" max="11009" width="11.42578125" style="4" customWidth="1"/>
    <col min="11010" max="11010" width="10.42578125" style="4" customWidth="1"/>
    <col min="11011" max="11011" width="13" style="4" customWidth="1"/>
    <col min="11012" max="11265" width="11.42578125" style="4" customWidth="1"/>
    <col min="11266" max="11266" width="10.42578125" style="4" customWidth="1"/>
    <col min="11267" max="11267" width="13" style="4" customWidth="1"/>
    <col min="11268" max="11521" width="11.42578125" style="4" customWidth="1"/>
    <col min="11522" max="11522" width="10.42578125" style="4" customWidth="1"/>
    <col min="11523" max="11523" width="13" style="4" customWidth="1"/>
    <col min="11524" max="11777" width="11.42578125" style="4" customWidth="1"/>
    <col min="11778" max="11778" width="10.42578125" style="4" customWidth="1"/>
    <col min="11779" max="11779" width="13" style="4" customWidth="1"/>
    <col min="11780" max="12033" width="11.42578125" style="4" customWidth="1"/>
    <col min="12034" max="12034" width="10.42578125" style="4" customWidth="1"/>
    <col min="12035" max="12035" width="13" style="4" customWidth="1"/>
    <col min="12036" max="12289" width="11.42578125" style="4" customWidth="1"/>
    <col min="12290" max="12290" width="10.42578125" style="4" customWidth="1"/>
    <col min="12291" max="12291" width="13" style="4" customWidth="1"/>
    <col min="12292" max="12545" width="11.42578125" style="4" customWidth="1"/>
    <col min="12546" max="12546" width="10.42578125" style="4" customWidth="1"/>
    <col min="12547" max="12547" width="13" style="4" customWidth="1"/>
    <col min="12548" max="12801" width="11.42578125" style="4" customWidth="1"/>
    <col min="12802" max="12802" width="10.42578125" style="4" customWidth="1"/>
    <col min="12803" max="12803" width="13" style="4" customWidth="1"/>
    <col min="12804" max="13057" width="11.42578125" style="4" customWidth="1"/>
    <col min="13058" max="13058" width="10.42578125" style="4" customWidth="1"/>
    <col min="13059" max="13059" width="13" style="4" customWidth="1"/>
    <col min="13060" max="13313" width="11.42578125" style="4" customWidth="1"/>
    <col min="13314" max="13314" width="10.42578125" style="4" customWidth="1"/>
    <col min="13315" max="13315" width="13" style="4" customWidth="1"/>
    <col min="13316" max="13569" width="11.42578125" style="4" customWidth="1"/>
    <col min="13570" max="13570" width="10.42578125" style="4" customWidth="1"/>
    <col min="13571" max="13571" width="13" style="4" customWidth="1"/>
    <col min="13572" max="13825" width="11.42578125" style="4" customWidth="1"/>
    <col min="13826" max="13826" width="10.42578125" style="4" customWidth="1"/>
    <col min="13827" max="13827" width="13" style="4" customWidth="1"/>
    <col min="13828" max="14081" width="11.42578125" style="4" customWidth="1"/>
    <col min="14082" max="14082" width="10.42578125" style="4" customWidth="1"/>
    <col min="14083" max="14083" width="13" style="4" customWidth="1"/>
    <col min="14084" max="14337" width="11.42578125" style="4" customWidth="1"/>
    <col min="14338" max="14338" width="10.42578125" style="4" customWidth="1"/>
    <col min="14339" max="14339" width="13" style="4" customWidth="1"/>
    <col min="14340" max="14593" width="11.42578125" style="4" customWidth="1"/>
    <col min="14594" max="14594" width="10.42578125" style="4" customWidth="1"/>
    <col min="14595" max="14595" width="13" style="4" customWidth="1"/>
    <col min="14596" max="14849" width="11.42578125" style="4" customWidth="1"/>
    <col min="14850" max="14850" width="10.42578125" style="4" customWidth="1"/>
    <col min="14851" max="14851" width="13" style="4" customWidth="1"/>
    <col min="14852" max="15105" width="11.42578125" style="4" customWidth="1"/>
    <col min="15106" max="15106" width="10.42578125" style="4" customWidth="1"/>
    <col min="15107" max="15107" width="13" style="4" customWidth="1"/>
    <col min="15108" max="15361" width="11.42578125" style="4" customWidth="1"/>
    <col min="15362" max="15362" width="10.42578125" style="4" customWidth="1"/>
    <col min="15363" max="15363" width="13" style="4" customWidth="1"/>
    <col min="15364" max="15617" width="11.42578125" style="4" customWidth="1"/>
    <col min="15618" max="15618" width="10.42578125" style="4" customWidth="1"/>
    <col min="15619" max="15619" width="13" style="4" customWidth="1"/>
    <col min="15620" max="15873" width="11.42578125" style="4" customWidth="1"/>
    <col min="15874" max="15874" width="10.42578125" style="4" customWidth="1"/>
    <col min="15875" max="15875" width="13" style="4" customWidth="1"/>
    <col min="15876" max="16129" width="11.42578125" style="4" customWidth="1"/>
    <col min="16130" max="16130" width="10.42578125" style="4" customWidth="1"/>
    <col min="16131" max="16131" width="13" style="4" customWidth="1"/>
    <col min="16132" max="16384" width="11.42578125" style="4" customWidth="1"/>
  </cols>
  <sheetData>
    <row r="1" spans="1:9" s="56" customFormat="1" ht="15" customHeight="1">
      <c r="A1" s="891" t="s">
        <v>2</v>
      </c>
      <c r="B1" s="892"/>
      <c r="C1" s="892"/>
      <c r="D1" s="892"/>
      <c r="E1" s="892"/>
      <c r="F1" s="892"/>
      <c r="G1" s="892"/>
      <c r="H1" s="893"/>
    </row>
    <row r="2" spans="1:9" s="56" customFormat="1" ht="5.25" customHeight="1" thickBot="1">
      <c r="A2" s="894"/>
      <c r="B2" s="895"/>
      <c r="C2" s="895"/>
      <c r="D2" s="895"/>
      <c r="E2" s="895"/>
      <c r="F2" s="895"/>
      <c r="G2" s="895"/>
      <c r="H2" s="896"/>
    </row>
    <row r="3" spans="1:9" s="56" customFormat="1" ht="56.25" customHeight="1" thickBot="1">
      <c r="A3" s="322"/>
      <c r="B3" s="907" t="s">
        <v>393</v>
      </c>
      <c r="C3" s="908"/>
      <c r="D3" s="908"/>
      <c r="E3" s="908"/>
      <c r="F3" s="908"/>
      <c r="G3" s="908"/>
      <c r="H3" s="909"/>
    </row>
    <row r="5" spans="1:9">
      <c r="A5" s="5"/>
      <c r="B5" s="7"/>
      <c r="C5" s="6"/>
      <c r="E5" s="7"/>
      <c r="G5" s="8"/>
      <c r="H5" s="9"/>
    </row>
    <row r="6" spans="1:9">
      <c r="A6" s="57" t="s">
        <v>303</v>
      </c>
      <c r="B6" s="906" t="s">
        <v>420</v>
      </c>
      <c r="C6" s="906"/>
      <c r="D6" s="906"/>
      <c r="E6" s="906"/>
      <c r="F6" s="906"/>
      <c r="G6" s="58" t="s">
        <v>30</v>
      </c>
      <c r="H6" s="61" t="s">
        <v>0</v>
      </c>
    </row>
    <row r="7" spans="1:9">
      <c r="A7" s="58"/>
      <c r="B7" s="906"/>
      <c r="C7" s="906"/>
      <c r="D7" s="906"/>
      <c r="E7" s="906"/>
      <c r="F7" s="906"/>
      <c r="G7" s="58"/>
      <c r="H7" s="56"/>
    </row>
    <row r="8" spans="1:9" ht="13.5" thickBot="1">
      <c r="A8" s="10" t="s">
        <v>3</v>
      </c>
      <c r="B8" s="10"/>
      <c r="C8" s="6"/>
      <c r="D8" s="52"/>
      <c r="E8" s="6"/>
      <c r="F8" s="6"/>
      <c r="G8" s="6"/>
      <c r="H8" s="6"/>
    </row>
    <row r="9" spans="1:9">
      <c r="A9" s="912" t="s">
        <v>4</v>
      </c>
      <c r="B9" s="913"/>
      <c r="C9" s="914"/>
      <c r="D9" s="11" t="s">
        <v>5</v>
      </c>
      <c r="E9" s="12" t="s">
        <v>6</v>
      </c>
      <c r="F9" s="11" t="s">
        <v>7</v>
      </c>
      <c r="G9" s="13" t="s">
        <v>8</v>
      </c>
      <c r="H9" s="14"/>
    </row>
    <row r="10" spans="1:9">
      <c r="A10" s="918" t="s">
        <v>416</v>
      </c>
      <c r="B10" s="919"/>
      <c r="C10" s="920"/>
      <c r="D10" s="416"/>
      <c r="E10" s="108">
        <v>6500</v>
      </c>
      <c r="F10" s="16">
        <v>2</v>
      </c>
      <c r="G10" s="17">
        <f>E10/F10</f>
        <v>3250</v>
      </c>
      <c r="H10" s="18"/>
    </row>
    <row r="11" spans="1:9">
      <c r="A11" s="918" t="str">
        <f>'Despiece de Insumos'!B27</f>
        <v>VIBRADOR DE CONCRETO</v>
      </c>
      <c r="B11" s="919"/>
      <c r="C11" s="920"/>
      <c r="D11" s="15"/>
      <c r="E11" s="108">
        <f>EQUIPO!D9</f>
        <v>8000</v>
      </c>
      <c r="F11" s="16">
        <v>1</v>
      </c>
      <c r="G11" s="17">
        <f>E11/F11</f>
        <v>8000</v>
      </c>
      <c r="H11" s="18"/>
    </row>
    <row r="12" spans="1:9">
      <c r="A12" s="918" t="s">
        <v>305</v>
      </c>
      <c r="B12" s="919"/>
      <c r="C12" s="920"/>
      <c r="D12" s="15"/>
      <c r="E12" s="108"/>
      <c r="F12" s="16"/>
      <c r="G12" s="17">
        <f>H37*0.1</f>
        <v>6258.9272727272728</v>
      </c>
      <c r="H12" s="18"/>
    </row>
    <row r="13" spans="1:9">
      <c r="A13" s="334"/>
      <c r="B13" s="335"/>
      <c r="C13" s="336"/>
      <c r="D13" s="19"/>
      <c r="E13" s="337"/>
      <c r="F13" s="123"/>
      <c r="G13" s="127"/>
      <c r="H13" s="18"/>
    </row>
    <row r="14" spans="1:9" ht="13.5" thickBot="1">
      <c r="A14" s="921"/>
      <c r="B14" s="922"/>
      <c r="C14" s="923"/>
      <c r="D14" s="21"/>
      <c r="E14" s="22"/>
      <c r="F14" s="23"/>
      <c r="G14" s="121"/>
      <c r="H14" s="25"/>
    </row>
    <row r="15" spans="1:9" ht="13.5" thickBot="1">
      <c r="A15" s="6"/>
      <c r="B15" s="6"/>
      <c r="C15" s="6"/>
      <c r="D15" s="52"/>
      <c r="E15" s="6"/>
      <c r="F15" s="6"/>
      <c r="G15" s="26" t="s">
        <v>9</v>
      </c>
      <c r="H15" s="27">
        <f>SUM(G10:G14)</f>
        <v>17508.927272727273</v>
      </c>
      <c r="I15" s="28"/>
    </row>
    <row r="16" spans="1:9" ht="13.5" thickBot="1">
      <c r="A16" s="10" t="s">
        <v>10</v>
      </c>
      <c r="B16" s="10"/>
      <c r="C16" s="6"/>
      <c r="D16" s="52"/>
      <c r="E16" s="6"/>
      <c r="F16" s="6"/>
      <c r="G16" s="6"/>
      <c r="H16" s="6"/>
    </row>
    <row r="17" spans="1:11">
      <c r="A17" s="912" t="s">
        <v>4</v>
      </c>
      <c r="B17" s="913"/>
      <c r="C17" s="914"/>
      <c r="D17" s="11" t="s">
        <v>11</v>
      </c>
      <c r="E17" s="11" t="s">
        <v>12</v>
      </c>
      <c r="F17" s="11" t="s">
        <v>13</v>
      </c>
      <c r="G17" s="46" t="s">
        <v>8</v>
      </c>
      <c r="H17" s="120"/>
    </row>
    <row r="18" spans="1:11" ht="16.5" customHeight="1">
      <c r="A18" s="938" t="s">
        <v>312</v>
      </c>
      <c r="B18" s="939"/>
      <c r="C18" s="940"/>
      <c r="D18" s="118" t="str">
        <f>+'Despiece de Insumos'!C10</f>
        <v>M3</v>
      </c>
      <c r="E18" s="119">
        <f>'Cto 3000'!H39</f>
        <v>433561</v>
      </c>
      <c r="F18" s="16">
        <v>1</v>
      </c>
      <c r="G18" s="50">
        <f>+E18*F18</f>
        <v>433561</v>
      </c>
      <c r="H18" s="116"/>
    </row>
    <row r="19" spans="1:11" ht="18" customHeight="1">
      <c r="A19" s="915" t="s">
        <v>314</v>
      </c>
      <c r="B19" s="916"/>
      <c r="C19" s="917"/>
      <c r="D19" s="118" t="str">
        <f>+'Despiece de Insumos'!C11</f>
        <v>M3</v>
      </c>
      <c r="E19" s="119">
        <f>'Despiece de Insumos'!D30</f>
        <v>225000</v>
      </c>
      <c r="F19" s="16">
        <v>0.3</v>
      </c>
      <c r="G19" s="50">
        <f>+E19*F19</f>
        <v>67500</v>
      </c>
      <c r="H19" s="116"/>
    </row>
    <row r="20" spans="1:11">
      <c r="A20" s="29"/>
      <c r="B20" s="30"/>
      <c r="C20" s="30"/>
      <c r="D20" s="118"/>
      <c r="E20" s="119"/>
      <c r="F20" s="32"/>
      <c r="G20" s="50"/>
      <c r="H20" s="116"/>
    </row>
    <row r="21" spans="1:11">
      <c r="A21" s="29"/>
      <c r="B21" s="30"/>
      <c r="C21" s="30"/>
      <c r="D21" s="118"/>
      <c r="E21" s="119"/>
      <c r="F21" s="32"/>
      <c r="G21" s="50"/>
      <c r="H21" s="116"/>
    </row>
    <row r="22" spans="1:11" ht="13.5" thickBot="1">
      <c r="A22" s="37"/>
      <c r="B22" s="179"/>
      <c r="C22" s="38"/>
      <c r="D22" s="21"/>
      <c r="E22" s="22"/>
      <c r="F22" s="23"/>
      <c r="G22" s="121"/>
      <c r="H22" s="117"/>
    </row>
    <row r="23" spans="1:11" ht="13.5" thickBot="1">
      <c r="A23" s="6"/>
      <c r="B23" s="6"/>
      <c r="C23" s="6"/>
      <c r="D23" s="52"/>
      <c r="E23" s="6"/>
      <c r="F23" s="6"/>
      <c r="G23" s="26" t="s">
        <v>9</v>
      </c>
      <c r="H23" s="27">
        <f>SUM(G18:G22)</f>
        <v>501061</v>
      </c>
      <c r="I23" s="28"/>
    </row>
    <row r="24" spans="1:11" ht="13.5" thickBot="1">
      <c r="A24" s="40" t="s">
        <v>14</v>
      </c>
      <c r="B24" s="40"/>
      <c r="C24" s="41"/>
      <c r="D24" s="52"/>
      <c r="E24" s="6"/>
      <c r="F24" s="6"/>
      <c r="G24" s="6"/>
      <c r="H24" s="6"/>
      <c r="K24" s="42"/>
    </row>
    <row r="25" spans="1:11">
      <c r="A25" s="43" t="s">
        <v>15</v>
      </c>
      <c r="B25" s="44"/>
      <c r="C25" s="45" t="s">
        <v>16</v>
      </c>
      <c r="D25" s="11" t="s">
        <v>17</v>
      </c>
      <c r="E25" s="11" t="s">
        <v>18</v>
      </c>
      <c r="F25" s="11" t="s">
        <v>19</v>
      </c>
      <c r="G25" s="46" t="s">
        <v>8</v>
      </c>
      <c r="H25" s="14"/>
    </row>
    <row r="26" spans="1:11">
      <c r="A26" s="35"/>
      <c r="B26" s="30"/>
      <c r="C26" s="113"/>
      <c r="D26" s="110"/>
      <c r="E26" s="112"/>
      <c r="F26" s="16"/>
      <c r="G26" s="47"/>
      <c r="H26" s="18"/>
    </row>
    <row r="27" spans="1:11" ht="13.5" thickBot="1">
      <c r="A27" s="37"/>
      <c r="B27" s="39"/>
      <c r="C27" s="21"/>
      <c r="D27" s="21"/>
      <c r="E27" s="23"/>
      <c r="F27" s="24"/>
      <c r="G27" s="21"/>
      <c r="H27" s="18"/>
    </row>
    <row r="28" spans="1:11" ht="13.5" thickBot="1">
      <c r="A28" s="6"/>
      <c r="B28" s="6"/>
      <c r="C28" s="6"/>
      <c r="D28" s="52"/>
      <c r="E28" s="6"/>
      <c r="F28" s="6"/>
      <c r="G28" s="26" t="s">
        <v>9</v>
      </c>
      <c r="H28" s="27">
        <f>SUM(G26:G27)</f>
        <v>0</v>
      </c>
      <c r="I28" s="28"/>
    </row>
    <row r="29" spans="1:11" ht="13.5" thickBot="1">
      <c r="A29" s="40" t="s">
        <v>20</v>
      </c>
      <c r="B29" s="40"/>
      <c r="C29" s="6"/>
      <c r="D29" s="52"/>
      <c r="E29" s="6"/>
      <c r="F29" s="6"/>
      <c r="G29" s="6"/>
      <c r="H29" s="6"/>
    </row>
    <row r="30" spans="1:11">
      <c r="A30" s="43" t="s">
        <v>21</v>
      </c>
      <c r="B30" s="44"/>
      <c r="C30" s="48" t="s">
        <v>22</v>
      </c>
      <c r="D30" s="11" t="s">
        <v>23</v>
      </c>
      <c r="E30" s="12" t="s">
        <v>24</v>
      </c>
      <c r="F30" s="48" t="s">
        <v>7</v>
      </c>
      <c r="G30" s="13" t="s">
        <v>8</v>
      </c>
      <c r="H30" s="14"/>
    </row>
    <row r="31" spans="1:11">
      <c r="A31" s="35" t="s">
        <v>53</v>
      </c>
      <c r="B31" s="30"/>
      <c r="C31" s="135">
        <v>53124</v>
      </c>
      <c r="D31" s="172">
        <v>1.8</v>
      </c>
      <c r="E31" s="32">
        <f>+D31*C31</f>
        <v>95623.2</v>
      </c>
      <c r="F31" s="16">
        <v>5.5</v>
      </c>
      <c r="G31" s="141">
        <f>+E31/F31</f>
        <v>17386.036363636362</v>
      </c>
      <c r="H31" s="18"/>
      <c r="I31" s="28"/>
    </row>
    <row r="32" spans="1:11">
      <c r="A32" s="35" t="s">
        <v>31</v>
      </c>
      <c r="B32" s="30"/>
      <c r="C32" s="135">
        <v>42499</v>
      </c>
      <c r="D32" s="172">
        <v>1.8</v>
      </c>
      <c r="E32" s="32">
        <f t="shared" ref="E32" si="0">+D32*C32</f>
        <v>76498.2</v>
      </c>
      <c r="F32" s="16">
        <v>5.5</v>
      </c>
      <c r="G32" s="141">
        <f t="shared" ref="G32:G33" si="1">+E32/F32</f>
        <v>13908.763636363636</v>
      </c>
      <c r="H32" s="18"/>
      <c r="I32" s="28"/>
    </row>
    <row r="33" spans="1:9">
      <c r="A33" s="35" t="s">
        <v>54</v>
      </c>
      <c r="B33" s="115">
        <v>3</v>
      </c>
      <c r="C33" s="135">
        <v>31874</v>
      </c>
      <c r="D33" s="172">
        <v>1.8</v>
      </c>
      <c r="E33" s="32">
        <f>+D33*C33*B33</f>
        <v>172119.6</v>
      </c>
      <c r="F33" s="16">
        <v>5.5</v>
      </c>
      <c r="G33" s="141">
        <f t="shared" si="1"/>
        <v>31294.472727272729</v>
      </c>
      <c r="H33" s="18"/>
      <c r="I33" s="28"/>
    </row>
    <row r="34" spans="1:9">
      <c r="A34" s="35"/>
      <c r="B34" s="30"/>
      <c r="C34" s="32"/>
      <c r="D34" s="15"/>
      <c r="E34" s="32"/>
      <c r="F34" s="16"/>
      <c r="G34" s="17"/>
      <c r="H34" s="18"/>
    </row>
    <row r="35" spans="1:9">
      <c r="A35" s="35"/>
      <c r="B35" s="30"/>
      <c r="C35" s="32"/>
      <c r="D35" s="15"/>
      <c r="E35" s="32"/>
      <c r="F35" s="16"/>
      <c r="G35" s="17"/>
      <c r="H35" s="18"/>
      <c r="I35" s="28"/>
    </row>
    <row r="36" spans="1:9" ht="13.5" thickBot="1">
      <c r="A36" s="37"/>
      <c r="B36" s="38"/>
      <c r="C36" s="22"/>
      <c r="D36" s="114"/>
      <c r="E36" s="51"/>
      <c r="F36" s="51"/>
      <c r="G36" s="41"/>
      <c r="H36" s="25"/>
    </row>
    <row r="37" spans="1:9" ht="13.5" thickBot="1">
      <c r="A37" s="6"/>
      <c r="B37" s="6"/>
      <c r="C37" s="6"/>
      <c r="D37" s="52"/>
      <c r="E37" s="6"/>
      <c r="F37" s="6"/>
      <c r="G37" s="26" t="s">
        <v>9</v>
      </c>
      <c r="H37" s="27">
        <f>SUM(G31:G36)</f>
        <v>62589.272727272721</v>
      </c>
    </row>
    <row r="38" spans="1:9" ht="13.5" thickBot="1">
      <c r="A38" s="6"/>
      <c r="B38" s="6"/>
      <c r="C38" s="6"/>
      <c r="D38" s="52"/>
      <c r="E38" s="6"/>
      <c r="F38" s="6"/>
      <c r="G38" s="52"/>
      <c r="H38" s="6"/>
    </row>
    <row r="39" spans="1:9" ht="13.5" thickBot="1">
      <c r="A39" s="6"/>
      <c r="B39" s="6"/>
      <c r="C39" s="6"/>
      <c r="D39" s="52"/>
      <c r="E39" s="53" t="s">
        <v>25</v>
      </c>
      <c r="F39" s="54"/>
      <c r="G39" s="54"/>
      <c r="H39" s="27">
        <f>ROUND(H15+H23+H28+H37,0)</f>
        <v>581159</v>
      </c>
      <c r="I39" s="28"/>
    </row>
    <row r="44" spans="1:9" s="194" customFormat="1" ht="14.25">
      <c r="A44" s="195" t="s">
        <v>134</v>
      </c>
      <c r="B44" s="195"/>
      <c r="C44" s="195"/>
      <c r="D44" s="197"/>
      <c r="E44" s="196"/>
      <c r="F44" s="196"/>
    </row>
    <row r="45" spans="1:9" s="194" customFormat="1" ht="14.25">
      <c r="A45" s="195" t="s">
        <v>131</v>
      </c>
      <c r="B45" s="195"/>
      <c r="C45" s="195"/>
      <c r="D45" s="197"/>
      <c r="E45" s="196"/>
      <c r="F45" s="196"/>
    </row>
  </sheetData>
  <mergeCells count="11">
    <mergeCell ref="A14:C14"/>
    <mergeCell ref="A17:C17"/>
    <mergeCell ref="A18:C18"/>
    <mergeCell ref="A19:C19"/>
    <mergeCell ref="A12:C12"/>
    <mergeCell ref="A1:H2"/>
    <mergeCell ref="B3:H3"/>
    <mergeCell ref="A9:C9"/>
    <mergeCell ref="B6:F7"/>
    <mergeCell ref="A11:C11"/>
    <mergeCell ref="A10:C10"/>
  </mergeCells>
  <pageMargins left="0.82677165354330717" right="0.23622047244094491" top="1.03125" bottom="1.2395833333333333" header="0.31496062992125984" footer="0.31496062992125984"/>
  <pageSetup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Hoja18">
    <tabColor rgb="FFFF0000"/>
    <pageSetUpPr fitToPage="1"/>
  </sheetPr>
  <dimension ref="A1:I48"/>
  <sheetViews>
    <sheetView view="pageBreakPreview" zoomScaleSheetLayoutView="100" workbookViewId="0">
      <selection activeCell="D17" sqref="D17"/>
    </sheetView>
  </sheetViews>
  <sheetFormatPr baseColWidth="10" defaultColWidth="9.28515625" defaultRowHeight="12.75"/>
  <cols>
    <col min="1" max="1" width="11.42578125" style="4" customWidth="1"/>
    <col min="2" max="2" width="10.42578125" style="4" customWidth="1"/>
    <col min="3" max="3" width="13" style="4" customWidth="1"/>
    <col min="4" max="4" width="11.42578125" style="107" customWidth="1"/>
    <col min="5" max="7" width="11.42578125" style="4" customWidth="1"/>
    <col min="8" max="8" width="12.42578125" style="4" customWidth="1"/>
    <col min="9" max="9" width="11.42578125" style="4" hidden="1" customWidth="1"/>
    <col min="10" max="253" width="11.42578125" style="4" customWidth="1"/>
    <col min="254" max="254" width="10.42578125" style="4" customWidth="1"/>
    <col min="255" max="255" width="13" style="4" customWidth="1"/>
    <col min="256" max="509" width="11.42578125" style="4" customWidth="1"/>
    <col min="510" max="510" width="10.42578125" style="4" customWidth="1"/>
    <col min="511" max="511" width="13" style="4" customWidth="1"/>
    <col min="512" max="765" width="11.42578125" style="4" customWidth="1"/>
    <col min="766" max="766" width="10.42578125" style="4" customWidth="1"/>
    <col min="767" max="767" width="13" style="4" customWidth="1"/>
    <col min="768" max="1021" width="11.42578125" style="4" customWidth="1"/>
    <col min="1022" max="1022" width="10.42578125" style="4" customWidth="1"/>
    <col min="1023" max="1023" width="13" style="4" customWidth="1"/>
    <col min="1024" max="1277" width="11.42578125" style="4" customWidth="1"/>
    <col min="1278" max="1278" width="10.42578125" style="4" customWidth="1"/>
    <col min="1279" max="1279" width="13" style="4" customWidth="1"/>
    <col min="1280" max="1533" width="11.42578125" style="4" customWidth="1"/>
    <col min="1534" max="1534" width="10.42578125" style="4" customWidth="1"/>
    <col min="1535" max="1535" width="13" style="4" customWidth="1"/>
    <col min="1536" max="1789" width="11.42578125" style="4" customWidth="1"/>
    <col min="1790" max="1790" width="10.42578125" style="4" customWidth="1"/>
    <col min="1791" max="1791" width="13" style="4" customWidth="1"/>
    <col min="1792" max="2045" width="11.42578125" style="4" customWidth="1"/>
    <col min="2046" max="2046" width="10.42578125" style="4" customWidth="1"/>
    <col min="2047" max="2047" width="13" style="4" customWidth="1"/>
    <col min="2048" max="2301" width="11.42578125" style="4" customWidth="1"/>
    <col min="2302" max="2302" width="10.42578125" style="4" customWidth="1"/>
    <col min="2303" max="2303" width="13" style="4" customWidth="1"/>
    <col min="2304" max="2557" width="11.42578125" style="4" customWidth="1"/>
    <col min="2558" max="2558" width="10.42578125" style="4" customWidth="1"/>
    <col min="2559" max="2559" width="13" style="4" customWidth="1"/>
    <col min="2560" max="2813" width="11.42578125" style="4" customWidth="1"/>
    <col min="2814" max="2814" width="10.42578125" style="4" customWidth="1"/>
    <col min="2815" max="2815" width="13" style="4" customWidth="1"/>
    <col min="2816" max="3069" width="11.42578125" style="4" customWidth="1"/>
    <col min="3070" max="3070" width="10.42578125" style="4" customWidth="1"/>
    <col min="3071" max="3071" width="13" style="4" customWidth="1"/>
    <col min="3072" max="3325" width="11.42578125" style="4" customWidth="1"/>
    <col min="3326" max="3326" width="10.42578125" style="4" customWidth="1"/>
    <col min="3327" max="3327" width="13" style="4" customWidth="1"/>
    <col min="3328" max="3581" width="11.42578125" style="4" customWidth="1"/>
    <col min="3582" max="3582" width="10.42578125" style="4" customWidth="1"/>
    <col min="3583" max="3583" width="13" style="4" customWidth="1"/>
    <col min="3584" max="3837" width="11.42578125" style="4" customWidth="1"/>
    <col min="3838" max="3838" width="10.42578125" style="4" customWidth="1"/>
    <col min="3839" max="3839" width="13" style="4" customWidth="1"/>
    <col min="3840" max="4093" width="11.42578125" style="4" customWidth="1"/>
    <col min="4094" max="4094" width="10.42578125" style="4" customWidth="1"/>
    <col min="4095" max="4095" width="13" style="4" customWidth="1"/>
    <col min="4096" max="4349" width="11.42578125" style="4" customWidth="1"/>
    <col min="4350" max="4350" width="10.42578125" style="4" customWidth="1"/>
    <col min="4351" max="4351" width="13" style="4" customWidth="1"/>
    <col min="4352" max="4605" width="11.42578125" style="4" customWidth="1"/>
    <col min="4606" max="4606" width="10.42578125" style="4" customWidth="1"/>
    <col min="4607" max="4607" width="13" style="4" customWidth="1"/>
    <col min="4608" max="4861" width="11.42578125" style="4" customWidth="1"/>
    <col min="4862" max="4862" width="10.42578125" style="4" customWidth="1"/>
    <col min="4863" max="4863" width="13" style="4" customWidth="1"/>
    <col min="4864" max="5117" width="11.42578125" style="4" customWidth="1"/>
    <col min="5118" max="5118" width="10.42578125" style="4" customWidth="1"/>
    <col min="5119" max="5119" width="13" style="4" customWidth="1"/>
    <col min="5120" max="5373" width="11.42578125" style="4" customWidth="1"/>
    <col min="5374" max="5374" width="10.42578125" style="4" customWidth="1"/>
    <col min="5375" max="5375" width="13" style="4" customWidth="1"/>
    <col min="5376" max="5629" width="11.42578125" style="4" customWidth="1"/>
    <col min="5630" max="5630" width="10.42578125" style="4" customWidth="1"/>
    <col min="5631" max="5631" width="13" style="4" customWidth="1"/>
    <col min="5632" max="5885" width="11.42578125" style="4" customWidth="1"/>
    <col min="5886" max="5886" width="10.42578125" style="4" customWidth="1"/>
    <col min="5887" max="5887" width="13" style="4" customWidth="1"/>
    <col min="5888" max="6141" width="11.42578125" style="4" customWidth="1"/>
    <col min="6142" max="6142" width="10.42578125" style="4" customWidth="1"/>
    <col min="6143" max="6143" width="13" style="4" customWidth="1"/>
    <col min="6144" max="6397" width="11.42578125" style="4" customWidth="1"/>
    <col min="6398" max="6398" width="10.42578125" style="4" customWidth="1"/>
    <col min="6399" max="6399" width="13" style="4" customWidth="1"/>
    <col min="6400" max="6653" width="11.42578125" style="4" customWidth="1"/>
    <col min="6654" max="6654" width="10.42578125" style="4" customWidth="1"/>
    <col min="6655" max="6655" width="13" style="4" customWidth="1"/>
    <col min="6656" max="6909" width="11.42578125" style="4" customWidth="1"/>
    <col min="6910" max="6910" width="10.42578125" style="4" customWidth="1"/>
    <col min="6911" max="6911" width="13" style="4" customWidth="1"/>
    <col min="6912" max="7165" width="11.42578125" style="4" customWidth="1"/>
    <col min="7166" max="7166" width="10.42578125" style="4" customWidth="1"/>
    <col min="7167" max="7167" width="13" style="4" customWidth="1"/>
    <col min="7168" max="7421" width="11.42578125" style="4" customWidth="1"/>
    <col min="7422" max="7422" width="10.42578125" style="4" customWidth="1"/>
    <col min="7423" max="7423" width="13" style="4" customWidth="1"/>
    <col min="7424" max="7677" width="11.42578125" style="4" customWidth="1"/>
    <col min="7678" max="7678" width="10.42578125" style="4" customWidth="1"/>
    <col min="7679" max="7679" width="13" style="4" customWidth="1"/>
    <col min="7680" max="7933" width="11.42578125" style="4" customWidth="1"/>
    <col min="7934" max="7934" width="10.42578125" style="4" customWidth="1"/>
    <col min="7935" max="7935" width="13" style="4" customWidth="1"/>
    <col min="7936" max="8189" width="11.42578125" style="4" customWidth="1"/>
    <col min="8190" max="8190" width="10.42578125" style="4" customWidth="1"/>
    <col min="8191" max="8191" width="13" style="4" customWidth="1"/>
    <col min="8192" max="8445" width="11.42578125" style="4" customWidth="1"/>
    <col min="8446" max="8446" width="10.42578125" style="4" customWidth="1"/>
    <col min="8447" max="8447" width="13" style="4" customWidth="1"/>
    <col min="8448" max="8701" width="11.42578125" style="4" customWidth="1"/>
    <col min="8702" max="8702" width="10.42578125" style="4" customWidth="1"/>
    <col min="8703" max="8703" width="13" style="4" customWidth="1"/>
    <col min="8704" max="8957" width="11.42578125" style="4" customWidth="1"/>
    <col min="8958" max="8958" width="10.42578125" style="4" customWidth="1"/>
    <col min="8959" max="8959" width="13" style="4" customWidth="1"/>
    <col min="8960" max="9213" width="11.42578125" style="4" customWidth="1"/>
    <col min="9214" max="9214" width="10.42578125" style="4" customWidth="1"/>
    <col min="9215" max="9215" width="13" style="4" customWidth="1"/>
    <col min="9216" max="9469" width="11.42578125" style="4" customWidth="1"/>
    <col min="9470" max="9470" width="10.42578125" style="4" customWidth="1"/>
    <col min="9471" max="9471" width="13" style="4" customWidth="1"/>
    <col min="9472" max="9725" width="11.42578125" style="4" customWidth="1"/>
    <col min="9726" max="9726" width="10.42578125" style="4" customWidth="1"/>
    <col min="9727" max="9727" width="13" style="4" customWidth="1"/>
    <col min="9728" max="9981" width="11.42578125" style="4" customWidth="1"/>
    <col min="9982" max="9982" width="10.42578125" style="4" customWidth="1"/>
    <col min="9983" max="9983" width="13" style="4" customWidth="1"/>
    <col min="9984" max="10237" width="11.42578125" style="4" customWidth="1"/>
    <col min="10238" max="10238" width="10.42578125" style="4" customWidth="1"/>
    <col min="10239" max="10239" width="13" style="4" customWidth="1"/>
    <col min="10240" max="10493" width="11.42578125" style="4" customWidth="1"/>
    <col min="10494" max="10494" width="10.42578125" style="4" customWidth="1"/>
    <col min="10495" max="10495" width="13" style="4" customWidth="1"/>
    <col min="10496" max="10749" width="11.42578125" style="4" customWidth="1"/>
    <col min="10750" max="10750" width="10.42578125" style="4" customWidth="1"/>
    <col min="10751" max="10751" width="13" style="4" customWidth="1"/>
    <col min="10752" max="11005" width="11.42578125" style="4" customWidth="1"/>
    <col min="11006" max="11006" width="10.42578125" style="4" customWidth="1"/>
    <col min="11007" max="11007" width="13" style="4" customWidth="1"/>
    <col min="11008" max="11261" width="11.42578125" style="4" customWidth="1"/>
    <col min="11262" max="11262" width="10.42578125" style="4" customWidth="1"/>
    <col min="11263" max="11263" width="13" style="4" customWidth="1"/>
    <col min="11264" max="11517" width="11.42578125" style="4" customWidth="1"/>
    <col min="11518" max="11518" width="10.42578125" style="4" customWidth="1"/>
    <col min="11519" max="11519" width="13" style="4" customWidth="1"/>
    <col min="11520" max="11773" width="11.42578125" style="4" customWidth="1"/>
    <col min="11774" max="11774" width="10.42578125" style="4" customWidth="1"/>
    <col min="11775" max="11775" width="13" style="4" customWidth="1"/>
    <col min="11776" max="12029" width="11.42578125" style="4" customWidth="1"/>
    <col min="12030" max="12030" width="10.42578125" style="4" customWidth="1"/>
    <col min="12031" max="12031" width="13" style="4" customWidth="1"/>
    <col min="12032" max="12285" width="11.42578125" style="4" customWidth="1"/>
    <col min="12286" max="12286" width="10.42578125" style="4" customWidth="1"/>
    <col min="12287" max="12287" width="13" style="4" customWidth="1"/>
    <col min="12288" max="12541" width="11.42578125" style="4" customWidth="1"/>
    <col min="12542" max="12542" width="10.42578125" style="4" customWidth="1"/>
    <col min="12543" max="12543" width="13" style="4" customWidth="1"/>
    <col min="12544" max="12797" width="11.42578125" style="4" customWidth="1"/>
    <col min="12798" max="12798" width="10.42578125" style="4" customWidth="1"/>
    <col min="12799" max="12799" width="13" style="4" customWidth="1"/>
    <col min="12800" max="13053" width="11.42578125" style="4" customWidth="1"/>
    <col min="13054" max="13054" width="10.42578125" style="4" customWidth="1"/>
    <col min="13055" max="13055" width="13" style="4" customWidth="1"/>
    <col min="13056" max="13309" width="11.42578125" style="4" customWidth="1"/>
    <col min="13310" max="13310" width="10.42578125" style="4" customWidth="1"/>
    <col min="13311" max="13311" width="13" style="4" customWidth="1"/>
    <col min="13312" max="13565" width="11.42578125" style="4" customWidth="1"/>
    <col min="13566" max="13566" width="10.42578125" style="4" customWidth="1"/>
    <col min="13567" max="13567" width="13" style="4" customWidth="1"/>
    <col min="13568" max="13821" width="11.42578125" style="4" customWidth="1"/>
    <col min="13822" max="13822" width="10.42578125" style="4" customWidth="1"/>
    <col min="13823" max="13823" width="13" style="4" customWidth="1"/>
    <col min="13824" max="14077" width="11.42578125" style="4" customWidth="1"/>
    <col min="14078" max="14078" width="10.42578125" style="4" customWidth="1"/>
    <col min="14079" max="14079" width="13" style="4" customWidth="1"/>
    <col min="14080" max="14333" width="11.42578125" style="4" customWidth="1"/>
    <col min="14334" max="14334" width="10.42578125" style="4" customWidth="1"/>
    <col min="14335" max="14335" width="13" style="4" customWidth="1"/>
    <col min="14336" max="14589" width="11.42578125" style="4" customWidth="1"/>
    <col min="14590" max="14590" width="10.42578125" style="4" customWidth="1"/>
    <col min="14591" max="14591" width="13" style="4" customWidth="1"/>
    <col min="14592" max="14845" width="11.42578125" style="4" customWidth="1"/>
    <col min="14846" max="14846" width="10.42578125" style="4" customWidth="1"/>
    <col min="14847" max="14847" width="13" style="4" customWidth="1"/>
    <col min="14848" max="15101" width="11.42578125" style="4" customWidth="1"/>
    <col min="15102" max="15102" width="10.42578125" style="4" customWidth="1"/>
    <col min="15103" max="15103" width="13" style="4" customWidth="1"/>
    <col min="15104" max="15357" width="11.42578125" style="4" customWidth="1"/>
    <col min="15358" max="15358" width="10.42578125" style="4" customWidth="1"/>
    <col min="15359" max="15359" width="13" style="4" customWidth="1"/>
    <col min="15360" max="15613" width="11.42578125" style="4" customWidth="1"/>
    <col min="15614" max="15614" width="10.42578125" style="4" customWidth="1"/>
    <col min="15615" max="15615" width="13" style="4" customWidth="1"/>
    <col min="15616" max="15869" width="11.42578125" style="4" customWidth="1"/>
    <col min="15870" max="15870" width="10.42578125" style="4" customWidth="1"/>
    <col min="15871" max="15871" width="13" style="4" customWidth="1"/>
    <col min="15872" max="16125" width="11.42578125" style="4" customWidth="1"/>
    <col min="16126" max="16126" width="10.42578125" style="4" customWidth="1"/>
    <col min="16127" max="16127" width="13" style="4" customWidth="1"/>
    <col min="16128" max="16384" width="11.42578125" style="4" customWidth="1"/>
  </cols>
  <sheetData>
    <row r="1" spans="1:8" s="56" customFormat="1" ht="15" customHeight="1">
      <c r="A1" s="891" t="s">
        <v>2</v>
      </c>
      <c r="B1" s="892"/>
      <c r="C1" s="892"/>
      <c r="D1" s="892"/>
      <c r="E1" s="892"/>
      <c r="F1" s="892"/>
      <c r="G1" s="892"/>
      <c r="H1" s="893"/>
    </row>
    <row r="2" spans="1:8" s="56" customFormat="1" ht="5.25" customHeight="1" thickBot="1">
      <c r="A2" s="894"/>
      <c r="B2" s="895"/>
      <c r="C2" s="895"/>
      <c r="D2" s="895"/>
      <c r="E2" s="895"/>
      <c r="F2" s="895"/>
      <c r="G2" s="895"/>
      <c r="H2" s="896"/>
    </row>
    <row r="3" spans="1:8" s="56" customFormat="1" ht="56.25" customHeight="1" thickBot="1">
      <c r="A3" s="322"/>
      <c r="B3" s="907" t="s">
        <v>393</v>
      </c>
      <c r="C3" s="908"/>
      <c r="D3" s="908"/>
      <c r="E3" s="908"/>
      <c r="F3" s="908"/>
      <c r="G3" s="908"/>
      <c r="H3" s="909"/>
    </row>
    <row r="5" spans="1:8" ht="16.5" thickBot="1">
      <c r="A5" s="943"/>
      <c r="B5" s="944"/>
      <c r="C5" s="944"/>
      <c r="D5" s="944"/>
      <c r="E5" s="944"/>
      <c r="F5" s="944"/>
      <c r="G5" s="944"/>
      <c r="H5" s="945"/>
    </row>
    <row r="6" spans="1:8">
      <c r="A6" s="5"/>
      <c r="B6" s="7"/>
      <c r="C6" s="6"/>
      <c r="E6" s="7"/>
      <c r="G6" s="8"/>
      <c r="H6" s="9"/>
    </row>
    <row r="7" spans="1:8">
      <c r="A7" s="57" t="s">
        <v>313</v>
      </c>
      <c r="B7" s="906" t="s">
        <v>373</v>
      </c>
      <c r="C7" s="906"/>
      <c r="D7" s="906"/>
      <c r="E7" s="906"/>
      <c r="F7" s="906"/>
      <c r="G7" s="58" t="s">
        <v>30</v>
      </c>
      <c r="H7" s="61" t="s">
        <v>118</v>
      </c>
    </row>
    <row r="8" spans="1:8">
      <c r="A8" s="58"/>
      <c r="B8" s="906"/>
      <c r="C8" s="906"/>
      <c r="D8" s="906"/>
      <c r="E8" s="906"/>
      <c r="F8" s="906"/>
      <c r="G8" s="58"/>
      <c r="H8" s="56"/>
    </row>
    <row r="9" spans="1:8" ht="13.5" thickBot="1">
      <c r="A9" s="10" t="s">
        <v>3</v>
      </c>
      <c r="B9" s="10"/>
      <c r="C9" s="6"/>
      <c r="D9" s="52"/>
      <c r="E9" s="6"/>
      <c r="F9" s="6"/>
      <c r="G9" s="6"/>
      <c r="H9" s="6"/>
    </row>
    <row r="10" spans="1:8">
      <c r="A10" s="912" t="s">
        <v>4</v>
      </c>
      <c r="B10" s="913"/>
      <c r="C10" s="914"/>
      <c r="D10" s="11" t="s">
        <v>5</v>
      </c>
      <c r="E10" s="12" t="s">
        <v>6</v>
      </c>
      <c r="F10" s="11" t="s">
        <v>7</v>
      </c>
      <c r="G10" s="13" t="s">
        <v>8</v>
      </c>
      <c r="H10" s="14"/>
    </row>
    <row r="11" spans="1:8">
      <c r="A11" s="918" t="s">
        <v>113</v>
      </c>
      <c r="B11" s="919"/>
      <c r="C11" s="920"/>
      <c r="D11" s="15"/>
      <c r="E11" s="16">
        <v>4500</v>
      </c>
      <c r="F11" s="16">
        <v>1</v>
      </c>
      <c r="G11" s="17">
        <f>E11*F11</f>
        <v>4500</v>
      </c>
      <c r="H11" s="18"/>
    </row>
    <row r="12" spans="1:8">
      <c r="A12" s="918" t="s">
        <v>305</v>
      </c>
      <c r="B12" s="919"/>
      <c r="C12" s="920"/>
      <c r="D12" s="15"/>
      <c r="E12" s="108"/>
      <c r="F12" s="16"/>
      <c r="G12" s="17">
        <f>H36*0.1</f>
        <v>4143.63</v>
      </c>
      <c r="H12" s="18"/>
    </row>
    <row r="13" spans="1:8">
      <c r="A13" s="918"/>
      <c r="B13" s="919"/>
      <c r="C13" s="920"/>
      <c r="D13" s="15"/>
      <c r="E13" s="108"/>
      <c r="F13" s="16"/>
      <c r="G13" s="17"/>
      <c r="H13" s="18"/>
    </row>
    <row r="14" spans="1:8" ht="13.5" thickBot="1">
      <c r="A14" s="921"/>
      <c r="B14" s="922"/>
      <c r="C14" s="923"/>
      <c r="D14" s="21"/>
      <c r="E14" s="149"/>
      <c r="F14" s="23"/>
      <c r="G14" s="121"/>
      <c r="H14" s="25"/>
    </row>
    <row r="15" spans="1:8" ht="13.5" thickBot="1">
      <c r="A15" s="6"/>
      <c r="B15" s="6"/>
      <c r="C15" s="6"/>
      <c r="D15" s="52"/>
      <c r="E15" s="6"/>
      <c r="F15" s="6"/>
      <c r="G15" s="26" t="s">
        <v>9</v>
      </c>
      <c r="H15" s="27">
        <f>SUM(G11:G14)</f>
        <v>8643.630000000001</v>
      </c>
    </row>
    <row r="16" spans="1:8" ht="13.5" thickBot="1">
      <c r="A16" s="10" t="s">
        <v>10</v>
      </c>
      <c r="B16" s="10"/>
      <c r="C16" s="6"/>
      <c r="D16" s="52"/>
      <c r="E16" s="6"/>
      <c r="F16" s="6"/>
      <c r="G16" s="6"/>
      <c r="H16" s="6"/>
    </row>
    <row r="17" spans="1:9">
      <c r="A17" s="912" t="s">
        <v>4</v>
      </c>
      <c r="B17" s="913"/>
      <c r="C17" s="914"/>
      <c r="D17" s="11" t="s">
        <v>11</v>
      </c>
      <c r="E17" s="11" t="s">
        <v>12</v>
      </c>
      <c r="F17" s="11" t="s">
        <v>13</v>
      </c>
      <c r="G17" s="46" t="s">
        <v>8</v>
      </c>
      <c r="H17" s="120"/>
    </row>
    <row r="18" spans="1:9" ht="27" customHeight="1">
      <c r="A18" s="915" t="s">
        <v>119</v>
      </c>
      <c r="B18" s="916"/>
      <c r="C18" s="917"/>
      <c r="D18" s="118"/>
      <c r="E18" s="144"/>
      <c r="F18" s="16"/>
      <c r="G18" s="153"/>
      <c r="H18" s="116"/>
    </row>
    <row r="19" spans="1:9">
      <c r="A19" s="915" t="s">
        <v>120</v>
      </c>
      <c r="B19" s="916"/>
      <c r="C19" s="917"/>
      <c r="D19" s="118" t="s">
        <v>11</v>
      </c>
      <c r="E19" s="144">
        <f>'Despiece de Insumos'!D24</f>
        <v>280000</v>
      </c>
      <c r="F19" s="16">
        <v>1</v>
      </c>
      <c r="G19" s="153">
        <f>E19*F19</f>
        <v>280000</v>
      </c>
      <c r="H19" s="116"/>
    </row>
    <row r="20" spans="1:9">
      <c r="A20" s="160" t="s">
        <v>121</v>
      </c>
      <c r="B20" s="125"/>
      <c r="C20" s="125"/>
      <c r="D20" s="19" t="s">
        <v>0</v>
      </c>
      <c r="E20" s="147">
        <v>390000</v>
      </c>
      <c r="F20" s="182">
        <v>0.03</v>
      </c>
      <c r="G20" s="153">
        <f t="shared" ref="G20:G21" si="0">E20*F20</f>
        <v>11700</v>
      </c>
      <c r="H20" s="116"/>
    </row>
    <row r="21" spans="1:9" ht="13.5" thickBot="1">
      <c r="A21" s="37" t="s">
        <v>114</v>
      </c>
      <c r="B21" s="38"/>
      <c r="C21" s="38"/>
      <c r="D21" s="21" t="s">
        <v>115</v>
      </c>
      <c r="E21" s="146">
        <v>15</v>
      </c>
      <c r="F21" s="23">
        <v>25</v>
      </c>
      <c r="G21" s="183">
        <f t="shared" si="0"/>
        <v>375</v>
      </c>
      <c r="H21" s="117"/>
      <c r="I21" s="177"/>
    </row>
    <row r="22" spans="1:9" ht="13.5" thickBot="1">
      <c r="A22" s="6"/>
      <c r="B22" s="6"/>
      <c r="C22" s="6"/>
      <c r="D22" s="52"/>
      <c r="E22" s="6"/>
      <c r="F22" s="6"/>
      <c r="G22" s="26" t="s">
        <v>9</v>
      </c>
      <c r="H22" s="176">
        <f>SUM(G18:G21)</f>
        <v>292075</v>
      </c>
    </row>
    <row r="23" spans="1:9" ht="13.5" thickBot="1">
      <c r="A23" s="40" t="s">
        <v>14</v>
      </c>
      <c r="B23" s="40"/>
      <c r="C23" s="41"/>
      <c r="D23" s="52"/>
      <c r="E23" s="6"/>
      <c r="F23" s="6"/>
      <c r="G23" s="6"/>
      <c r="H23" s="6"/>
    </row>
    <row r="24" spans="1:9">
      <c r="A24" s="43" t="s">
        <v>15</v>
      </c>
      <c r="B24" s="44"/>
      <c r="C24" s="45" t="s">
        <v>16</v>
      </c>
      <c r="D24" s="11" t="s">
        <v>17</v>
      </c>
      <c r="E24" s="11" t="s">
        <v>18</v>
      </c>
      <c r="F24" s="11" t="s">
        <v>19</v>
      </c>
      <c r="G24" s="46" t="s">
        <v>8</v>
      </c>
      <c r="H24" s="14"/>
    </row>
    <row r="25" spans="1:9">
      <c r="A25" s="941" t="s">
        <v>111</v>
      </c>
      <c r="B25" s="942"/>
      <c r="C25" s="109">
        <v>1</v>
      </c>
      <c r="D25" s="110">
        <v>6</v>
      </c>
      <c r="E25" s="111">
        <f>C25*D25</f>
        <v>6</v>
      </c>
      <c r="F25" s="112">
        <f>TRANSPORTE!H33</f>
        <v>1500</v>
      </c>
      <c r="G25" s="47">
        <f>E25*F25</f>
        <v>9000</v>
      </c>
      <c r="H25" s="18"/>
    </row>
    <row r="26" spans="1:9">
      <c r="A26" s="941"/>
      <c r="B26" s="942"/>
      <c r="C26" s="113"/>
      <c r="D26" s="108"/>
      <c r="E26" s="111"/>
      <c r="F26" s="16"/>
      <c r="G26" s="47"/>
      <c r="H26" s="18"/>
    </row>
    <row r="27" spans="1:9" ht="13.5" thickBot="1">
      <c r="A27" s="37"/>
      <c r="B27" s="39"/>
      <c r="C27" s="21"/>
      <c r="D27" s="21"/>
      <c r="E27" s="23"/>
      <c r="F27" s="24"/>
      <c r="G27" s="21"/>
      <c r="H27" s="18"/>
    </row>
    <row r="28" spans="1:9" ht="13.5" thickBot="1">
      <c r="A28" s="6"/>
      <c r="B28" s="6"/>
      <c r="C28" s="6"/>
      <c r="D28" s="52"/>
      <c r="E28" s="6"/>
      <c r="F28" s="6"/>
      <c r="G28" s="26" t="s">
        <v>9</v>
      </c>
      <c r="H28" s="27">
        <f>SUM(G25:G27)</f>
        <v>9000</v>
      </c>
    </row>
    <row r="29" spans="1:9" ht="13.5" thickBot="1">
      <c r="A29" s="40" t="s">
        <v>20</v>
      </c>
      <c r="B29" s="40"/>
      <c r="C29" s="6"/>
      <c r="D29" s="52"/>
      <c r="E29" s="6"/>
      <c r="F29" s="6"/>
      <c r="G29" s="6"/>
      <c r="H29" s="6"/>
    </row>
    <row r="30" spans="1:9">
      <c r="A30" s="43" t="s">
        <v>21</v>
      </c>
      <c r="B30" s="44"/>
      <c r="C30" s="48" t="s">
        <v>22</v>
      </c>
      <c r="D30" s="11" t="s">
        <v>23</v>
      </c>
      <c r="E30" s="12" t="s">
        <v>24</v>
      </c>
      <c r="F30" s="48" t="s">
        <v>7</v>
      </c>
      <c r="G30" s="13" t="s">
        <v>8</v>
      </c>
      <c r="H30" s="14"/>
    </row>
    <row r="31" spans="1:9">
      <c r="A31" s="35" t="s">
        <v>38</v>
      </c>
      <c r="B31" s="30"/>
      <c r="C31" s="135">
        <v>42499</v>
      </c>
      <c r="D31" s="172">
        <v>1.8</v>
      </c>
      <c r="E31" s="32">
        <f t="shared" ref="E31" si="1">+D31*C31</f>
        <v>76498.2</v>
      </c>
      <c r="F31" s="16">
        <v>6</v>
      </c>
      <c r="G31" s="141">
        <f t="shared" ref="G31" si="2">+E31/F31</f>
        <v>12749.699999999999</v>
      </c>
      <c r="H31" s="18"/>
    </row>
    <row r="32" spans="1:9">
      <c r="A32" s="35" t="s">
        <v>39</v>
      </c>
      <c r="B32" s="30">
        <v>3</v>
      </c>
      <c r="C32" s="135">
        <v>31874</v>
      </c>
      <c r="D32" s="172">
        <v>1.8</v>
      </c>
      <c r="E32" s="32">
        <f>+D32*C32*B32</f>
        <v>172119.6</v>
      </c>
      <c r="F32" s="16">
        <v>6</v>
      </c>
      <c r="G32" s="141">
        <f>+E32/F32</f>
        <v>28686.600000000002</v>
      </c>
      <c r="H32" s="18"/>
    </row>
    <row r="33" spans="1:8">
      <c r="A33" s="35"/>
      <c r="B33" s="30"/>
      <c r="C33" s="32"/>
      <c r="D33" s="15"/>
      <c r="E33" s="32"/>
      <c r="F33" s="16"/>
      <c r="G33" s="17"/>
      <c r="H33" s="18"/>
    </row>
    <row r="34" spans="1:8">
      <c r="A34" s="35"/>
      <c r="B34" s="30"/>
      <c r="C34" s="32"/>
      <c r="D34" s="15"/>
      <c r="E34" s="32"/>
      <c r="F34" s="16"/>
      <c r="G34" s="17"/>
      <c r="H34" s="18"/>
    </row>
    <row r="35" spans="1:8" ht="13.5" thickBot="1">
      <c r="A35" s="37"/>
      <c r="B35" s="38"/>
      <c r="C35" s="22"/>
      <c r="D35" s="114"/>
      <c r="E35" s="51"/>
      <c r="F35" s="51"/>
      <c r="G35" s="41"/>
      <c r="H35" s="25"/>
    </row>
    <row r="36" spans="1:8" ht="13.5" thickBot="1">
      <c r="A36" s="6"/>
      <c r="B36" s="6"/>
      <c r="C36" s="6"/>
      <c r="D36" s="52"/>
      <c r="E36" s="6"/>
      <c r="F36" s="6"/>
      <c r="G36" s="26" t="s">
        <v>9</v>
      </c>
      <c r="H36" s="27">
        <f>SUM(G31:G35)</f>
        <v>41436.300000000003</v>
      </c>
    </row>
    <row r="37" spans="1:8" ht="13.5" thickBot="1">
      <c r="A37" s="6"/>
      <c r="B37" s="6"/>
      <c r="C37" s="6"/>
      <c r="D37" s="52"/>
      <c r="E37" s="6"/>
      <c r="F37" s="6"/>
      <c r="G37" s="52"/>
      <c r="H37" s="6"/>
    </row>
    <row r="38" spans="1:8" ht="13.5" thickBot="1">
      <c r="A38" s="6"/>
      <c r="B38" s="6"/>
      <c r="C38" s="6"/>
      <c r="D38" s="52"/>
      <c r="E38" s="53" t="s">
        <v>25</v>
      </c>
      <c r="F38" s="54"/>
      <c r="G38" s="54"/>
      <c r="H38" s="27">
        <f>ROUND(H15+H22+H28+H36,0)</f>
        <v>351155</v>
      </c>
    </row>
    <row r="43" spans="1:8" s="194" customFormat="1" ht="14.25">
      <c r="A43" s="195" t="s">
        <v>134</v>
      </c>
      <c r="B43" s="195"/>
      <c r="C43" s="195"/>
      <c r="D43" s="197"/>
      <c r="E43" s="196"/>
      <c r="F43" s="196"/>
    </row>
    <row r="44" spans="1:8" s="194" customFormat="1" ht="14.25">
      <c r="A44" s="195" t="s">
        <v>131</v>
      </c>
      <c r="B44" s="195"/>
      <c r="C44" s="195"/>
      <c r="D44" s="197"/>
      <c r="E44" s="196"/>
      <c r="F44" s="196"/>
    </row>
    <row r="48" spans="1:8" ht="20.25" customHeight="1"/>
  </sheetData>
  <mergeCells count="14">
    <mergeCell ref="A1:H2"/>
    <mergeCell ref="B3:H3"/>
    <mergeCell ref="A25:B25"/>
    <mergeCell ref="A26:B26"/>
    <mergeCell ref="A12:C12"/>
    <mergeCell ref="A13:C13"/>
    <mergeCell ref="A14:C14"/>
    <mergeCell ref="A17:C17"/>
    <mergeCell ref="A11:C11"/>
    <mergeCell ref="A19:C19"/>
    <mergeCell ref="B7:F8"/>
    <mergeCell ref="A10:C10"/>
    <mergeCell ref="A18:C18"/>
    <mergeCell ref="A5:H5"/>
  </mergeCells>
  <pageMargins left="0.70866141732283472" right="0.70866141732283472" top="0.9497916666666667" bottom="1.2327083333333333" header="0.31496062992125984" footer="0.31496062992125984"/>
  <pageSetup scale="93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FF0000"/>
  </sheetPr>
  <dimension ref="A1:K50"/>
  <sheetViews>
    <sheetView view="pageBreakPreview" topLeftCell="A4" zoomScaleSheetLayoutView="100" workbookViewId="0">
      <selection activeCell="D17" sqref="D17"/>
    </sheetView>
  </sheetViews>
  <sheetFormatPr baseColWidth="10" defaultColWidth="9.28515625" defaultRowHeight="12.75"/>
  <cols>
    <col min="1" max="1" width="11.42578125" style="4" customWidth="1"/>
    <col min="2" max="2" width="10.42578125" style="4" customWidth="1"/>
    <col min="3" max="3" width="13" style="4" customWidth="1"/>
    <col min="4" max="4" width="11.42578125" style="107" customWidth="1"/>
    <col min="5" max="5" width="11.42578125" style="4" customWidth="1"/>
    <col min="6" max="6" width="10.7109375" style="4" customWidth="1"/>
    <col min="7" max="8" width="11.42578125" style="4" customWidth="1"/>
    <col min="9" max="9" width="20.7109375" style="4" customWidth="1"/>
    <col min="10" max="10" width="15.42578125" style="4" customWidth="1"/>
    <col min="11" max="257" width="11.42578125" style="4" customWidth="1"/>
    <col min="258" max="258" width="10.42578125" style="4" customWidth="1"/>
    <col min="259" max="259" width="13" style="4" customWidth="1"/>
    <col min="260" max="513" width="11.42578125" style="4" customWidth="1"/>
    <col min="514" max="514" width="10.42578125" style="4" customWidth="1"/>
    <col min="515" max="515" width="13" style="4" customWidth="1"/>
    <col min="516" max="769" width="11.42578125" style="4" customWidth="1"/>
    <col min="770" max="770" width="10.42578125" style="4" customWidth="1"/>
    <col min="771" max="771" width="13" style="4" customWidth="1"/>
    <col min="772" max="1025" width="11.42578125" style="4" customWidth="1"/>
    <col min="1026" max="1026" width="10.42578125" style="4" customWidth="1"/>
    <col min="1027" max="1027" width="13" style="4" customWidth="1"/>
    <col min="1028" max="1281" width="11.42578125" style="4" customWidth="1"/>
    <col min="1282" max="1282" width="10.42578125" style="4" customWidth="1"/>
    <col min="1283" max="1283" width="13" style="4" customWidth="1"/>
    <col min="1284" max="1537" width="11.42578125" style="4" customWidth="1"/>
    <col min="1538" max="1538" width="10.42578125" style="4" customWidth="1"/>
    <col min="1539" max="1539" width="13" style="4" customWidth="1"/>
    <col min="1540" max="1793" width="11.42578125" style="4" customWidth="1"/>
    <col min="1794" max="1794" width="10.42578125" style="4" customWidth="1"/>
    <col min="1795" max="1795" width="13" style="4" customWidth="1"/>
    <col min="1796" max="2049" width="11.42578125" style="4" customWidth="1"/>
    <col min="2050" max="2050" width="10.42578125" style="4" customWidth="1"/>
    <col min="2051" max="2051" width="13" style="4" customWidth="1"/>
    <col min="2052" max="2305" width="11.42578125" style="4" customWidth="1"/>
    <col min="2306" max="2306" width="10.42578125" style="4" customWidth="1"/>
    <col min="2307" max="2307" width="13" style="4" customWidth="1"/>
    <col min="2308" max="2561" width="11.42578125" style="4" customWidth="1"/>
    <col min="2562" max="2562" width="10.42578125" style="4" customWidth="1"/>
    <col min="2563" max="2563" width="13" style="4" customWidth="1"/>
    <col min="2564" max="2817" width="11.42578125" style="4" customWidth="1"/>
    <col min="2818" max="2818" width="10.42578125" style="4" customWidth="1"/>
    <col min="2819" max="2819" width="13" style="4" customWidth="1"/>
    <col min="2820" max="3073" width="11.42578125" style="4" customWidth="1"/>
    <col min="3074" max="3074" width="10.42578125" style="4" customWidth="1"/>
    <col min="3075" max="3075" width="13" style="4" customWidth="1"/>
    <col min="3076" max="3329" width="11.42578125" style="4" customWidth="1"/>
    <col min="3330" max="3330" width="10.42578125" style="4" customWidth="1"/>
    <col min="3331" max="3331" width="13" style="4" customWidth="1"/>
    <col min="3332" max="3585" width="11.42578125" style="4" customWidth="1"/>
    <col min="3586" max="3586" width="10.42578125" style="4" customWidth="1"/>
    <col min="3587" max="3587" width="13" style="4" customWidth="1"/>
    <col min="3588" max="3841" width="11.42578125" style="4" customWidth="1"/>
    <col min="3842" max="3842" width="10.42578125" style="4" customWidth="1"/>
    <col min="3843" max="3843" width="13" style="4" customWidth="1"/>
    <col min="3844" max="4097" width="11.42578125" style="4" customWidth="1"/>
    <col min="4098" max="4098" width="10.42578125" style="4" customWidth="1"/>
    <col min="4099" max="4099" width="13" style="4" customWidth="1"/>
    <col min="4100" max="4353" width="11.42578125" style="4" customWidth="1"/>
    <col min="4354" max="4354" width="10.42578125" style="4" customWidth="1"/>
    <col min="4355" max="4355" width="13" style="4" customWidth="1"/>
    <col min="4356" max="4609" width="11.42578125" style="4" customWidth="1"/>
    <col min="4610" max="4610" width="10.42578125" style="4" customWidth="1"/>
    <col min="4611" max="4611" width="13" style="4" customWidth="1"/>
    <col min="4612" max="4865" width="11.42578125" style="4" customWidth="1"/>
    <col min="4866" max="4866" width="10.42578125" style="4" customWidth="1"/>
    <col min="4867" max="4867" width="13" style="4" customWidth="1"/>
    <col min="4868" max="5121" width="11.42578125" style="4" customWidth="1"/>
    <col min="5122" max="5122" width="10.42578125" style="4" customWidth="1"/>
    <col min="5123" max="5123" width="13" style="4" customWidth="1"/>
    <col min="5124" max="5377" width="11.42578125" style="4" customWidth="1"/>
    <col min="5378" max="5378" width="10.42578125" style="4" customWidth="1"/>
    <col min="5379" max="5379" width="13" style="4" customWidth="1"/>
    <col min="5380" max="5633" width="11.42578125" style="4" customWidth="1"/>
    <col min="5634" max="5634" width="10.42578125" style="4" customWidth="1"/>
    <col min="5635" max="5635" width="13" style="4" customWidth="1"/>
    <col min="5636" max="5889" width="11.42578125" style="4" customWidth="1"/>
    <col min="5890" max="5890" width="10.42578125" style="4" customWidth="1"/>
    <col min="5891" max="5891" width="13" style="4" customWidth="1"/>
    <col min="5892" max="6145" width="11.42578125" style="4" customWidth="1"/>
    <col min="6146" max="6146" width="10.42578125" style="4" customWidth="1"/>
    <col min="6147" max="6147" width="13" style="4" customWidth="1"/>
    <col min="6148" max="6401" width="11.42578125" style="4" customWidth="1"/>
    <col min="6402" max="6402" width="10.42578125" style="4" customWidth="1"/>
    <col min="6403" max="6403" width="13" style="4" customWidth="1"/>
    <col min="6404" max="6657" width="11.42578125" style="4" customWidth="1"/>
    <col min="6658" max="6658" width="10.42578125" style="4" customWidth="1"/>
    <col min="6659" max="6659" width="13" style="4" customWidth="1"/>
    <col min="6660" max="6913" width="11.42578125" style="4" customWidth="1"/>
    <col min="6914" max="6914" width="10.42578125" style="4" customWidth="1"/>
    <col min="6915" max="6915" width="13" style="4" customWidth="1"/>
    <col min="6916" max="7169" width="11.42578125" style="4" customWidth="1"/>
    <col min="7170" max="7170" width="10.42578125" style="4" customWidth="1"/>
    <col min="7171" max="7171" width="13" style="4" customWidth="1"/>
    <col min="7172" max="7425" width="11.42578125" style="4" customWidth="1"/>
    <col min="7426" max="7426" width="10.42578125" style="4" customWidth="1"/>
    <col min="7427" max="7427" width="13" style="4" customWidth="1"/>
    <col min="7428" max="7681" width="11.42578125" style="4" customWidth="1"/>
    <col min="7682" max="7682" width="10.42578125" style="4" customWidth="1"/>
    <col min="7683" max="7683" width="13" style="4" customWidth="1"/>
    <col min="7684" max="7937" width="11.42578125" style="4" customWidth="1"/>
    <col min="7938" max="7938" width="10.42578125" style="4" customWidth="1"/>
    <col min="7939" max="7939" width="13" style="4" customWidth="1"/>
    <col min="7940" max="8193" width="11.42578125" style="4" customWidth="1"/>
    <col min="8194" max="8194" width="10.42578125" style="4" customWidth="1"/>
    <col min="8195" max="8195" width="13" style="4" customWidth="1"/>
    <col min="8196" max="8449" width="11.42578125" style="4" customWidth="1"/>
    <col min="8450" max="8450" width="10.42578125" style="4" customWidth="1"/>
    <col min="8451" max="8451" width="13" style="4" customWidth="1"/>
    <col min="8452" max="8705" width="11.42578125" style="4" customWidth="1"/>
    <col min="8706" max="8706" width="10.42578125" style="4" customWidth="1"/>
    <col min="8707" max="8707" width="13" style="4" customWidth="1"/>
    <col min="8708" max="8961" width="11.42578125" style="4" customWidth="1"/>
    <col min="8962" max="8962" width="10.42578125" style="4" customWidth="1"/>
    <col min="8963" max="8963" width="13" style="4" customWidth="1"/>
    <col min="8964" max="9217" width="11.42578125" style="4" customWidth="1"/>
    <col min="9218" max="9218" width="10.42578125" style="4" customWidth="1"/>
    <col min="9219" max="9219" width="13" style="4" customWidth="1"/>
    <col min="9220" max="9473" width="11.42578125" style="4" customWidth="1"/>
    <col min="9474" max="9474" width="10.42578125" style="4" customWidth="1"/>
    <col min="9475" max="9475" width="13" style="4" customWidth="1"/>
    <col min="9476" max="9729" width="11.42578125" style="4" customWidth="1"/>
    <col min="9730" max="9730" width="10.42578125" style="4" customWidth="1"/>
    <col min="9731" max="9731" width="13" style="4" customWidth="1"/>
    <col min="9732" max="9985" width="11.42578125" style="4" customWidth="1"/>
    <col min="9986" max="9986" width="10.42578125" style="4" customWidth="1"/>
    <col min="9987" max="9987" width="13" style="4" customWidth="1"/>
    <col min="9988" max="10241" width="11.42578125" style="4" customWidth="1"/>
    <col min="10242" max="10242" width="10.42578125" style="4" customWidth="1"/>
    <col min="10243" max="10243" width="13" style="4" customWidth="1"/>
    <col min="10244" max="10497" width="11.42578125" style="4" customWidth="1"/>
    <col min="10498" max="10498" width="10.42578125" style="4" customWidth="1"/>
    <col min="10499" max="10499" width="13" style="4" customWidth="1"/>
    <col min="10500" max="10753" width="11.42578125" style="4" customWidth="1"/>
    <col min="10754" max="10754" width="10.42578125" style="4" customWidth="1"/>
    <col min="10755" max="10755" width="13" style="4" customWidth="1"/>
    <col min="10756" max="11009" width="11.42578125" style="4" customWidth="1"/>
    <col min="11010" max="11010" width="10.42578125" style="4" customWidth="1"/>
    <col min="11011" max="11011" width="13" style="4" customWidth="1"/>
    <col min="11012" max="11265" width="11.42578125" style="4" customWidth="1"/>
    <col min="11266" max="11266" width="10.42578125" style="4" customWidth="1"/>
    <col min="11267" max="11267" width="13" style="4" customWidth="1"/>
    <col min="11268" max="11521" width="11.42578125" style="4" customWidth="1"/>
    <col min="11522" max="11522" width="10.42578125" style="4" customWidth="1"/>
    <col min="11523" max="11523" width="13" style="4" customWidth="1"/>
    <col min="11524" max="11777" width="11.42578125" style="4" customWidth="1"/>
    <col min="11778" max="11778" width="10.42578125" style="4" customWidth="1"/>
    <col min="11779" max="11779" width="13" style="4" customWidth="1"/>
    <col min="11780" max="12033" width="11.42578125" style="4" customWidth="1"/>
    <col min="12034" max="12034" width="10.42578125" style="4" customWidth="1"/>
    <col min="12035" max="12035" width="13" style="4" customWidth="1"/>
    <col min="12036" max="12289" width="11.42578125" style="4" customWidth="1"/>
    <col min="12290" max="12290" width="10.42578125" style="4" customWidth="1"/>
    <col min="12291" max="12291" width="13" style="4" customWidth="1"/>
    <col min="12292" max="12545" width="11.42578125" style="4" customWidth="1"/>
    <col min="12546" max="12546" width="10.42578125" style="4" customWidth="1"/>
    <col min="12547" max="12547" width="13" style="4" customWidth="1"/>
    <col min="12548" max="12801" width="11.42578125" style="4" customWidth="1"/>
    <col min="12802" max="12802" width="10.42578125" style="4" customWidth="1"/>
    <col min="12803" max="12803" width="13" style="4" customWidth="1"/>
    <col min="12804" max="13057" width="11.42578125" style="4" customWidth="1"/>
    <col min="13058" max="13058" width="10.42578125" style="4" customWidth="1"/>
    <col min="13059" max="13059" width="13" style="4" customWidth="1"/>
    <col min="13060" max="13313" width="11.42578125" style="4" customWidth="1"/>
    <col min="13314" max="13314" width="10.42578125" style="4" customWidth="1"/>
    <col min="13315" max="13315" width="13" style="4" customWidth="1"/>
    <col min="13316" max="13569" width="11.42578125" style="4" customWidth="1"/>
    <col min="13570" max="13570" width="10.42578125" style="4" customWidth="1"/>
    <col min="13571" max="13571" width="13" style="4" customWidth="1"/>
    <col min="13572" max="13825" width="11.42578125" style="4" customWidth="1"/>
    <col min="13826" max="13826" width="10.42578125" style="4" customWidth="1"/>
    <col min="13827" max="13827" width="13" style="4" customWidth="1"/>
    <col min="13828" max="14081" width="11.42578125" style="4" customWidth="1"/>
    <col min="14082" max="14082" width="10.42578125" style="4" customWidth="1"/>
    <col min="14083" max="14083" width="13" style="4" customWidth="1"/>
    <col min="14084" max="14337" width="11.42578125" style="4" customWidth="1"/>
    <col min="14338" max="14338" width="10.42578125" style="4" customWidth="1"/>
    <col min="14339" max="14339" width="13" style="4" customWidth="1"/>
    <col min="14340" max="14593" width="11.42578125" style="4" customWidth="1"/>
    <col min="14594" max="14594" width="10.42578125" style="4" customWidth="1"/>
    <col min="14595" max="14595" width="13" style="4" customWidth="1"/>
    <col min="14596" max="14849" width="11.42578125" style="4" customWidth="1"/>
    <col min="14850" max="14850" width="10.42578125" style="4" customWidth="1"/>
    <col min="14851" max="14851" width="13" style="4" customWidth="1"/>
    <col min="14852" max="15105" width="11.42578125" style="4" customWidth="1"/>
    <col min="15106" max="15106" width="10.42578125" style="4" customWidth="1"/>
    <col min="15107" max="15107" width="13" style="4" customWidth="1"/>
    <col min="15108" max="15361" width="11.42578125" style="4" customWidth="1"/>
    <col min="15362" max="15362" width="10.42578125" style="4" customWidth="1"/>
    <col min="15363" max="15363" width="13" style="4" customWidth="1"/>
    <col min="15364" max="15617" width="11.42578125" style="4" customWidth="1"/>
    <col min="15618" max="15618" width="10.42578125" style="4" customWidth="1"/>
    <col min="15619" max="15619" width="13" style="4" customWidth="1"/>
    <col min="15620" max="15873" width="11.42578125" style="4" customWidth="1"/>
    <col min="15874" max="15874" width="10.42578125" style="4" customWidth="1"/>
    <col min="15875" max="15875" width="13" style="4" customWidth="1"/>
    <col min="15876" max="16129" width="11.42578125" style="4" customWidth="1"/>
    <col min="16130" max="16130" width="10.42578125" style="4" customWidth="1"/>
    <col min="16131" max="16131" width="13" style="4" customWidth="1"/>
    <col min="16132" max="16384" width="11.42578125" style="4" customWidth="1"/>
  </cols>
  <sheetData>
    <row r="1" spans="1:9" s="56" customFormat="1" ht="15" customHeight="1">
      <c r="A1" s="891" t="s">
        <v>2</v>
      </c>
      <c r="B1" s="892"/>
      <c r="C1" s="892"/>
      <c r="D1" s="892"/>
      <c r="E1" s="892"/>
      <c r="F1" s="892"/>
      <c r="G1" s="892"/>
      <c r="H1" s="893"/>
    </row>
    <row r="2" spans="1:9" s="56" customFormat="1" ht="5.25" customHeight="1" thickBot="1">
      <c r="A2" s="894"/>
      <c r="B2" s="895"/>
      <c r="C2" s="895"/>
      <c r="D2" s="895"/>
      <c r="E2" s="895"/>
      <c r="F2" s="895"/>
      <c r="G2" s="895"/>
      <c r="H2" s="896"/>
    </row>
    <row r="3" spans="1:9" s="56" customFormat="1" ht="56.25" customHeight="1" thickBot="1">
      <c r="A3" s="322"/>
      <c r="B3" s="907" t="s">
        <v>393</v>
      </c>
      <c r="C3" s="908"/>
      <c r="D3" s="908"/>
      <c r="E3" s="908"/>
      <c r="F3" s="908"/>
      <c r="G3" s="908"/>
      <c r="H3" s="909"/>
    </row>
    <row r="4" spans="1:9">
      <c r="A4" s="5"/>
      <c r="B4" s="6"/>
      <c r="C4" s="6"/>
      <c r="D4" s="52"/>
      <c r="E4" s="6"/>
      <c r="F4" s="6"/>
      <c r="G4" s="6"/>
      <c r="H4" s="6"/>
    </row>
    <row r="5" spans="1:9">
      <c r="A5" s="5"/>
      <c r="B5" s="7"/>
      <c r="C5" s="6"/>
      <c r="E5" s="7"/>
      <c r="G5" s="8"/>
      <c r="H5" s="9"/>
    </row>
    <row r="6" spans="1:9">
      <c r="A6" s="57" t="s">
        <v>374</v>
      </c>
      <c r="B6" s="906" t="s">
        <v>360</v>
      </c>
      <c r="C6" s="906"/>
      <c r="D6" s="906"/>
      <c r="E6" s="906"/>
      <c r="F6" s="906"/>
      <c r="G6" s="7" t="s">
        <v>30</v>
      </c>
      <c r="H6" s="26" t="s">
        <v>0</v>
      </c>
    </row>
    <row r="7" spans="1:9">
      <c r="A7" s="7"/>
      <c r="B7" s="906"/>
      <c r="C7" s="906"/>
      <c r="D7" s="906"/>
      <c r="E7" s="906"/>
      <c r="F7" s="906"/>
      <c r="G7" s="7"/>
      <c r="H7" s="6"/>
    </row>
    <row r="8" spans="1:9" ht="13.5" thickBot="1">
      <c r="A8" s="10" t="s">
        <v>3</v>
      </c>
      <c r="B8" s="10"/>
      <c r="C8" s="6"/>
      <c r="D8" s="52"/>
      <c r="E8" s="6"/>
      <c r="F8" s="6"/>
      <c r="G8" s="6"/>
      <c r="H8" s="6"/>
    </row>
    <row r="9" spans="1:9">
      <c r="A9" s="912" t="s">
        <v>4</v>
      </c>
      <c r="B9" s="913"/>
      <c r="C9" s="914"/>
      <c r="D9" s="11" t="s">
        <v>5</v>
      </c>
      <c r="E9" s="12" t="s">
        <v>6</v>
      </c>
      <c r="F9" s="11" t="s">
        <v>7</v>
      </c>
      <c r="G9" s="13" t="s">
        <v>8</v>
      </c>
      <c r="H9" s="14"/>
    </row>
    <row r="10" spans="1:9">
      <c r="A10" s="918" t="s">
        <v>306</v>
      </c>
      <c r="B10" s="919"/>
      <c r="C10" s="920"/>
      <c r="D10" s="15"/>
      <c r="E10" s="108"/>
      <c r="F10" s="16"/>
      <c r="G10" s="17">
        <f>H38*0.1</f>
        <v>4917.7285714285717</v>
      </c>
      <c r="H10" s="18"/>
    </row>
    <row r="11" spans="1:9">
      <c r="A11" s="918"/>
      <c r="B11" s="919"/>
      <c r="C11" s="920"/>
      <c r="D11" s="15"/>
      <c r="E11" s="108"/>
      <c r="F11" s="16"/>
      <c r="G11" s="17"/>
      <c r="H11" s="18"/>
    </row>
    <row r="12" spans="1:9">
      <c r="A12" s="918"/>
      <c r="B12" s="919"/>
      <c r="C12" s="920"/>
      <c r="D12" s="15"/>
      <c r="E12" s="108"/>
      <c r="F12" s="16"/>
      <c r="G12" s="50"/>
      <c r="H12" s="131"/>
    </row>
    <row r="13" spans="1:9" ht="13.5" thickBot="1">
      <c r="A13" s="921"/>
      <c r="B13" s="922"/>
      <c r="C13" s="923"/>
      <c r="D13" s="21"/>
      <c r="E13" s="22"/>
      <c r="F13" s="23"/>
      <c r="G13" s="24"/>
      <c r="H13" s="25"/>
    </row>
    <row r="14" spans="1:9" ht="13.5" thickBot="1">
      <c r="A14" s="6"/>
      <c r="B14" s="6"/>
      <c r="C14" s="6"/>
      <c r="D14" s="52"/>
      <c r="E14" s="6"/>
      <c r="F14" s="6"/>
      <c r="G14" s="26" t="s">
        <v>9</v>
      </c>
      <c r="H14" s="27">
        <f>SUM(G10:G13)</f>
        <v>4917.7285714285717</v>
      </c>
      <c r="I14" s="132"/>
    </row>
    <row r="15" spans="1:9" ht="13.5" thickBot="1">
      <c r="A15" s="10" t="s">
        <v>10</v>
      </c>
      <c r="B15" s="10"/>
      <c r="C15" s="6"/>
      <c r="D15" s="52"/>
      <c r="E15" s="6"/>
      <c r="F15" s="6"/>
      <c r="G15" s="6"/>
      <c r="H15" s="6"/>
    </row>
    <row r="16" spans="1:9">
      <c r="A16" s="912" t="s">
        <v>4</v>
      </c>
      <c r="B16" s="913"/>
      <c r="C16" s="914"/>
      <c r="D16" s="11" t="s">
        <v>11</v>
      </c>
      <c r="E16" s="11" t="s">
        <v>12</v>
      </c>
      <c r="F16" s="11" t="s">
        <v>13</v>
      </c>
      <c r="G16" s="13" t="s">
        <v>8</v>
      </c>
      <c r="H16" s="14"/>
    </row>
    <row r="17" spans="1:11">
      <c r="A17" s="29" t="s">
        <v>352</v>
      </c>
      <c r="B17" s="30"/>
      <c r="C17" s="30"/>
      <c r="D17" s="118" t="str">
        <f>+'Despiece de Insumos'!C10</f>
        <v>M3</v>
      </c>
      <c r="E17" s="133">
        <f>'Cto 3000'!H39</f>
        <v>433561</v>
      </c>
      <c r="F17" s="16">
        <v>0.6</v>
      </c>
      <c r="G17" s="17">
        <f>+E17*F17</f>
        <v>260136.59999999998</v>
      </c>
      <c r="H17" s="18"/>
    </row>
    <row r="18" spans="1:11">
      <c r="A18" s="29" t="s">
        <v>304</v>
      </c>
      <c r="B18" s="30"/>
      <c r="C18" s="30"/>
      <c r="D18" s="118" t="str">
        <f>'Despiece de Insumos'!C11</f>
        <v>M3</v>
      </c>
      <c r="E18" s="133">
        <f>'Despiece de Insumos'!D11</f>
        <v>70000</v>
      </c>
      <c r="F18" s="34">
        <v>0.4</v>
      </c>
      <c r="G18" s="17">
        <f t="shared" ref="G18:G19" si="0">+E18*F18</f>
        <v>28000</v>
      </c>
      <c r="H18" s="18"/>
    </row>
    <row r="19" spans="1:11">
      <c r="A19" s="29" t="str">
        <f>+'Despiece de Insumos'!B9</f>
        <v>AGUA</v>
      </c>
      <c r="B19" s="30"/>
      <c r="C19" s="30"/>
      <c r="D19" s="118" t="str">
        <f>+'Despiece de Insumos'!C9</f>
        <v>Litro</v>
      </c>
      <c r="E19" s="133">
        <f>+'Despiece de Insumos'!D9</f>
        <v>15</v>
      </c>
      <c r="F19" s="123">
        <v>50</v>
      </c>
      <c r="G19" s="17">
        <f t="shared" si="0"/>
        <v>750</v>
      </c>
      <c r="H19" s="18"/>
    </row>
    <row r="20" spans="1:11">
      <c r="A20" s="160"/>
      <c r="B20" s="125"/>
      <c r="C20" s="125"/>
      <c r="D20" s="19"/>
      <c r="E20" s="162"/>
      <c r="F20" s="20"/>
      <c r="G20" s="161"/>
      <c r="H20" s="18"/>
    </row>
    <row r="21" spans="1:11">
      <c r="A21" s="124"/>
      <c r="B21" s="125"/>
      <c r="C21" s="126"/>
      <c r="D21" s="19"/>
      <c r="E21" s="20"/>
      <c r="F21" s="36"/>
      <c r="G21" s="127"/>
      <c r="H21" s="18"/>
    </row>
    <row r="22" spans="1:11">
      <c r="A22" s="124"/>
      <c r="B22" s="125"/>
      <c r="C22" s="126"/>
      <c r="D22" s="19"/>
      <c r="E22" s="20"/>
      <c r="F22" s="36"/>
      <c r="G22" s="127"/>
      <c r="H22" s="18"/>
    </row>
    <row r="23" spans="1:11" ht="13.5" thickBot="1">
      <c r="A23" s="37"/>
      <c r="B23" s="38"/>
      <c r="C23" s="39"/>
      <c r="D23" s="21"/>
      <c r="E23" s="22"/>
      <c r="F23" s="23"/>
      <c r="G23" s="24"/>
      <c r="H23" s="25"/>
    </row>
    <row r="24" spans="1:11" ht="13.5" thickBot="1">
      <c r="A24" s="6"/>
      <c r="B24" s="6"/>
      <c r="C24" s="6"/>
      <c r="D24" s="52"/>
      <c r="E24" s="6"/>
      <c r="F24" s="6"/>
      <c r="G24" s="26" t="s">
        <v>9</v>
      </c>
      <c r="H24" s="27">
        <f>SUM(G17:G23)</f>
        <v>288886.59999999998</v>
      </c>
      <c r="I24" s="28"/>
      <c r="J24" s="28"/>
    </row>
    <row r="25" spans="1:11" ht="13.5" thickBot="1">
      <c r="A25" s="40" t="s">
        <v>14</v>
      </c>
      <c r="B25" s="40"/>
      <c r="C25" s="41"/>
      <c r="D25" s="52"/>
      <c r="E25" s="6"/>
      <c r="F25" s="6"/>
      <c r="G25" s="6"/>
      <c r="H25" s="6"/>
      <c r="K25" s="42"/>
    </row>
    <row r="26" spans="1:11">
      <c r="A26" s="43" t="s">
        <v>15</v>
      </c>
      <c r="B26" s="44"/>
      <c r="C26" s="45" t="s">
        <v>16</v>
      </c>
      <c r="D26" s="11" t="s">
        <v>17</v>
      </c>
      <c r="E26" s="11" t="s">
        <v>18</v>
      </c>
      <c r="F26" s="11" t="s">
        <v>19</v>
      </c>
      <c r="G26" s="46" t="s">
        <v>8</v>
      </c>
      <c r="H26" s="14"/>
    </row>
    <row r="27" spans="1:11">
      <c r="A27" s="924" t="s">
        <v>104</v>
      </c>
      <c r="B27" s="925"/>
      <c r="C27" s="109">
        <v>0.4</v>
      </c>
      <c r="D27" s="110">
        <v>22</v>
      </c>
      <c r="E27" s="111">
        <f>C27*D27</f>
        <v>8.8000000000000007</v>
      </c>
      <c r="F27" s="112">
        <f>TRANSPORTE!H33</f>
        <v>1500</v>
      </c>
      <c r="G27" s="47">
        <f>E27*F27</f>
        <v>13200.000000000002</v>
      </c>
      <c r="H27" s="18"/>
    </row>
    <row r="28" spans="1:11">
      <c r="A28" s="926"/>
      <c r="B28" s="927"/>
      <c r="C28" s="113"/>
      <c r="D28" s="108"/>
      <c r="E28" s="111"/>
      <c r="F28" s="16"/>
      <c r="G28" s="47"/>
      <c r="H28" s="18"/>
    </row>
    <row r="29" spans="1:11" ht="13.5" thickBot="1">
      <c r="A29" s="37"/>
      <c r="B29" s="39"/>
      <c r="C29" s="21"/>
      <c r="D29" s="21"/>
      <c r="E29" s="23"/>
      <c r="F29" s="24"/>
      <c r="G29" s="21"/>
      <c r="H29" s="18"/>
    </row>
    <row r="30" spans="1:11" ht="13.5" thickBot="1">
      <c r="A30" s="6"/>
      <c r="B30" s="6"/>
      <c r="C30" s="6"/>
      <c r="D30" s="52"/>
      <c r="E30" s="6"/>
      <c r="F30" s="6"/>
      <c r="G30" s="26" t="s">
        <v>9</v>
      </c>
      <c r="H30" s="27">
        <f>SUM(G27:G29)</f>
        <v>13200.000000000002</v>
      </c>
      <c r="I30" s="28"/>
    </row>
    <row r="31" spans="1:11" ht="13.5" thickBot="1">
      <c r="A31" s="40" t="s">
        <v>20</v>
      </c>
      <c r="B31" s="40"/>
      <c r="C31" s="6"/>
      <c r="D31" s="52"/>
      <c r="E31" s="6"/>
      <c r="F31" s="6"/>
      <c r="G31" s="6"/>
      <c r="H31" s="6"/>
    </row>
    <row r="32" spans="1:11">
      <c r="A32" s="43" t="s">
        <v>21</v>
      </c>
      <c r="B32" s="44"/>
      <c r="C32" s="48" t="s">
        <v>22</v>
      </c>
      <c r="D32" s="11" t="s">
        <v>23</v>
      </c>
      <c r="E32" s="12" t="s">
        <v>24</v>
      </c>
      <c r="F32" s="48" t="s">
        <v>7</v>
      </c>
      <c r="G32" s="13" t="s">
        <v>8</v>
      </c>
      <c r="H32" s="14"/>
    </row>
    <row r="33" spans="1:9">
      <c r="A33" s="84" t="s">
        <v>37</v>
      </c>
      <c r="B33" s="143">
        <v>1</v>
      </c>
      <c r="C33" s="49">
        <v>53124</v>
      </c>
      <c r="D33" s="172">
        <v>1.8</v>
      </c>
      <c r="E33" s="32">
        <f>+D33*C33</f>
        <v>95623.2</v>
      </c>
      <c r="F33" s="16">
        <v>7</v>
      </c>
      <c r="G33" s="141">
        <f>+E33/F33</f>
        <v>13660.457142857142</v>
      </c>
      <c r="H33" s="18"/>
      <c r="I33" s="28"/>
    </row>
    <row r="34" spans="1:9">
      <c r="A34" s="84" t="s">
        <v>38</v>
      </c>
      <c r="B34" s="143">
        <v>1</v>
      </c>
      <c r="C34" s="49">
        <v>42499</v>
      </c>
      <c r="D34" s="172">
        <v>1.8</v>
      </c>
      <c r="E34" s="32">
        <f t="shared" ref="E34" si="1">+D34*C34</f>
        <v>76498.2</v>
      </c>
      <c r="F34" s="16">
        <v>7</v>
      </c>
      <c r="G34" s="141">
        <f t="shared" ref="G34:G35" si="2">+E34/F34</f>
        <v>10928.314285714285</v>
      </c>
      <c r="H34" s="18"/>
      <c r="I34" s="28"/>
    </row>
    <row r="35" spans="1:9">
      <c r="A35" s="84" t="s">
        <v>39</v>
      </c>
      <c r="B35" s="143">
        <v>3</v>
      </c>
      <c r="C35" s="49">
        <v>31874</v>
      </c>
      <c r="D35" s="172">
        <v>1.8</v>
      </c>
      <c r="E35" s="32">
        <f>+D35*C35*B35</f>
        <v>172119.6</v>
      </c>
      <c r="F35" s="16">
        <v>7</v>
      </c>
      <c r="G35" s="141">
        <f t="shared" si="2"/>
        <v>24588.514285714286</v>
      </c>
      <c r="H35" s="18"/>
      <c r="I35" s="28"/>
    </row>
    <row r="36" spans="1:9">
      <c r="A36" s="35"/>
      <c r="B36" s="30"/>
      <c r="C36" s="32"/>
      <c r="D36" s="15"/>
      <c r="E36" s="32"/>
      <c r="F36" s="16"/>
      <c r="G36" s="17"/>
      <c r="H36" s="18"/>
      <c r="I36" s="28"/>
    </row>
    <row r="37" spans="1:9" ht="13.5" thickBot="1">
      <c r="A37" s="37"/>
      <c r="B37" s="38"/>
      <c r="C37" s="22"/>
      <c r="D37" s="114"/>
      <c r="E37" s="51"/>
      <c r="F37" s="51"/>
      <c r="G37" s="41"/>
      <c r="H37" s="25"/>
    </row>
    <row r="38" spans="1:9" ht="13.5" thickBot="1">
      <c r="A38" s="6"/>
      <c r="B38" s="6"/>
      <c r="C38" s="6"/>
      <c r="D38" s="52"/>
      <c r="E38" s="6"/>
      <c r="F38" s="6"/>
      <c r="G38" s="26" t="s">
        <v>9</v>
      </c>
      <c r="H38" s="27">
        <f>SUM(G33:G37)</f>
        <v>49177.28571428571</v>
      </c>
    </row>
    <row r="39" spans="1:9" ht="13.5" thickBot="1">
      <c r="A39" s="6"/>
      <c r="B39" s="6"/>
      <c r="C39" s="6"/>
      <c r="D39" s="52"/>
      <c r="E39" s="6"/>
      <c r="F39" s="6"/>
      <c r="G39" s="52"/>
      <c r="H39" s="6"/>
    </row>
    <row r="40" spans="1:9" ht="13.5" thickBot="1">
      <c r="A40" s="6"/>
      <c r="B40" s="6"/>
      <c r="C40" s="6"/>
      <c r="D40" s="52"/>
      <c r="E40" s="53" t="s">
        <v>25</v>
      </c>
      <c r="F40" s="54"/>
      <c r="G40" s="54"/>
      <c r="H40" s="27">
        <f>ROUND(H14+H24+H30+H38,0)</f>
        <v>356182</v>
      </c>
      <c r="I40" s="28"/>
    </row>
    <row r="45" spans="1:9" s="194" customFormat="1" ht="14.25">
      <c r="A45" s="195" t="s">
        <v>134</v>
      </c>
      <c r="B45" s="195"/>
      <c r="C45" s="195"/>
      <c r="D45" s="197"/>
      <c r="E45" s="196"/>
      <c r="F45" s="196"/>
    </row>
    <row r="46" spans="1:9" s="194" customFormat="1" ht="14.25">
      <c r="A46" s="195" t="s">
        <v>131</v>
      </c>
      <c r="B46" s="195"/>
      <c r="C46" s="195"/>
      <c r="D46" s="197"/>
      <c r="E46" s="196"/>
      <c r="F46" s="196"/>
    </row>
    <row r="50" ht="26.25" customHeight="1"/>
  </sheetData>
  <mergeCells count="10">
    <mergeCell ref="A12:C12"/>
    <mergeCell ref="A13:C13"/>
    <mergeCell ref="A16:C16"/>
    <mergeCell ref="A27:B28"/>
    <mergeCell ref="A1:H2"/>
    <mergeCell ref="B3:H3"/>
    <mergeCell ref="B6:F7"/>
    <mergeCell ref="A9:C9"/>
    <mergeCell ref="A10:C10"/>
    <mergeCell ref="A11:C11"/>
  </mergeCells>
  <printOptions horizontalCentered="1" verticalCentered="1"/>
  <pageMargins left="1.1811023622047245" right="0.39370078740157483" top="0.76197916666666665" bottom="1.1811023622047245" header="0" footer="0"/>
  <pageSetup orientation="portrait" r:id="rId1"/>
  <headerFooter alignWithMargins="0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FF0000"/>
  </sheetPr>
  <dimension ref="A1:M47"/>
  <sheetViews>
    <sheetView view="pageBreakPreview" topLeftCell="A22" zoomScaleSheetLayoutView="100" workbookViewId="0">
      <selection activeCell="D17" sqref="D17"/>
    </sheetView>
  </sheetViews>
  <sheetFormatPr baseColWidth="10" defaultColWidth="9.28515625" defaultRowHeight="12.75"/>
  <cols>
    <col min="1" max="1" width="11.42578125" style="4" customWidth="1"/>
    <col min="2" max="2" width="10.42578125" style="4" customWidth="1"/>
    <col min="3" max="3" width="13" style="4" customWidth="1"/>
    <col min="4" max="4" width="11.42578125" style="107" customWidth="1"/>
    <col min="5" max="8" width="11.42578125" style="4" customWidth="1"/>
    <col min="9" max="9" width="15.42578125" style="4" customWidth="1"/>
    <col min="10" max="254" width="11.42578125" style="4" customWidth="1"/>
    <col min="255" max="255" width="10.42578125" style="4" customWidth="1"/>
    <col min="256" max="256" width="13" style="4" customWidth="1"/>
    <col min="257" max="510" width="11.42578125" style="4" customWidth="1"/>
    <col min="511" max="511" width="10.42578125" style="4" customWidth="1"/>
    <col min="512" max="512" width="13" style="4" customWidth="1"/>
    <col min="513" max="766" width="11.42578125" style="4" customWidth="1"/>
    <col min="767" max="767" width="10.42578125" style="4" customWidth="1"/>
    <col min="768" max="768" width="13" style="4" customWidth="1"/>
    <col min="769" max="1022" width="11.42578125" style="4" customWidth="1"/>
    <col min="1023" max="1023" width="10.42578125" style="4" customWidth="1"/>
    <col min="1024" max="1024" width="13" style="4" customWidth="1"/>
    <col min="1025" max="1278" width="11.42578125" style="4" customWidth="1"/>
    <col min="1279" max="1279" width="10.42578125" style="4" customWidth="1"/>
    <col min="1280" max="1280" width="13" style="4" customWidth="1"/>
    <col min="1281" max="1534" width="11.42578125" style="4" customWidth="1"/>
    <col min="1535" max="1535" width="10.42578125" style="4" customWidth="1"/>
    <col min="1536" max="1536" width="13" style="4" customWidth="1"/>
    <col min="1537" max="1790" width="11.42578125" style="4" customWidth="1"/>
    <col min="1791" max="1791" width="10.42578125" style="4" customWidth="1"/>
    <col min="1792" max="1792" width="13" style="4" customWidth="1"/>
    <col min="1793" max="2046" width="11.42578125" style="4" customWidth="1"/>
    <col min="2047" max="2047" width="10.42578125" style="4" customWidth="1"/>
    <col min="2048" max="2048" width="13" style="4" customWidth="1"/>
    <col min="2049" max="2302" width="11.42578125" style="4" customWidth="1"/>
    <col min="2303" max="2303" width="10.42578125" style="4" customWidth="1"/>
    <col min="2304" max="2304" width="13" style="4" customWidth="1"/>
    <col min="2305" max="2558" width="11.42578125" style="4" customWidth="1"/>
    <col min="2559" max="2559" width="10.42578125" style="4" customWidth="1"/>
    <col min="2560" max="2560" width="13" style="4" customWidth="1"/>
    <col min="2561" max="2814" width="11.42578125" style="4" customWidth="1"/>
    <col min="2815" max="2815" width="10.42578125" style="4" customWidth="1"/>
    <col min="2816" max="2816" width="13" style="4" customWidth="1"/>
    <col min="2817" max="3070" width="11.42578125" style="4" customWidth="1"/>
    <col min="3071" max="3071" width="10.42578125" style="4" customWidth="1"/>
    <col min="3072" max="3072" width="13" style="4" customWidth="1"/>
    <col min="3073" max="3326" width="11.42578125" style="4" customWidth="1"/>
    <col min="3327" max="3327" width="10.42578125" style="4" customWidth="1"/>
    <col min="3328" max="3328" width="13" style="4" customWidth="1"/>
    <col min="3329" max="3582" width="11.42578125" style="4" customWidth="1"/>
    <col min="3583" max="3583" width="10.42578125" style="4" customWidth="1"/>
    <col min="3584" max="3584" width="13" style="4" customWidth="1"/>
    <col min="3585" max="3838" width="11.42578125" style="4" customWidth="1"/>
    <col min="3839" max="3839" width="10.42578125" style="4" customWidth="1"/>
    <col min="3840" max="3840" width="13" style="4" customWidth="1"/>
    <col min="3841" max="4094" width="11.42578125" style="4" customWidth="1"/>
    <col min="4095" max="4095" width="10.42578125" style="4" customWidth="1"/>
    <col min="4096" max="4096" width="13" style="4" customWidth="1"/>
    <col min="4097" max="4350" width="11.42578125" style="4" customWidth="1"/>
    <col min="4351" max="4351" width="10.42578125" style="4" customWidth="1"/>
    <col min="4352" max="4352" width="13" style="4" customWidth="1"/>
    <col min="4353" max="4606" width="11.42578125" style="4" customWidth="1"/>
    <col min="4607" max="4607" width="10.42578125" style="4" customWidth="1"/>
    <col min="4608" max="4608" width="13" style="4" customWidth="1"/>
    <col min="4609" max="4862" width="11.42578125" style="4" customWidth="1"/>
    <col min="4863" max="4863" width="10.42578125" style="4" customWidth="1"/>
    <col min="4864" max="4864" width="13" style="4" customWidth="1"/>
    <col min="4865" max="5118" width="11.42578125" style="4" customWidth="1"/>
    <col min="5119" max="5119" width="10.42578125" style="4" customWidth="1"/>
    <col min="5120" max="5120" width="13" style="4" customWidth="1"/>
    <col min="5121" max="5374" width="11.42578125" style="4" customWidth="1"/>
    <col min="5375" max="5375" width="10.42578125" style="4" customWidth="1"/>
    <col min="5376" max="5376" width="13" style="4" customWidth="1"/>
    <col min="5377" max="5630" width="11.42578125" style="4" customWidth="1"/>
    <col min="5631" max="5631" width="10.42578125" style="4" customWidth="1"/>
    <col min="5632" max="5632" width="13" style="4" customWidth="1"/>
    <col min="5633" max="5886" width="11.42578125" style="4" customWidth="1"/>
    <col min="5887" max="5887" width="10.42578125" style="4" customWidth="1"/>
    <col min="5888" max="5888" width="13" style="4" customWidth="1"/>
    <col min="5889" max="6142" width="11.42578125" style="4" customWidth="1"/>
    <col min="6143" max="6143" width="10.42578125" style="4" customWidth="1"/>
    <col min="6144" max="6144" width="13" style="4" customWidth="1"/>
    <col min="6145" max="6398" width="11.42578125" style="4" customWidth="1"/>
    <col min="6399" max="6399" width="10.42578125" style="4" customWidth="1"/>
    <col min="6400" max="6400" width="13" style="4" customWidth="1"/>
    <col min="6401" max="6654" width="11.42578125" style="4" customWidth="1"/>
    <col min="6655" max="6655" width="10.42578125" style="4" customWidth="1"/>
    <col min="6656" max="6656" width="13" style="4" customWidth="1"/>
    <col min="6657" max="6910" width="11.42578125" style="4" customWidth="1"/>
    <col min="6911" max="6911" width="10.42578125" style="4" customWidth="1"/>
    <col min="6912" max="6912" width="13" style="4" customWidth="1"/>
    <col min="6913" max="7166" width="11.42578125" style="4" customWidth="1"/>
    <col min="7167" max="7167" width="10.42578125" style="4" customWidth="1"/>
    <col min="7168" max="7168" width="13" style="4" customWidth="1"/>
    <col min="7169" max="7422" width="11.42578125" style="4" customWidth="1"/>
    <col min="7423" max="7423" width="10.42578125" style="4" customWidth="1"/>
    <col min="7424" max="7424" width="13" style="4" customWidth="1"/>
    <col min="7425" max="7678" width="11.42578125" style="4" customWidth="1"/>
    <col min="7679" max="7679" width="10.42578125" style="4" customWidth="1"/>
    <col min="7680" max="7680" width="13" style="4" customWidth="1"/>
    <col min="7681" max="7934" width="11.42578125" style="4" customWidth="1"/>
    <col min="7935" max="7935" width="10.42578125" style="4" customWidth="1"/>
    <col min="7936" max="7936" width="13" style="4" customWidth="1"/>
    <col min="7937" max="8190" width="11.42578125" style="4" customWidth="1"/>
    <col min="8191" max="8191" width="10.42578125" style="4" customWidth="1"/>
    <col min="8192" max="8192" width="13" style="4" customWidth="1"/>
    <col min="8193" max="8446" width="11.42578125" style="4" customWidth="1"/>
    <col min="8447" max="8447" width="10.42578125" style="4" customWidth="1"/>
    <col min="8448" max="8448" width="13" style="4" customWidth="1"/>
    <col min="8449" max="8702" width="11.42578125" style="4" customWidth="1"/>
    <col min="8703" max="8703" width="10.42578125" style="4" customWidth="1"/>
    <col min="8704" max="8704" width="13" style="4" customWidth="1"/>
    <col min="8705" max="8958" width="11.42578125" style="4" customWidth="1"/>
    <col min="8959" max="8959" width="10.42578125" style="4" customWidth="1"/>
    <col min="8960" max="8960" width="13" style="4" customWidth="1"/>
    <col min="8961" max="9214" width="11.42578125" style="4" customWidth="1"/>
    <col min="9215" max="9215" width="10.42578125" style="4" customWidth="1"/>
    <col min="9216" max="9216" width="13" style="4" customWidth="1"/>
    <col min="9217" max="9470" width="11.42578125" style="4" customWidth="1"/>
    <col min="9471" max="9471" width="10.42578125" style="4" customWidth="1"/>
    <col min="9472" max="9472" width="13" style="4" customWidth="1"/>
    <col min="9473" max="9726" width="11.42578125" style="4" customWidth="1"/>
    <col min="9727" max="9727" width="10.42578125" style="4" customWidth="1"/>
    <col min="9728" max="9728" width="13" style="4" customWidth="1"/>
    <col min="9729" max="9982" width="11.42578125" style="4" customWidth="1"/>
    <col min="9983" max="9983" width="10.42578125" style="4" customWidth="1"/>
    <col min="9984" max="9984" width="13" style="4" customWidth="1"/>
    <col min="9985" max="10238" width="11.42578125" style="4" customWidth="1"/>
    <col min="10239" max="10239" width="10.42578125" style="4" customWidth="1"/>
    <col min="10240" max="10240" width="13" style="4" customWidth="1"/>
    <col min="10241" max="10494" width="11.42578125" style="4" customWidth="1"/>
    <col min="10495" max="10495" width="10.42578125" style="4" customWidth="1"/>
    <col min="10496" max="10496" width="13" style="4" customWidth="1"/>
    <col min="10497" max="10750" width="11.42578125" style="4" customWidth="1"/>
    <col min="10751" max="10751" width="10.42578125" style="4" customWidth="1"/>
    <col min="10752" max="10752" width="13" style="4" customWidth="1"/>
    <col min="10753" max="11006" width="11.42578125" style="4" customWidth="1"/>
    <col min="11007" max="11007" width="10.42578125" style="4" customWidth="1"/>
    <col min="11008" max="11008" width="13" style="4" customWidth="1"/>
    <col min="11009" max="11262" width="11.42578125" style="4" customWidth="1"/>
    <col min="11263" max="11263" width="10.42578125" style="4" customWidth="1"/>
    <col min="11264" max="11264" width="13" style="4" customWidth="1"/>
    <col min="11265" max="11518" width="11.42578125" style="4" customWidth="1"/>
    <col min="11519" max="11519" width="10.42578125" style="4" customWidth="1"/>
    <col min="11520" max="11520" width="13" style="4" customWidth="1"/>
    <col min="11521" max="11774" width="11.42578125" style="4" customWidth="1"/>
    <col min="11775" max="11775" width="10.42578125" style="4" customWidth="1"/>
    <col min="11776" max="11776" width="13" style="4" customWidth="1"/>
    <col min="11777" max="12030" width="11.42578125" style="4" customWidth="1"/>
    <col min="12031" max="12031" width="10.42578125" style="4" customWidth="1"/>
    <col min="12032" max="12032" width="13" style="4" customWidth="1"/>
    <col min="12033" max="12286" width="11.42578125" style="4" customWidth="1"/>
    <col min="12287" max="12287" width="10.42578125" style="4" customWidth="1"/>
    <col min="12288" max="12288" width="13" style="4" customWidth="1"/>
    <col min="12289" max="12542" width="11.42578125" style="4" customWidth="1"/>
    <col min="12543" max="12543" width="10.42578125" style="4" customWidth="1"/>
    <col min="12544" max="12544" width="13" style="4" customWidth="1"/>
    <col min="12545" max="12798" width="11.42578125" style="4" customWidth="1"/>
    <col min="12799" max="12799" width="10.42578125" style="4" customWidth="1"/>
    <col min="12800" max="12800" width="13" style="4" customWidth="1"/>
    <col min="12801" max="13054" width="11.42578125" style="4" customWidth="1"/>
    <col min="13055" max="13055" width="10.42578125" style="4" customWidth="1"/>
    <col min="13056" max="13056" width="13" style="4" customWidth="1"/>
    <col min="13057" max="13310" width="11.42578125" style="4" customWidth="1"/>
    <col min="13311" max="13311" width="10.42578125" style="4" customWidth="1"/>
    <col min="13312" max="13312" width="13" style="4" customWidth="1"/>
    <col min="13313" max="13566" width="11.42578125" style="4" customWidth="1"/>
    <col min="13567" max="13567" width="10.42578125" style="4" customWidth="1"/>
    <col min="13568" max="13568" width="13" style="4" customWidth="1"/>
    <col min="13569" max="13822" width="11.42578125" style="4" customWidth="1"/>
    <col min="13823" max="13823" width="10.42578125" style="4" customWidth="1"/>
    <col min="13824" max="13824" width="13" style="4" customWidth="1"/>
    <col min="13825" max="14078" width="11.42578125" style="4" customWidth="1"/>
    <col min="14079" max="14079" width="10.42578125" style="4" customWidth="1"/>
    <col min="14080" max="14080" width="13" style="4" customWidth="1"/>
    <col min="14081" max="14334" width="11.42578125" style="4" customWidth="1"/>
    <col min="14335" max="14335" width="10.42578125" style="4" customWidth="1"/>
    <col min="14336" max="14336" width="13" style="4" customWidth="1"/>
    <col min="14337" max="14590" width="11.42578125" style="4" customWidth="1"/>
    <col min="14591" max="14591" width="10.42578125" style="4" customWidth="1"/>
    <col min="14592" max="14592" width="13" style="4" customWidth="1"/>
    <col min="14593" max="14846" width="11.42578125" style="4" customWidth="1"/>
    <col min="14847" max="14847" width="10.42578125" style="4" customWidth="1"/>
    <col min="14848" max="14848" width="13" style="4" customWidth="1"/>
    <col min="14849" max="15102" width="11.42578125" style="4" customWidth="1"/>
    <col min="15103" max="15103" width="10.42578125" style="4" customWidth="1"/>
    <col min="15104" max="15104" width="13" style="4" customWidth="1"/>
    <col min="15105" max="15358" width="11.42578125" style="4" customWidth="1"/>
    <col min="15359" max="15359" width="10.42578125" style="4" customWidth="1"/>
    <col min="15360" max="15360" width="13" style="4" customWidth="1"/>
    <col min="15361" max="15614" width="11.42578125" style="4" customWidth="1"/>
    <col min="15615" max="15615" width="10.42578125" style="4" customWidth="1"/>
    <col min="15616" max="15616" width="13" style="4" customWidth="1"/>
    <col min="15617" max="15870" width="11.42578125" style="4" customWidth="1"/>
    <col min="15871" max="15871" width="10.42578125" style="4" customWidth="1"/>
    <col min="15872" max="15872" width="13" style="4" customWidth="1"/>
    <col min="15873" max="16126" width="11.42578125" style="4" customWidth="1"/>
    <col min="16127" max="16127" width="10.42578125" style="4" customWidth="1"/>
    <col min="16128" max="16128" width="13" style="4" customWidth="1"/>
    <col min="16129" max="16384" width="11.42578125" style="4" customWidth="1"/>
  </cols>
  <sheetData>
    <row r="1" spans="1:9" s="56" customFormat="1" ht="15" customHeight="1">
      <c r="A1" s="891" t="s">
        <v>2</v>
      </c>
      <c r="B1" s="892"/>
      <c r="C1" s="892"/>
      <c r="D1" s="892"/>
      <c r="E1" s="892"/>
      <c r="F1" s="892"/>
      <c r="G1" s="892"/>
      <c r="H1" s="893"/>
    </row>
    <row r="2" spans="1:9" s="56" customFormat="1" ht="5.25" customHeight="1" thickBot="1">
      <c r="A2" s="894"/>
      <c r="B2" s="895"/>
      <c r="C2" s="895"/>
      <c r="D2" s="895"/>
      <c r="E2" s="895"/>
      <c r="F2" s="895"/>
      <c r="G2" s="895"/>
      <c r="H2" s="896"/>
    </row>
    <row r="3" spans="1:9" s="56" customFormat="1" ht="56.25" customHeight="1" thickBot="1">
      <c r="A3" s="322"/>
      <c r="B3" s="907" t="s">
        <v>393</v>
      </c>
      <c r="C3" s="908"/>
      <c r="D3" s="908"/>
      <c r="E3" s="908"/>
      <c r="F3" s="908"/>
      <c r="G3" s="908"/>
      <c r="H3" s="909"/>
    </row>
    <row r="5" spans="1:9">
      <c r="A5" s="5"/>
      <c r="B5" s="7"/>
      <c r="C5" s="6"/>
      <c r="E5" s="7"/>
      <c r="G5" s="8"/>
      <c r="H5" s="9"/>
    </row>
    <row r="6" spans="1:9">
      <c r="A6" s="57" t="s">
        <v>376</v>
      </c>
      <c r="B6" s="906" t="s">
        <v>362</v>
      </c>
      <c r="C6" s="906"/>
      <c r="D6" s="906"/>
      <c r="E6" s="906"/>
      <c r="F6" s="906"/>
      <c r="G6" s="58" t="s">
        <v>30</v>
      </c>
      <c r="H6" s="61" t="s">
        <v>0</v>
      </c>
    </row>
    <row r="7" spans="1:9">
      <c r="A7" s="58"/>
      <c r="B7" s="906"/>
      <c r="C7" s="906"/>
      <c r="D7" s="906"/>
      <c r="E7" s="906"/>
      <c r="F7" s="906"/>
      <c r="G7" s="58"/>
      <c r="H7" s="56"/>
    </row>
    <row r="8" spans="1:9" ht="13.5" thickBot="1">
      <c r="A8" s="10" t="s">
        <v>3</v>
      </c>
      <c r="B8" s="10"/>
      <c r="C8" s="6"/>
      <c r="D8" s="52"/>
      <c r="E8" s="6"/>
      <c r="F8" s="6"/>
      <c r="G8" s="6"/>
      <c r="H8" s="6"/>
    </row>
    <row r="9" spans="1:9">
      <c r="A9" s="912" t="s">
        <v>4</v>
      </c>
      <c r="B9" s="913"/>
      <c r="C9" s="914"/>
      <c r="D9" s="11" t="s">
        <v>5</v>
      </c>
      <c r="E9" s="12" t="s">
        <v>6</v>
      </c>
      <c r="F9" s="11" t="s">
        <v>7</v>
      </c>
      <c r="G9" s="13" t="s">
        <v>8</v>
      </c>
      <c r="H9" s="14"/>
    </row>
    <row r="10" spans="1:9">
      <c r="A10" s="918" t="s">
        <v>305</v>
      </c>
      <c r="B10" s="919"/>
      <c r="C10" s="920"/>
      <c r="D10" s="15"/>
      <c r="E10" s="67"/>
      <c r="F10" s="67"/>
      <c r="G10" s="68">
        <f>H38*0.1</f>
        <v>573.73200000000008</v>
      </c>
      <c r="H10" s="18"/>
    </row>
    <row r="11" spans="1:9">
      <c r="A11" s="918" t="str">
        <f>EQUIPO!B6</f>
        <v>COMPACTADOR MANUAL (RANA)</v>
      </c>
      <c r="B11" s="919"/>
      <c r="C11" s="920"/>
      <c r="D11" s="15" t="str">
        <f>EQUIPO!C6</f>
        <v>Hora</v>
      </c>
      <c r="E11" s="193">
        <f>EQUIPO!D6</f>
        <v>7000</v>
      </c>
      <c r="F11" s="67">
        <v>1.25</v>
      </c>
      <c r="G11" s="68">
        <f>E11/F11</f>
        <v>5600</v>
      </c>
      <c r="H11" s="18"/>
    </row>
    <row r="12" spans="1:9">
      <c r="A12" s="918"/>
      <c r="B12" s="919"/>
      <c r="C12" s="920"/>
      <c r="D12" s="15"/>
      <c r="E12" s="108"/>
      <c r="F12" s="16"/>
      <c r="G12" s="17"/>
      <c r="H12" s="18"/>
    </row>
    <row r="13" spans="1:9" ht="13.5" thickBot="1">
      <c r="A13" s="921"/>
      <c r="B13" s="922"/>
      <c r="C13" s="923"/>
      <c r="D13" s="21"/>
      <c r="E13" s="149"/>
      <c r="F13" s="23"/>
      <c r="G13" s="121"/>
      <c r="H13" s="25"/>
    </row>
    <row r="14" spans="1:9" ht="13.5" thickBot="1">
      <c r="A14" s="6"/>
      <c r="B14" s="6"/>
      <c r="C14" s="6"/>
      <c r="D14" s="52"/>
      <c r="E14" s="6"/>
      <c r="F14" s="6"/>
      <c r="G14" s="26" t="s">
        <v>9</v>
      </c>
      <c r="H14" s="77">
        <f>SUM(G10:G13)</f>
        <v>6173.732</v>
      </c>
      <c r="I14" s="28"/>
    </row>
    <row r="15" spans="1:9" ht="13.5" thickBot="1">
      <c r="A15" s="10" t="s">
        <v>10</v>
      </c>
      <c r="B15" s="10"/>
      <c r="C15" s="6"/>
      <c r="D15" s="52"/>
      <c r="E15" s="6"/>
      <c r="F15" s="6"/>
      <c r="G15" s="6"/>
      <c r="H15" s="6"/>
    </row>
    <row r="16" spans="1:9">
      <c r="A16" s="912" t="s">
        <v>4</v>
      </c>
      <c r="B16" s="913"/>
      <c r="C16" s="914"/>
      <c r="D16" s="11" t="s">
        <v>11</v>
      </c>
      <c r="E16" s="11" t="s">
        <v>12</v>
      </c>
      <c r="F16" s="11" t="s">
        <v>13</v>
      </c>
      <c r="G16" s="13" t="s">
        <v>8</v>
      </c>
      <c r="H16" s="14"/>
    </row>
    <row r="17" spans="1:13">
      <c r="A17" s="929" t="str">
        <f>'Despiece de Insumos'!B21</f>
        <v>RECEBO COMUN IP&lt;=9 INCLUYE IVA</v>
      </c>
      <c r="B17" s="930"/>
      <c r="C17" s="931"/>
      <c r="D17" s="66" t="s">
        <v>0</v>
      </c>
      <c r="E17" s="82">
        <f>'Despiece de Insumos'!D21</f>
        <v>14000</v>
      </c>
      <c r="F17" s="99">
        <v>1.3</v>
      </c>
      <c r="G17" s="68">
        <f>E17*F17</f>
        <v>18200</v>
      </c>
      <c r="H17" s="18"/>
      <c r="K17" s="151"/>
      <c r="M17" s="10"/>
    </row>
    <row r="18" spans="1:13">
      <c r="A18" s="84"/>
      <c r="B18" s="80"/>
      <c r="C18" s="81"/>
      <c r="D18" s="66"/>
      <c r="E18" s="82"/>
      <c r="F18" s="83"/>
      <c r="G18" s="68"/>
      <c r="H18" s="18"/>
      <c r="M18" s="10"/>
    </row>
    <row r="19" spans="1:13">
      <c r="A19" s="29"/>
      <c r="B19" s="30"/>
      <c r="C19" s="30"/>
      <c r="D19" s="118"/>
      <c r="E19" s="144"/>
      <c r="F19" s="33"/>
      <c r="G19" s="188"/>
      <c r="H19" s="18"/>
    </row>
    <row r="20" spans="1:13">
      <c r="A20" s="29"/>
      <c r="B20" s="30"/>
      <c r="C20" s="30"/>
      <c r="D20" s="15"/>
      <c r="E20" s="145"/>
      <c r="F20" s="33"/>
      <c r="G20" s="188"/>
      <c r="H20" s="18"/>
    </row>
    <row r="21" spans="1:13">
      <c r="A21" s="29"/>
      <c r="B21" s="30"/>
      <c r="C21" s="30"/>
      <c r="D21" s="19"/>
      <c r="E21" s="147"/>
      <c r="F21" s="36"/>
      <c r="G21" s="188"/>
      <c r="H21" s="18"/>
    </row>
    <row r="22" spans="1:13">
      <c r="A22" s="160"/>
      <c r="B22" s="125"/>
      <c r="C22" s="125"/>
      <c r="D22" s="19"/>
      <c r="E22" s="162"/>
      <c r="F22" s="20"/>
      <c r="G22" s="189"/>
      <c r="H22" s="18"/>
    </row>
    <row r="23" spans="1:13" ht="13.5" thickBot="1">
      <c r="A23" s="37"/>
      <c r="B23" s="38"/>
      <c r="C23" s="38"/>
      <c r="D23" s="21"/>
      <c r="E23" s="146"/>
      <c r="F23" s="23"/>
      <c r="G23" s="190"/>
      <c r="H23" s="25"/>
    </row>
    <row r="24" spans="1:13" ht="13.5" thickBot="1">
      <c r="A24" s="6"/>
      <c r="B24" s="6"/>
      <c r="C24" s="6"/>
      <c r="D24" s="52"/>
      <c r="E24" s="6"/>
      <c r="F24" s="6"/>
      <c r="G24" s="26" t="s">
        <v>9</v>
      </c>
      <c r="H24" s="165">
        <f>SUM(G17:G23)</f>
        <v>18200</v>
      </c>
      <c r="I24" s="28"/>
    </row>
    <row r="25" spans="1:13" ht="13.5" thickBot="1">
      <c r="A25" s="40" t="s">
        <v>14</v>
      </c>
      <c r="B25" s="40"/>
      <c r="C25" s="41"/>
      <c r="D25" s="52"/>
      <c r="E25" s="6"/>
      <c r="F25" s="6"/>
      <c r="G25" s="6"/>
      <c r="H25" s="6"/>
    </row>
    <row r="26" spans="1:13">
      <c r="A26" s="43" t="s">
        <v>15</v>
      </c>
      <c r="B26" s="44"/>
      <c r="C26" s="45" t="s">
        <v>16</v>
      </c>
      <c r="D26" s="11" t="s">
        <v>17</v>
      </c>
      <c r="E26" s="11" t="s">
        <v>18</v>
      </c>
      <c r="F26" s="11" t="s">
        <v>19</v>
      </c>
      <c r="G26" s="46" t="s">
        <v>8</v>
      </c>
      <c r="H26" s="14"/>
    </row>
    <row r="27" spans="1:13" s="185" customFormat="1">
      <c r="A27" s="84" t="s">
        <v>89</v>
      </c>
      <c r="B27" s="80"/>
      <c r="C27" s="93">
        <v>1.3</v>
      </c>
      <c r="D27" s="94">
        <v>22</v>
      </c>
      <c r="E27" s="96">
        <f>C27*D27</f>
        <v>28.6</v>
      </c>
      <c r="F27" s="170">
        <v>1500</v>
      </c>
      <c r="G27" s="97">
        <f>E27*F27</f>
        <v>42900</v>
      </c>
      <c r="H27" s="184"/>
    </row>
    <row r="28" spans="1:13">
      <c r="A28" s="35"/>
      <c r="B28" s="30"/>
      <c r="C28" s="113"/>
      <c r="D28" s="108"/>
      <c r="E28" s="111"/>
      <c r="F28" s="16"/>
      <c r="G28" s="47"/>
      <c r="H28" s="18"/>
    </row>
    <row r="29" spans="1:13" ht="13.5" thickBot="1">
      <c r="A29" s="37"/>
      <c r="B29" s="39"/>
      <c r="C29" s="21"/>
      <c r="D29" s="21"/>
      <c r="E29" s="23"/>
      <c r="F29" s="24"/>
      <c r="G29" s="21"/>
      <c r="H29" s="18"/>
    </row>
    <row r="30" spans="1:13" ht="13.5" thickBot="1">
      <c r="A30" s="6"/>
      <c r="B30" s="6"/>
      <c r="C30" s="6"/>
      <c r="D30" s="52"/>
      <c r="E30" s="6"/>
      <c r="F30" s="6"/>
      <c r="G30" s="26" t="s">
        <v>9</v>
      </c>
      <c r="H30" s="77">
        <f>SUM(G27:G29)</f>
        <v>42900</v>
      </c>
      <c r="I30" s="28"/>
    </row>
    <row r="31" spans="1:13" ht="13.5" thickBot="1">
      <c r="A31" s="40" t="s">
        <v>20</v>
      </c>
      <c r="B31" s="40"/>
      <c r="C31" s="6"/>
      <c r="D31" s="52"/>
      <c r="E31" s="6"/>
      <c r="F31" s="6"/>
      <c r="G31" s="6"/>
      <c r="H31" s="6"/>
    </row>
    <row r="32" spans="1:13">
      <c r="A32" s="43" t="s">
        <v>21</v>
      </c>
      <c r="B32" s="44"/>
      <c r="C32" s="48" t="s">
        <v>22</v>
      </c>
      <c r="D32" s="11" t="s">
        <v>23</v>
      </c>
      <c r="E32" s="12" t="s">
        <v>24</v>
      </c>
      <c r="F32" s="48" t="s">
        <v>7</v>
      </c>
      <c r="G32" s="13" t="s">
        <v>8</v>
      </c>
      <c r="H32" s="14"/>
    </row>
    <row r="33" spans="1:9">
      <c r="A33" s="35"/>
      <c r="B33" s="30"/>
      <c r="C33" s="135"/>
      <c r="D33" s="172"/>
      <c r="E33" s="32"/>
      <c r="F33" s="16"/>
      <c r="G33" s="141"/>
      <c r="H33" s="18"/>
      <c r="I33" s="28"/>
    </row>
    <row r="34" spans="1:9">
      <c r="A34" s="35" t="s">
        <v>54</v>
      </c>
      <c r="B34" s="30">
        <v>1</v>
      </c>
      <c r="C34" s="135">
        <v>31874</v>
      </c>
      <c r="D34" s="172">
        <v>1.8</v>
      </c>
      <c r="E34" s="32">
        <f>+D34*C34*B34</f>
        <v>57373.200000000004</v>
      </c>
      <c r="F34" s="16">
        <v>10</v>
      </c>
      <c r="G34" s="141">
        <f t="shared" ref="G34" si="0">+E34/F34</f>
        <v>5737.3200000000006</v>
      </c>
      <c r="H34" s="18"/>
      <c r="I34" s="28"/>
    </row>
    <row r="35" spans="1:9">
      <c r="A35" s="35"/>
      <c r="B35" s="30"/>
      <c r="C35" s="32"/>
      <c r="D35" s="173"/>
      <c r="E35" s="32"/>
      <c r="F35" s="16"/>
      <c r="G35" s="17"/>
      <c r="H35" s="18"/>
    </row>
    <row r="36" spans="1:9">
      <c r="A36" s="35"/>
      <c r="B36" s="30"/>
      <c r="C36" s="32"/>
      <c r="D36" s="15"/>
      <c r="E36" s="32"/>
      <c r="F36" s="16"/>
      <c r="G36" s="17"/>
      <c r="H36" s="18"/>
      <c r="I36" s="28"/>
    </row>
    <row r="37" spans="1:9" ht="13.5" thickBot="1">
      <c r="A37" s="37"/>
      <c r="B37" s="38"/>
      <c r="C37" s="22"/>
      <c r="D37" s="114"/>
      <c r="E37" s="51"/>
      <c r="F37" s="51"/>
      <c r="G37" s="41"/>
      <c r="H37" s="25"/>
    </row>
    <row r="38" spans="1:9" ht="13.5" thickBot="1">
      <c r="A38" s="6"/>
      <c r="B38" s="6"/>
      <c r="C38" s="6"/>
      <c r="D38" s="52"/>
      <c r="E38" s="6"/>
      <c r="F38" s="6"/>
      <c r="G38" s="26" t="s">
        <v>9</v>
      </c>
      <c r="H38" s="77">
        <f>SUM(G33:G37)</f>
        <v>5737.3200000000006</v>
      </c>
    </row>
    <row r="39" spans="1:9" ht="13.5" thickBot="1">
      <c r="A39" s="6"/>
      <c r="B39" s="6"/>
      <c r="C39" s="6"/>
      <c r="D39" s="52"/>
      <c r="E39" s="6"/>
      <c r="F39" s="6"/>
      <c r="G39" s="52"/>
      <c r="H39" s="6"/>
    </row>
    <row r="40" spans="1:9" ht="13.5" thickBot="1">
      <c r="A40" s="6"/>
      <c r="B40" s="6"/>
      <c r="C40" s="6"/>
      <c r="D40" s="52"/>
      <c r="E40" s="53" t="s">
        <v>25</v>
      </c>
      <c r="F40" s="54"/>
      <c r="G40" s="54"/>
      <c r="H40" s="27">
        <f>ROUND(H14+H24+H30+H38,0)</f>
        <v>73011</v>
      </c>
      <c r="I40" s="28"/>
    </row>
    <row r="45" spans="1:9" s="194" customFormat="1" ht="14.25">
      <c r="A45" s="195" t="s">
        <v>134</v>
      </c>
      <c r="B45" s="195"/>
      <c r="C45" s="195"/>
      <c r="D45" s="197"/>
      <c r="E45" s="196"/>
      <c r="F45" s="196"/>
    </row>
    <row r="46" spans="1:9" s="194" customFormat="1" ht="14.25">
      <c r="A46" s="195" t="s">
        <v>131</v>
      </c>
      <c r="B46" s="195"/>
      <c r="C46" s="195"/>
      <c r="D46" s="197"/>
      <c r="E46" s="196"/>
      <c r="F46" s="196"/>
    </row>
    <row r="47" spans="1:9" hidden="1"/>
  </sheetData>
  <mergeCells count="10">
    <mergeCell ref="A12:C12"/>
    <mergeCell ref="A13:C13"/>
    <mergeCell ref="A16:C16"/>
    <mergeCell ref="A17:C17"/>
    <mergeCell ref="A1:H2"/>
    <mergeCell ref="B3:H3"/>
    <mergeCell ref="B6:F7"/>
    <mergeCell ref="A9:C9"/>
    <mergeCell ref="A10:C10"/>
    <mergeCell ref="A11:C11"/>
  </mergeCells>
  <pageMargins left="0.82677165354330717" right="3.937007874015748E-2" top="0.9375" bottom="1.25" header="0.31496062992125984" footer="0.31496062992125984"/>
  <pageSetup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Hoja15">
    <tabColor rgb="FFFF0000"/>
  </sheetPr>
  <dimension ref="A1:I51"/>
  <sheetViews>
    <sheetView view="pageBreakPreview" topLeftCell="A19" zoomScaleSheetLayoutView="100" workbookViewId="0">
      <selection activeCell="D17" sqref="D17"/>
    </sheetView>
  </sheetViews>
  <sheetFormatPr baseColWidth="10" defaultColWidth="9.28515625" defaultRowHeight="12.75"/>
  <cols>
    <col min="1" max="1" width="11.42578125" style="4" customWidth="1"/>
    <col min="2" max="2" width="10.42578125" style="4" customWidth="1"/>
    <col min="3" max="3" width="13" style="4" customWidth="1"/>
    <col min="4" max="4" width="11.42578125" style="107" customWidth="1"/>
    <col min="5" max="253" width="11.42578125" style="4" customWidth="1"/>
    <col min="254" max="254" width="10.42578125" style="4" customWidth="1"/>
    <col min="255" max="255" width="13" style="4" customWidth="1"/>
    <col min="256" max="509" width="11.42578125" style="4" customWidth="1"/>
    <col min="510" max="510" width="10.42578125" style="4" customWidth="1"/>
    <col min="511" max="511" width="13" style="4" customWidth="1"/>
    <col min="512" max="765" width="11.42578125" style="4" customWidth="1"/>
    <col min="766" max="766" width="10.42578125" style="4" customWidth="1"/>
    <col min="767" max="767" width="13" style="4" customWidth="1"/>
    <col min="768" max="1021" width="11.42578125" style="4" customWidth="1"/>
    <col min="1022" max="1022" width="10.42578125" style="4" customWidth="1"/>
    <col min="1023" max="1023" width="13" style="4" customWidth="1"/>
    <col min="1024" max="1277" width="11.42578125" style="4" customWidth="1"/>
    <col min="1278" max="1278" width="10.42578125" style="4" customWidth="1"/>
    <col min="1279" max="1279" width="13" style="4" customWidth="1"/>
    <col min="1280" max="1533" width="11.42578125" style="4" customWidth="1"/>
    <col min="1534" max="1534" width="10.42578125" style="4" customWidth="1"/>
    <col min="1535" max="1535" width="13" style="4" customWidth="1"/>
    <col min="1536" max="1789" width="11.42578125" style="4" customWidth="1"/>
    <col min="1790" max="1790" width="10.42578125" style="4" customWidth="1"/>
    <col min="1791" max="1791" width="13" style="4" customWidth="1"/>
    <col min="1792" max="2045" width="11.42578125" style="4" customWidth="1"/>
    <col min="2046" max="2046" width="10.42578125" style="4" customWidth="1"/>
    <col min="2047" max="2047" width="13" style="4" customWidth="1"/>
    <col min="2048" max="2301" width="11.42578125" style="4" customWidth="1"/>
    <col min="2302" max="2302" width="10.42578125" style="4" customWidth="1"/>
    <col min="2303" max="2303" width="13" style="4" customWidth="1"/>
    <col min="2304" max="2557" width="11.42578125" style="4" customWidth="1"/>
    <col min="2558" max="2558" width="10.42578125" style="4" customWidth="1"/>
    <col min="2559" max="2559" width="13" style="4" customWidth="1"/>
    <col min="2560" max="2813" width="11.42578125" style="4" customWidth="1"/>
    <col min="2814" max="2814" width="10.42578125" style="4" customWidth="1"/>
    <col min="2815" max="2815" width="13" style="4" customWidth="1"/>
    <col min="2816" max="3069" width="11.42578125" style="4" customWidth="1"/>
    <col min="3070" max="3070" width="10.42578125" style="4" customWidth="1"/>
    <col min="3071" max="3071" width="13" style="4" customWidth="1"/>
    <col min="3072" max="3325" width="11.42578125" style="4" customWidth="1"/>
    <col min="3326" max="3326" width="10.42578125" style="4" customWidth="1"/>
    <col min="3327" max="3327" width="13" style="4" customWidth="1"/>
    <col min="3328" max="3581" width="11.42578125" style="4" customWidth="1"/>
    <col min="3582" max="3582" width="10.42578125" style="4" customWidth="1"/>
    <col min="3583" max="3583" width="13" style="4" customWidth="1"/>
    <col min="3584" max="3837" width="11.42578125" style="4" customWidth="1"/>
    <col min="3838" max="3838" width="10.42578125" style="4" customWidth="1"/>
    <col min="3839" max="3839" width="13" style="4" customWidth="1"/>
    <col min="3840" max="4093" width="11.42578125" style="4" customWidth="1"/>
    <col min="4094" max="4094" width="10.42578125" style="4" customWidth="1"/>
    <col min="4095" max="4095" width="13" style="4" customWidth="1"/>
    <col min="4096" max="4349" width="11.42578125" style="4" customWidth="1"/>
    <col min="4350" max="4350" width="10.42578125" style="4" customWidth="1"/>
    <col min="4351" max="4351" width="13" style="4" customWidth="1"/>
    <col min="4352" max="4605" width="11.42578125" style="4" customWidth="1"/>
    <col min="4606" max="4606" width="10.42578125" style="4" customWidth="1"/>
    <col min="4607" max="4607" width="13" style="4" customWidth="1"/>
    <col min="4608" max="4861" width="11.42578125" style="4" customWidth="1"/>
    <col min="4862" max="4862" width="10.42578125" style="4" customWidth="1"/>
    <col min="4863" max="4863" width="13" style="4" customWidth="1"/>
    <col min="4864" max="5117" width="11.42578125" style="4" customWidth="1"/>
    <col min="5118" max="5118" width="10.42578125" style="4" customWidth="1"/>
    <col min="5119" max="5119" width="13" style="4" customWidth="1"/>
    <col min="5120" max="5373" width="11.42578125" style="4" customWidth="1"/>
    <col min="5374" max="5374" width="10.42578125" style="4" customWidth="1"/>
    <col min="5375" max="5375" width="13" style="4" customWidth="1"/>
    <col min="5376" max="5629" width="11.42578125" style="4" customWidth="1"/>
    <col min="5630" max="5630" width="10.42578125" style="4" customWidth="1"/>
    <col min="5631" max="5631" width="13" style="4" customWidth="1"/>
    <col min="5632" max="5885" width="11.42578125" style="4" customWidth="1"/>
    <col min="5886" max="5886" width="10.42578125" style="4" customWidth="1"/>
    <col min="5887" max="5887" width="13" style="4" customWidth="1"/>
    <col min="5888" max="6141" width="11.42578125" style="4" customWidth="1"/>
    <col min="6142" max="6142" width="10.42578125" style="4" customWidth="1"/>
    <col min="6143" max="6143" width="13" style="4" customWidth="1"/>
    <col min="6144" max="6397" width="11.42578125" style="4" customWidth="1"/>
    <col min="6398" max="6398" width="10.42578125" style="4" customWidth="1"/>
    <col min="6399" max="6399" width="13" style="4" customWidth="1"/>
    <col min="6400" max="6653" width="11.42578125" style="4" customWidth="1"/>
    <col min="6654" max="6654" width="10.42578125" style="4" customWidth="1"/>
    <col min="6655" max="6655" width="13" style="4" customWidth="1"/>
    <col min="6656" max="6909" width="11.42578125" style="4" customWidth="1"/>
    <col min="6910" max="6910" width="10.42578125" style="4" customWidth="1"/>
    <col min="6911" max="6911" width="13" style="4" customWidth="1"/>
    <col min="6912" max="7165" width="11.42578125" style="4" customWidth="1"/>
    <col min="7166" max="7166" width="10.42578125" style="4" customWidth="1"/>
    <col min="7167" max="7167" width="13" style="4" customWidth="1"/>
    <col min="7168" max="7421" width="11.42578125" style="4" customWidth="1"/>
    <col min="7422" max="7422" width="10.42578125" style="4" customWidth="1"/>
    <col min="7423" max="7423" width="13" style="4" customWidth="1"/>
    <col min="7424" max="7677" width="11.42578125" style="4" customWidth="1"/>
    <col min="7678" max="7678" width="10.42578125" style="4" customWidth="1"/>
    <col min="7679" max="7679" width="13" style="4" customWidth="1"/>
    <col min="7680" max="7933" width="11.42578125" style="4" customWidth="1"/>
    <col min="7934" max="7934" width="10.42578125" style="4" customWidth="1"/>
    <col min="7935" max="7935" width="13" style="4" customWidth="1"/>
    <col min="7936" max="8189" width="11.42578125" style="4" customWidth="1"/>
    <col min="8190" max="8190" width="10.42578125" style="4" customWidth="1"/>
    <col min="8191" max="8191" width="13" style="4" customWidth="1"/>
    <col min="8192" max="8445" width="11.42578125" style="4" customWidth="1"/>
    <col min="8446" max="8446" width="10.42578125" style="4" customWidth="1"/>
    <col min="8447" max="8447" width="13" style="4" customWidth="1"/>
    <col min="8448" max="8701" width="11.42578125" style="4" customWidth="1"/>
    <col min="8702" max="8702" width="10.42578125" style="4" customWidth="1"/>
    <col min="8703" max="8703" width="13" style="4" customWidth="1"/>
    <col min="8704" max="8957" width="11.42578125" style="4" customWidth="1"/>
    <col min="8958" max="8958" width="10.42578125" style="4" customWidth="1"/>
    <col min="8959" max="8959" width="13" style="4" customWidth="1"/>
    <col min="8960" max="9213" width="11.42578125" style="4" customWidth="1"/>
    <col min="9214" max="9214" width="10.42578125" style="4" customWidth="1"/>
    <col min="9215" max="9215" width="13" style="4" customWidth="1"/>
    <col min="9216" max="9469" width="11.42578125" style="4" customWidth="1"/>
    <col min="9470" max="9470" width="10.42578125" style="4" customWidth="1"/>
    <col min="9471" max="9471" width="13" style="4" customWidth="1"/>
    <col min="9472" max="9725" width="11.42578125" style="4" customWidth="1"/>
    <col min="9726" max="9726" width="10.42578125" style="4" customWidth="1"/>
    <col min="9727" max="9727" width="13" style="4" customWidth="1"/>
    <col min="9728" max="9981" width="11.42578125" style="4" customWidth="1"/>
    <col min="9982" max="9982" width="10.42578125" style="4" customWidth="1"/>
    <col min="9983" max="9983" width="13" style="4" customWidth="1"/>
    <col min="9984" max="10237" width="11.42578125" style="4" customWidth="1"/>
    <col min="10238" max="10238" width="10.42578125" style="4" customWidth="1"/>
    <col min="10239" max="10239" width="13" style="4" customWidth="1"/>
    <col min="10240" max="10493" width="11.42578125" style="4" customWidth="1"/>
    <col min="10494" max="10494" width="10.42578125" style="4" customWidth="1"/>
    <col min="10495" max="10495" width="13" style="4" customWidth="1"/>
    <col min="10496" max="10749" width="11.42578125" style="4" customWidth="1"/>
    <col min="10750" max="10750" width="10.42578125" style="4" customWidth="1"/>
    <col min="10751" max="10751" width="13" style="4" customWidth="1"/>
    <col min="10752" max="11005" width="11.42578125" style="4" customWidth="1"/>
    <col min="11006" max="11006" width="10.42578125" style="4" customWidth="1"/>
    <col min="11007" max="11007" width="13" style="4" customWidth="1"/>
    <col min="11008" max="11261" width="11.42578125" style="4" customWidth="1"/>
    <col min="11262" max="11262" width="10.42578125" style="4" customWidth="1"/>
    <col min="11263" max="11263" width="13" style="4" customWidth="1"/>
    <col min="11264" max="11517" width="11.42578125" style="4" customWidth="1"/>
    <col min="11518" max="11518" width="10.42578125" style="4" customWidth="1"/>
    <col min="11519" max="11519" width="13" style="4" customWidth="1"/>
    <col min="11520" max="11773" width="11.42578125" style="4" customWidth="1"/>
    <col min="11774" max="11774" width="10.42578125" style="4" customWidth="1"/>
    <col min="11775" max="11775" width="13" style="4" customWidth="1"/>
    <col min="11776" max="12029" width="11.42578125" style="4" customWidth="1"/>
    <col min="12030" max="12030" width="10.42578125" style="4" customWidth="1"/>
    <col min="12031" max="12031" width="13" style="4" customWidth="1"/>
    <col min="12032" max="12285" width="11.42578125" style="4" customWidth="1"/>
    <col min="12286" max="12286" width="10.42578125" style="4" customWidth="1"/>
    <col min="12287" max="12287" width="13" style="4" customWidth="1"/>
    <col min="12288" max="12541" width="11.42578125" style="4" customWidth="1"/>
    <col min="12542" max="12542" width="10.42578125" style="4" customWidth="1"/>
    <col min="12543" max="12543" width="13" style="4" customWidth="1"/>
    <col min="12544" max="12797" width="11.42578125" style="4" customWidth="1"/>
    <col min="12798" max="12798" width="10.42578125" style="4" customWidth="1"/>
    <col min="12799" max="12799" width="13" style="4" customWidth="1"/>
    <col min="12800" max="13053" width="11.42578125" style="4" customWidth="1"/>
    <col min="13054" max="13054" width="10.42578125" style="4" customWidth="1"/>
    <col min="13055" max="13055" width="13" style="4" customWidth="1"/>
    <col min="13056" max="13309" width="11.42578125" style="4" customWidth="1"/>
    <col min="13310" max="13310" width="10.42578125" style="4" customWidth="1"/>
    <col min="13311" max="13311" width="13" style="4" customWidth="1"/>
    <col min="13312" max="13565" width="11.42578125" style="4" customWidth="1"/>
    <col min="13566" max="13566" width="10.42578125" style="4" customWidth="1"/>
    <col min="13567" max="13567" width="13" style="4" customWidth="1"/>
    <col min="13568" max="13821" width="11.42578125" style="4" customWidth="1"/>
    <col min="13822" max="13822" width="10.42578125" style="4" customWidth="1"/>
    <col min="13823" max="13823" width="13" style="4" customWidth="1"/>
    <col min="13824" max="14077" width="11.42578125" style="4" customWidth="1"/>
    <col min="14078" max="14078" width="10.42578125" style="4" customWidth="1"/>
    <col min="14079" max="14079" width="13" style="4" customWidth="1"/>
    <col min="14080" max="14333" width="11.42578125" style="4" customWidth="1"/>
    <col min="14334" max="14334" width="10.42578125" style="4" customWidth="1"/>
    <col min="14335" max="14335" width="13" style="4" customWidth="1"/>
    <col min="14336" max="14589" width="11.42578125" style="4" customWidth="1"/>
    <col min="14590" max="14590" width="10.42578125" style="4" customWidth="1"/>
    <col min="14591" max="14591" width="13" style="4" customWidth="1"/>
    <col min="14592" max="14845" width="11.42578125" style="4" customWidth="1"/>
    <col min="14846" max="14846" width="10.42578125" style="4" customWidth="1"/>
    <col min="14847" max="14847" width="13" style="4" customWidth="1"/>
    <col min="14848" max="15101" width="11.42578125" style="4" customWidth="1"/>
    <col min="15102" max="15102" width="10.42578125" style="4" customWidth="1"/>
    <col min="15103" max="15103" width="13" style="4" customWidth="1"/>
    <col min="15104" max="15357" width="11.42578125" style="4" customWidth="1"/>
    <col min="15358" max="15358" width="10.42578125" style="4" customWidth="1"/>
    <col min="15359" max="15359" width="13" style="4" customWidth="1"/>
    <col min="15360" max="15613" width="11.42578125" style="4" customWidth="1"/>
    <col min="15614" max="15614" width="10.42578125" style="4" customWidth="1"/>
    <col min="15615" max="15615" width="13" style="4" customWidth="1"/>
    <col min="15616" max="15869" width="11.42578125" style="4" customWidth="1"/>
    <col min="15870" max="15870" width="10.42578125" style="4" customWidth="1"/>
    <col min="15871" max="15871" width="13" style="4" customWidth="1"/>
    <col min="15872" max="16125" width="11.42578125" style="4" customWidth="1"/>
    <col min="16126" max="16126" width="10.42578125" style="4" customWidth="1"/>
    <col min="16127" max="16127" width="13" style="4" customWidth="1"/>
    <col min="16128" max="16384" width="11.42578125" style="4" customWidth="1"/>
  </cols>
  <sheetData>
    <row r="1" spans="1:8" s="56" customFormat="1" ht="15" customHeight="1">
      <c r="A1" s="891" t="s">
        <v>2</v>
      </c>
      <c r="B1" s="892"/>
      <c r="C1" s="892"/>
      <c r="D1" s="892"/>
      <c r="E1" s="892"/>
      <c r="F1" s="892"/>
      <c r="G1" s="892"/>
      <c r="H1" s="893"/>
    </row>
    <row r="2" spans="1:8" s="56" customFormat="1" ht="5.25" customHeight="1" thickBot="1">
      <c r="A2" s="894"/>
      <c r="B2" s="895"/>
      <c r="C2" s="895"/>
      <c r="D2" s="895"/>
      <c r="E2" s="895"/>
      <c r="F2" s="895"/>
      <c r="G2" s="895"/>
      <c r="H2" s="896"/>
    </row>
    <row r="3" spans="1:8" s="56" customFormat="1" ht="56.25" customHeight="1" thickBot="1">
      <c r="A3" s="322"/>
      <c r="B3" s="907" t="s">
        <v>393</v>
      </c>
      <c r="C3" s="908"/>
      <c r="D3" s="908"/>
      <c r="E3" s="908"/>
      <c r="F3" s="908"/>
      <c r="G3" s="908"/>
      <c r="H3" s="909"/>
    </row>
    <row r="4" spans="1:8" s="56" customFormat="1" ht="14.25" customHeight="1">
      <c r="A4" s="329"/>
      <c r="B4" s="330"/>
      <c r="C4" s="330"/>
      <c r="D4" s="330"/>
      <c r="E4" s="330"/>
      <c r="F4" s="330"/>
      <c r="G4" s="330"/>
      <c r="H4" s="330"/>
    </row>
    <row r="5" spans="1:8">
      <c r="A5" s="5"/>
      <c r="B5" s="7"/>
      <c r="C5" s="6"/>
      <c r="E5" s="7"/>
      <c r="G5" s="8"/>
      <c r="H5" s="9"/>
    </row>
    <row r="6" spans="1:8">
      <c r="A6" s="57" t="s">
        <v>410</v>
      </c>
      <c r="B6" s="906" t="s">
        <v>375</v>
      </c>
      <c r="C6" s="906"/>
      <c r="D6" s="906"/>
      <c r="E6" s="906"/>
      <c r="F6" s="906"/>
      <c r="G6" s="58" t="s">
        <v>30</v>
      </c>
      <c r="H6" s="61" t="s">
        <v>109</v>
      </c>
    </row>
    <row r="7" spans="1:8">
      <c r="A7" s="58"/>
      <c r="B7" s="906"/>
      <c r="C7" s="906"/>
      <c r="D7" s="906"/>
      <c r="E7" s="906"/>
      <c r="F7" s="906"/>
      <c r="G7" s="58"/>
      <c r="H7" s="56"/>
    </row>
    <row r="8" spans="1:8" ht="13.5" thickBot="1">
      <c r="A8" s="10" t="s">
        <v>3</v>
      </c>
      <c r="B8" s="10"/>
      <c r="C8" s="6"/>
      <c r="D8" s="52"/>
      <c r="E8" s="6"/>
      <c r="F8" s="6"/>
      <c r="G8" s="6"/>
      <c r="H8" s="6"/>
    </row>
    <row r="9" spans="1:8">
      <c r="A9" s="912" t="s">
        <v>4</v>
      </c>
      <c r="B9" s="913"/>
      <c r="C9" s="914"/>
      <c r="D9" s="11" t="s">
        <v>5</v>
      </c>
      <c r="E9" s="12" t="s">
        <v>6</v>
      </c>
      <c r="F9" s="11" t="s">
        <v>7</v>
      </c>
      <c r="G9" s="13" t="s">
        <v>8</v>
      </c>
      <c r="H9" s="14"/>
    </row>
    <row r="10" spans="1:8">
      <c r="A10" s="918" t="s">
        <v>305</v>
      </c>
      <c r="B10" s="919"/>
      <c r="C10" s="920"/>
      <c r="D10" s="15"/>
      <c r="E10" s="16"/>
      <c r="F10" s="16"/>
      <c r="G10" s="17">
        <f>H36*0.1</f>
        <v>2071.8150000000001</v>
      </c>
      <c r="H10" s="18"/>
    </row>
    <row r="11" spans="1:8">
      <c r="A11" s="918"/>
      <c r="B11" s="919"/>
      <c r="C11" s="920"/>
      <c r="D11" s="15"/>
      <c r="E11" s="108"/>
      <c r="F11" s="16"/>
      <c r="G11" s="17"/>
      <c r="H11" s="18"/>
    </row>
    <row r="12" spans="1:8">
      <c r="A12" s="918"/>
      <c r="B12" s="919"/>
      <c r="C12" s="920"/>
      <c r="D12" s="15"/>
      <c r="E12" s="108"/>
      <c r="F12" s="16"/>
      <c r="G12" s="17"/>
      <c r="H12" s="18"/>
    </row>
    <row r="13" spans="1:8" ht="13.5" thickBot="1">
      <c r="A13" s="921"/>
      <c r="B13" s="922"/>
      <c r="C13" s="923"/>
      <c r="D13" s="21"/>
      <c r="E13" s="149"/>
      <c r="F13" s="23"/>
      <c r="G13" s="121"/>
      <c r="H13" s="25"/>
    </row>
    <row r="14" spans="1:8" ht="13.5" thickBot="1">
      <c r="A14" s="6"/>
      <c r="B14" s="6"/>
      <c r="C14" s="6"/>
      <c r="D14" s="52"/>
      <c r="E14" s="6"/>
      <c r="F14" s="6"/>
      <c r="G14" s="26" t="s">
        <v>9</v>
      </c>
      <c r="H14" s="27">
        <f>SUM(G10:G13)</f>
        <v>2071.8150000000001</v>
      </c>
    </row>
    <row r="15" spans="1:8" ht="13.5" thickBot="1">
      <c r="A15" s="10" t="s">
        <v>10</v>
      </c>
      <c r="B15" s="10"/>
      <c r="C15" s="6"/>
      <c r="D15" s="52"/>
      <c r="E15" s="6"/>
      <c r="F15" s="6"/>
      <c r="G15" s="6"/>
      <c r="H15" s="6"/>
    </row>
    <row r="16" spans="1:8">
      <c r="A16" s="912" t="s">
        <v>4</v>
      </c>
      <c r="B16" s="913"/>
      <c r="C16" s="914"/>
      <c r="D16" s="11" t="s">
        <v>11</v>
      </c>
      <c r="E16" s="11" t="s">
        <v>12</v>
      </c>
      <c r="F16" s="11" t="s">
        <v>13</v>
      </c>
      <c r="G16" s="46" t="s">
        <v>8</v>
      </c>
      <c r="H16" s="120"/>
    </row>
    <row r="17" spans="1:9" ht="15" customHeight="1">
      <c r="A17" s="915" t="s">
        <v>108</v>
      </c>
      <c r="B17" s="916"/>
      <c r="C17" s="917"/>
      <c r="D17" s="118" t="s">
        <v>0</v>
      </c>
      <c r="E17" s="144">
        <f>'Despiece de Insumos'!D34</f>
        <v>83300</v>
      </c>
      <c r="F17" s="16">
        <v>0.25</v>
      </c>
      <c r="G17" s="153">
        <f>E17*F17</f>
        <v>20825</v>
      </c>
      <c r="H17" s="116"/>
    </row>
    <row r="18" spans="1:9">
      <c r="A18" s="29" t="s">
        <v>107</v>
      </c>
      <c r="B18" s="30"/>
      <c r="C18" s="30"/>
      <c r="D18" s="15" t="s">
        <v>77</v>
      </c>
      <c r="E18" s="145">
        <v>4400</v>
      </c>
      <c r="F18" s="16">
        <v>2.4</v>
      </c>
      <c r="G18" s="153">
        <f>E18*F18</f>
        <v>10560</v>
      </c>
      <c r="H18" s="116"/>
    </row>
    <row r="19" spans="1:9" ht="21.75" customHeight="1">
      <c r="A19" s="915" t="s">
        <v>128</v>
      </c>
      <c r="B19" s="916"/>
      <c r="C19" s="917"/>
      <c r="D19" s="19" t="s">
        <v>109</v>
      </c>
      <c r="E19" s="147">
        <v>29800</v>
      </c>
      <c r="F19" s="123">
        <v>1</v>
      </c>
      <c r="G19" s="153">
        <f>E19*F19</f>
        <v>29800</v>
      </c>
      <c r="H19" s="116"/>
    </row>
    <row r="20" spans="1:9">
      <c r="A20" s="160"/>
      <c r="B20" s="125"/>
      <c r="C20" s="125"/>
      <c r="D20" s="19"/>
      <c r="E20" s="162"/>
      <c r="F20" s="123"/>
      <c r="G20" s="161"/>
      <c r="H20" s="116"/>
    </row>
    <row r="21" spans="1:9" ht="13.5" thickBot="1">
      <c r="A21" s="37"/>
      <c r="B21" s="38"/>
      <c r="C21" s="38"/>
      <c r="D21" s="21"/>
      <c r="E21" s="146"/>
      <c r="F21" s="23"/>
      <c r="G21" s="140"/>
      <c r="H21" s="117"/>
      <c r="I21" s="177"/>
    </row>
    <row r="22" spans="1:9" ht="13.5" thickBot="1">
      <c r="A22" s="6"/>
      <c r="B22" s="6"/>
      <c r="C22" s="6"/>
      <c r="D22" s="52"/>
      <c r="E22" s="6"/>
      <c r="F22" s="6"/>
      <c r="G22" s="26" t="s">
        <v>9</v>
      </c>
      <c r="H22" s="176">
        <f>SUM(G17:G21)</f>
        <v>61185</v>
      </c>
    </row>
    <row r="23" spans="1:9" ht="13.5" thickBot="1">
      <c r="A23" s="40" t="s">
        <v>14</v>
      </c>
      <c r="B23" s="40"/>
      <c r="C23" s="41"/>
      <c r="D23" s="52"/>
      <c r="E23" s="6"/>
      <c r="F23" s="6"/>
      <c r="G23" s="6"/>
      <c r="H23" s="6"/>
    </row>
    <row r="24" spans="1:9">
      <c r="A24" s="43" t="s">
        <v>15</v>
      </c>
      <c r="B24" s="44"/>
      <c r="C24" s="45" t="s">
        <v>16</v>
      </c>
      <c r="D24" s="11" t="s">
        <v>17</v>
      </c>
      <c r="E24" s="11" t="s">
        <v>18</v>
      </c>
      <c r="F24" s="11" t="s">
        <v>19</v>
      </c>
      <c r="G24" s="46" t="s">
        <v>8</v>
      </c>
      <c r="H24" s="14"/>
    </row>
    <row r="25" spans="1:9">
      <c r="A25" s="35" t="s">
        <v>316</v>
      </c>
      <c r="B25" s="30"/>
      <c r="C25" s="109">
        <v>0.25</v>
      </c>
      <c r="D25" s="110">
        <v>22</v>
      </c>
      <c r="E25" s="111">
        <f>C25*D25</f>
        <v>5.5</v>
      </c>
      <c r="F25" s="112">
        <f>TRANSPORTE!H33</f>
        <v>1500</v>
      </c>
      <c r="G25" s="47">
        <f>E25*F25</f>
        <v>8250</v>
      </c>
      <c r="H25" s="18"/>
    </row>
    <row r="26" spans="1:9">
      <c r="A26" s="35"/>
      <c r="B26" s="30"/>
      <c r="C26" s="113"/>
      <c r="D26" s="108"/>
      <c r="E26" s="111"/>
      <c r="F26" s="16"/>
      <c r="G26" s="47"/>
      <c r="H26" s="18"/>
    </row>
    <row r="27" spans="1:9" ht="13.5" thickBot="1">
      <c r="A27" s="37"/>
      <c r="B27" s="39"/>
      <c r="C27" s="21"/>
      <c r="D27" s="21"/>
      <c r="E27" s="23"/>
      <c r="F27" s="24"/>
      <c r="G27" s="21"/>
      <c r="H27" s="18"/>
    </row>
    <row r="28" spans="1:9" ht="13.5" thickBot="1">
      <c r="A28" s="6"/>
      <c r="B28" s="6"/>
      <c r="C28" s="6"/>
      <c r="D28" s="52"/>
      <c r="E28" s="6"/>
      <c r="F28" s="6"/>
      <c r="G28" s="26" t="s">
        <v>9</v>
      </c>
      <c r="H28" s="27">
        <f>SUM(G25:G27)</f>
        <v>8250</v>
      </c>
    </row>
    <row r="29" spans="1:9" ht="13.5" thickBot="1">
      <c r="A29" s="40" t="s">
        <v>20</v>
      </c>
      <c r="B29" s="40"/>
      <c r="C29" s="6"/>
      <c r="D29" s="52"/>
      <c r="E29" s="6"/>
      <c r="F29" s="6"/>
      <c r="G29" s="6"/>
      <c r="H29" s="6"/>
    </row>
    <row r="30" spans="1:9">
      <c r="A30" s="43" t="s">
        <v>21</v>
      </c>
      <c r="B30" s="44"/>
      <c r="C30" s="48" t="s">
        <v>22</v>
      </c>
      <c r="D30" s="11" t="s">
        <v>23</v>
      </c>
      <c r="E30" s="12" t="s">
        <v>24</v>
      </c>
      <c r="F30" s="48" t="s">
        <v>7</v>
      </c>
      <c r="G30" s="13" t="s">
        <v>8</v>
      </c>
      <c r="H30" s="14"/>
    </row>
    <row r="31" spans="1:9">
      <c r="A31" s="35" t="s">
        <v>38</v>
      </c>
      <c r="B31" s="30"/>
      <c r="C31" s="135">
        <v>42499</v>
      </c>
      <c r="D31" s="172">
        <v>1.8</v>
      </c>
      <c r="E31" s="32">
        <f t="shared" ref="E31" si="0">+D31*C31</f>
        <v>76498.2</v>
      </c>
      <c r="F31" s="16">
        <v>12</v>
      </c>
      <c r="G31" s="141">
        <f t="shared" ref="G31:G32" si="1">+E31/F31</f>
        <v>6374.8499999999995</v>
      </c>
      <c r="H31" s="18"/>
    </row>
    <row r="32" spans="1:9">
      <c r="A32" s="35" t="s">
        <v>39</v>
      </c>
      <c r="B32" s="115">
        <v>3</v>
      </c>
      <c r="C32" s="135">
        <v>31874</v>
      </c>
      <c r="D32" s="172">
        <v>1.8</v>
      </c>
      <c r="E32" s="32">
        <f>+D32*C32*B32</f>
        <v>172119.6</v>
      </c>
      <c r="F32" s="16">
        <v>12</v>
      </c>
      <c r="G32" s="141">
        <f t="shared" si="1"/>
        <v>14343.300000000001</v>
      </c>
      <c r="H32" s="18"/>
    </row>
    <row r="33" spans="1:8">
      <c r="A33" s="35"/>
      <c r="B33" s="30"/>
      <c r="C33" s="32"/>
      <c r="D33" s="15"/>
      <c r="E33" s="32"/>
      <c r="F33" s="16"/>
      <c r="G33" s="17"/>
      <c r="H33" s="18"/>
    </row>
    <row r="34" spans="1:8">
      <c r="A34" s="35"/>
      <c r="B34" s="30"/>
      <c r="C34" s="32"/>
      <c r="D34" s="15"/>
      <c r="E34" s="32"/>
      <c r="F34" s="16"/>
      <c r="G34" s="17"/>
      <c r="H34" s="18"/>
    </row>
    <row r="35" spans="1:8" ht="13.5" thickBot="1">
      <c r="A35" s="37"/>
      <c r="B35" s="38"/>
      <c r="C35" s="22"/>
      <c r="D35" s="114"/>
      <c r="E35" s="51"/>
      <c r="F35" s="51"/>
      <c r="G35" s="41"/>
      <c r="H35" s="25"/>
    </row>
    <row r="36" spans="1:8" ht="13.5" thickBot="1">
      <c r="A36" s="6"/>
      <c r="B36" s="6"/>
      <c r="C36" s="6"/>
      <c r="D36" s="52"/>
      <c r="E36" s="6"/>
      <c r="F36" s="6"/>
      <c r="G36" s="26" t="s">
        <v>9</v>
      </c>
      <c r="H36" s="27">
        <f>SUM(G31:G35)</f>
        <v>20718.150000000001</v>
      </c>
    </row>
    <row r="37" spans="1:8" ht="13.5" thickBot="1">
      <c r="A37" s="6"/>
      <c r="B37" s="6"/>
      <c r="C37" s="6"/>
      <c r="D37" s="52"/>
      <c r="E37" s="6"/>
      <c r="F37" s="6"/>
      <c r="G37" s="52"/>
      <c r="H37" s="6"/>
    </row>
    <row r="38" spans="1:8" ht="13.5" thickBot="1">
      <c r="A38" s="6"/>
      <c r="B38" s="6"/>
      <c r="C38" s="6"/>
      <c r="D38" s="52"/>
      <c r="E38" s="53" t="s">
        <v>25</v>
      </c>
      <c r="F38" s="54"/>
      <c r="G38" s="54"/>
      <c r="H38" s="27">
        <f>ROUND(H14+H22+H28+H36,0)</f>
        <v>92225</v>
      </c>
    </row>
    <row r="43" spans="1:8" s="194" customFormat="1" ht="14.25">
      <c r="A43" s="195" t="s">
        <v>134</v>
      </c>
      <c r="B43" s="195"/>
      <c r="C43" s="195"/>
      <c r="D43" s="197"/>
      <c r="E43" s="196"/>
      <c r="F43" s="196"/>
    </row>
    <row r="44" spans="1:8" s="194" customFormat="1" ht="14.25">
      <c r="A44" s="195" t="s">
        <v>131</v>
      </c>
      <c r="B44" s="195"/>
      <c r="C44" s="195"/>
      <c r="D44" s="197"/>
      <c r="E44" s="196"/>
      <c r="F44" s="196"/>
    </row>
    <row r="50" ht="9.75" customHeight="1"/>
    <row r="51" hidden="1"/>
  </sheetData>
  <mergeCells count="11">
    <mergeCell ref="A17:C17"/>
    <mergeCell ref="A19:C19"/>
    <mergeCell ref="A11:C11"/>
    <mergeCell ref="A12:C12"/>
    <mergeCell ref="A13:C13"/>
    <mergeCell ref="A16:C16"/>
    <mergeCell ref="A1:H2"/>
    <mergeCell ref="B3:H3"/>
    <mergeCell ref="A10:C10"/>
    <mergeCell ref="B6:F7"/>
    <mergeCell ref="A9:C9"/>
  </mergeCells>
  <pageMargins left="0.7" right="0.7" top="0.90854166666666669" bottom="1.1739583333333334" header="0.3" footer="0.3"/>
  <pageSetup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FF0000"/>
  </sheetPr>
  <dimension ref="A1:K43"/>
  <sheetViews>
    <sheetView view="pageBreakPreview" topLeftCell="A13" zoomScaleSheetLayoutView="100" workbookViewId="0">
      <selection activeCell="D17" sqref="D17"/>
    </sheetView>
  </sheetViews>
  <sheetFormatPr baseColWidth="10" defaultColWidth="9.28515625" defaultRowHeight="12"/>
  <cols>
    <col min="1" max="1" width="11.42578125" style="56" customWidth="1"/>
    <col min="2" max="2" width="10.42578125" style="56" customWidth="1"/>
    <col min="3" max="3" width="14.28515625" style="56" customWidth="1"/>
    <col min="4" max="4" width="11.42578125" style="56" customWidth="1"/>
    <col min="5" max="5" width="12.7109375" style="56" customWidth="1"/>
    <col min="6" max="6" width="11.42578125" style="56" customWidth="1"/>
    <col min="7" max="7" width="9.7109375" style="56" customWidth="1"/>
    <col min="8" max="8" width="11.42578125" style="56" customWidth="1"/>
    <col min="9" max="9" width="18.42578125" style="56" customWidth="1"/>
    <col min="10" max="257" width="11.42578125" style="56" customWidth="1"/>
    <col min="258" max="258" width="10.42578125" style="56" customWidth="1"/>
    <col min="259" max="259" width="13" style="56" customWidth="1"/>
    <col min="260" max="513" width="11.42578125" style="56" customWidth="1"/>
    <col min="514" max="514" width="10.42578125" style="56" customWidth="1"/>
    <col min="515" max="515" width="13" style="56" customWidth="1"/>
    <col min="516" max="769" width="11.42578125" style="56" customWidth="1"/>
    <col min="770" max="770" width="10.42578125" style="56" customWidth="1"/>
    <col min="771" max="771" width="13" style="56" customWidth="1"/>
    <col min="772" max="1025" width="11.42578125" style="56" customWidth="1"/>
    <col min="1026" max="1026" width="10.42578125" style="56" customWidth="1"/>
    <col min="1027" max="1027" width="13" style="56" customWidth="1"/>
    <col min="1028" max="1281" width="11.42578125" style="56" customWidth="1"/>
    <col min="1282" max="1282" width="10.42578125" style="56" customWidth="1"/>
    <col min="1283" max="1283" width="13" style="56" customWidth="1"/>
    <col min="1284" max="1537" width="11.42578125" style="56" customWidth="1"/>
    <col min="1538" max="1538" width="10.42578125" style="56" customWidth="1"/>
    <col min="1539" max="1539" width="13" style="56" customWidth="1"/>
    <col min="1540" max="1793" width="11.42578125" style="56" customWidth="1"/>
    <col min="1794" max="1794" width="10.42578125" style="56" customWidth="1"/>
    <col min="1795" max="1795" width="13" style="56" customWidth="1"/>
    <col min="1796" max="2049" width="11.42578125" style="56" customWidth="1"/>
    <col min="2050" max="2050" width="10.42578125" style="56" customWidth="1"/>
    <col min="2051" max="2051" width="13" style="56" customWidth="1"/>
    <col min="2052" max="2305" width="11.42578125" style="56" customWidth="1"/>
    <col min="2306" max="2306" width="10.42578125" style="56" customWidth="1"/>
    <col min="2307" max="2307" width="13" style="56" customWidth="1"/>
    <col min="2308" max="2561" width="11.42578125" style="56" customWidth="1"/>
    <col min="2562" max="2562" width="10.42578125" style="56" customWidth="1"/>
    <col min="2563" max="2563" width="13" style="56" customWidth="1"/>
    <col min="2564" max="2817" width="11.42578125" style="56" customWidth="1"/>
    <col min="2818" max="2818" width="10.42578125" style="56" customWidth="1"/>
    <col min="2819" max="2819" width="13" style="56" customWidth="1"/>
    <col min="2820" max="3073" width="11.42578125" style="56" customWidth="1"/>
    <col min="3074" max="3074" width="10.42578125" style="56" customWidth="1"/>
    <col min="3075" max="3075" width="13" style="56" customWidth="1"/>
    <col min="3076" max="3329" width="11.42578125" style="56" customWidth="1"/>
    <col min="3330" max="3330" width="10.42578125" style="56" customWidth="1"/>
    <col min="3331" max="3331" width="13" style="56" customWidth="1"/>
    <col min="3332" max="3585" width="11.42578125" style="56" customWidth="1"/>
    <col min="3586" max="3586" width="10.42578125" style="56" customWidth="1"/>
    <col min="3587" max="3587" width="13" style="56" customWidth="1"/>
    <col min="3588" max="3841" width="11.42578125" style="56" customWidth="1"/>
    <col min="3842" max="3842" width="10.42578125" style="56" customWidth="1"/>
    <col min="3843" max="3843" width="13" style="56" customWidth="1"/>
    <col min="3844" max="4097" width="11.42578125" style="56" customWidth="1"/>
    <col min="4098" max="4098" width="10.42578125" style="56" customWidth="1"/>
    <col min="4099" max="4099" width="13" style="56" customWidth="1"/>
    <col min="4100" max="4353" width="11.42578125" style="56" customWidth="1"/>
    <col min="4354" max="4354" width="10.42578125" style="56" customWidth="1"/>
    <col min="4355" max="4355" width="13" style="56" customWidth="1"/>
    <col min="4356" max="4609" width="11.42578125" style="56" customWidth="1"/>
    <col min="4610" max="4610" width="10.42578125" style="56" customWidth="1"/>
    <col min="4611" max="4611" width="13" style="56" customWidth="1"/>
    <col min="4612" max="4865" width="11.42578125" style="56" customWidth="1"/>
    <col min="4866" max="4866" width="10.42578125" style="56" customWidth="1"/>
    <col min="4867" max="4867" width="13" style="56" customWidth="1"/>
    <col min="4868" max="5121" width="11.42578125" style="56" customWidth="1"/>
    <col min="5122" max="5122" width="10.42578125" style="56" customWidth="1"/>
    <col min="5123" max="5123" width="13" style="56" customWidth="1"/>
    <col min="5124" max="5377" width="11.42578125" style="56" customWidth="1"/>
    <col min="5378" max="5378" width="10.42578125" style="56" customWidth="1"/>
    <col min="5379" max="5379" width="13" style="56" customWidth="1"/>
    <col min="5380" max="5633" width="11.42578125" style="56" customWidth="1"/>
    <col min="5634" max="5634" width="10.42578125" style="56" customWidth="1"/>
    <col min="5635" max="5635" width="13" style="56" customWidth="1"/>
    <col min="5636" max="5889" width="11.42578125" style="56" customWidth="1"/>
    <col min="5890" max="5890" width="10.42578125" style="56" customWidth="1"/>
    <col min="5891" max="5891" width="13" style="56" customWidth="1"/>
    <col min="5892" max="6145" width="11.42578125" style="56" customWidth="1"/>
    <col min="6146" max="6146" width="10.42578125" style="56" customWidth="1"/>
    <col min="6147" max="6147" width="13" style="56" customWidth="1"/>
    <col min="6148" max="6401" width="11.42578125" style="56" customWidth="1"/>
    <col min="6402" max="6402" width="10.42578125" style="56" customWidth="1"/>
    <col min="6403" max="6403" width="13" style="56" customWidth="1"/>
    <col min="6404" max="6657" width="11.42578125" style="56" customWidth="1"/>
    <col min="6658" max="6658" width="10.42578125" style="56" customWidth="1"/>
    <col min="6659" max="6659" width="13" style="56" customWidth="1"/>
    <col min="6660" max="6913" width="11.42578125" style="56" customWidth="1"/>
    <col min="6914" max="6914" width="10.42578125" style="56" customWidth="1"/>
    <col min="6915" max="6915" width="13" style="56" customWidth="1"/>
    <col min="6916" max="7169" width="11.42578125" style="56" customWidth="1"/>
    <col min="7170" max="7170" width="10.42578125" style="56" customWidth="1"/>
    <col min="7171" max="7171" width="13" style="56" customWidth="1"/>
    <col min="7172" max="7425" width="11.42578125" style="56" customWidth="1"/>
    <col min="7426" max="7426" width="10.42578125" style="56" customWidth="1"/>
    <col min="7427" max="7427" width="13" style="56" customWidth="1"/>
    <col min="7428" max="7681" width="11.42578125" style="56" customWidth="1"/>
    <col min="7682" max="7682" width="10.42578125" style="56" customWidth="1"/>
    <col min="7683" max="7683" width="13" style="56" customWidth="1"/>
    <col min="7684" max="7937" width="11.42578125" style="56" customWidth="1"/>
    <col min="7938" max="7938" width="10.42578125" style="56" customWidth="1"/>
    <col min="7939" max="7939" width="13" style="56" customWidth="1"/>
    <col min="7940" max="8193" width="11.42578125" style="56" customWidth="1"/>
    <col min="8194" max="8194" width="10.42578125" style="56" customWidth="1"/>
    <col min="8195" max="8195" width="13" style="56" customWidth="1"/>
    <col min="8196" max="8449" width="11.42578125" style="56" customWidth="1"/>
    <col min="8450" max="8450" width="10.42578125" style="56" customWidth="1"/>
    <col min="8451" max="8451" width="13" style="56" customWidth="1"/>
    <col min="8452" max="8705" width="11.42578125" style="56" customWidth="1"/>
    <col min="8706" max="8706" width="10.42578125" style="56" customWidth="1"/>
    <col min="8707" max="8707" width="13" style="56" customWidth="1"/>
    <col min="8708" max="8961" width="11.42578125" style="56" customWidth="1"/>
    <col min="8962" max="8962" width="10.42578125" style="56" customWidth="1"/>
    <col min="8963" max="8963" width="13" style="56" customWidth="1"/>
    <col min="8964" max="9217" width="11.42578125" style="56" customWidth="1"/>
    <col min="9218" max="9218" width="10.42578125" style="56" customWidth="1"/>
    <col min="9219" max="9219" width="13" style="56" customWidth="1"/>
    <col min="9220" max="9473" width="11.42578125" style="56" customWidth="1"/>
    <col min="9474" max="9474" width="10.42578125" style="56" customWidth="1"/>
    <col min="9475" max="9475" width="13" style="56" customWidth="1"/>
    <col min="9476" max="9729" width="11.42578125" style="56" customWidth="1"/>
    <col min="9730" max="9730" width="10.42578125" style="56" customWidth="1"/>
    <col min="9731" max="9731" width="13" style="56" customWidth="1"/>
    <col min="9732" max="9985" width="11.42578125" style="56" customWidth="1"/>
    <col min="9986" max="9986" width="10.42578125" style="56" customWidth="1"/>
    <col min="9987" max="9987" width="13" style="56" customWidth="1"/>
    <col min="9988" max="10241" width="11.42578125" style="56" customWidth="1"/>
    <col min="10242" max="10242" width="10.42578125" style="56" customWidth="1"/>
    <col min="10243" max="10243" width="13" style="56" customWidth="1"/>
    <col min="10244" max="10497" width="11.42578125" style="56" customWidth="1"/>
    <col min="10498" max="10498" width="10.42578125" style="56" customWidth="1"/>
    <col min="10499" max="10499" width="13" style="56" customWidth="1"/>
    <col min="10500" max="10753" width="11.42578125" style="56" customWidth="1"/>
    <col min="10754" max="10754" width="10.42578125" style="56" customWidth="1"/>
    <col min="10755" max="10755" width="13" style="56" customWidth="1"/>
    <col min="10756" max="11009" width="11.42578125" style="56" customWidth="1"/>
    <col min="11010" max="11010" width="10.42578125" style="56" customWidth="1"/>
    <col min="11011" max="11011" width="13" style="56" customWidth="1"/>
    <col min="11012" max="11265" width="11.42578125" style="56" customWidth="1"/>
    <col min="11266" max="11266" width="10.42578125" style="56" customWidth="1"/>
    <col min="11267" max="11267" width="13" style="56" customWidth="1"/>
    <col min="11268" max="11521" width="11.42578125" style="56" customWidth="1"/>
    <col min="11522" max="11522" width="10.42578125" style="56" customWidth="1"/>
    <col min="11523" max="11523" width="13" style="56" customWidth="1"/>
    <col min="11524" max="11777" width="11.42578125" style="56" customWidth="1"/>
    <col min="11778" max="11778" width="10.42578125" style="56" customWidth="1"/>
    <col min="11779" max="11779" width="13" style="56" customWidth="1"/>
    <col min="11780" max="12033" width="11.42578125" style="56" customWidth="1"/>
    <col min="12034" max="12034" width="10.42578125" style="56" customWidth="1"/>
    <col min="12035" max="12035" width="13" style="56" customWidth="1"/>
    <col min="12036" max="12289" width="11.42578125" style="56" customWidth="1"/>
    <col min="12290" max="12290" width="10.42578125" style="56" customWidth="1"/>
    <col min="12291" max="12291" width="13" style="56" customWidth="1"/>
    <col min="12292" max="12545" width="11.42578125" style="56" customWidth="1"/>
    <col min="12546" max="12546" width="10.42578125" style="56" customWidth="1"/>
    <col min="12547" max="12547" width="13" style="56" customWidth="1"/>
    <col min="12548" max="12801" width="11.42578125" style="56" customWidth="1"/>
    <col min="12802" max="12802" width="10.42578125" style="56" customWidth="1"/>
    <col min="12803" max="12803" width="13" style="56" customWidth="1"/>
    <col min="12804" max="13057" width="11.42578125" style="56" customWidth="1"/>
    <col min="13058" max="13058" width="10.42578125" style="56" customWidth="1"/>
    <col min="13059" max="13059" width="13" style="56" customWidth="1"/>
    <col min="13060" max="13313" width="11.42578125" style="56" customWidth="1"/>
    <col min="13314" max="13314" width="10.42578125" style="56" customWidth="1"/>
    <col min="13315" max="13315" width="13" style="56" customWidth="1"/>
    <col min="13316" max="13569" width="11.42578125" style="56" customWidth="1"/>
    <col min="13570" max="13570" width="10.42578125" style="56" customWidth="1"/>
    <col min="13571" max="13571" width="13" style="56" customWidth="1"/>
    <col min="13572" max="13825" width="11.42578125" style="56" customWidth="1"/>
    <col min="13826" max="13826" width="10.42578125" style="56" customWidth="1"/>
    <col min="13827" max="13827" width="13" style="56" customWidth="1"/>
    <col min="13828" max="14081" width="11.42578125" style="56" customWidth="1"/>
    <col min="14082" max="14082" width="10.42578125" style="56" customWidth="1"/>
    <col min="14083" max="14083" width="13" style="56" customWidth="1"/>
    <col min="14084" max="14337" width="11.42578125" style="56" customWidth="1"/>
    <col min="14338" max="14338" width="10.42578125" style="56" customWidth="1"/>
    <col min="14339" max="14339" width="13" style="56" customWidth="1"/>
    <col min="14340" max="14593" width="11.42578125" style="56" customWidth="1"/>
    <col min="14594" max="14594" width="10.42578125" style="56" customWidth="1"/>
    <col min="14595" max="14595" width="13" style="56" customWidth="1"/>
    <col min="14596" max="14849" width="11.42578125" style="56" customWidth="1"/>
    <col min="14850" max="14850" width="10.42578125" style="56" customWidth="1"/>
    <col min="14851" max="14851" width="13" style="56" customWidth="1"/>
    <col min="14852" max="15105" width="11.42578125" style="56" customWidth="1"/>
    <col min="15106" max="15106" width="10.42578125" style="56" customWidth="1"/>
    <col min="15107" max="15107" width="13" style="56" customWidth="1"/>
    <col min="15108" max="15361" width="11.42578125" style="56" customWidth="1"/>
    <col min="15362" max="15362" width="10.42578125" style="56" customWidth="1"/>
    <col min="15363" max="15363" width="13" style="56" customWidth="1"/>
    <col min="15364" max="15617" width="11.42578125" style="56" customWidth="1"/>
    <col min="15618" max="15618" width="10.42578125" style="56" customWidth="1"/>
    <col min="15619" max="15619" width="13" style="56" customWidth="1"/>
    <col min="15620" max="15873" width="11.42578125" style="56" customWidth="1"/>
    <col min="15874" max="15874" width="10.42578125" style="56" customWidth="1"/>
    <col min="15875" max="15875" width="13" style="56" customWidth="1"/>
    <col min="15876" max="16129" width="11.42578125" style="56" customWidth="1"/>
    <col min="16130" max="16130" width="10.42578125" style="56" customWidth="1"/>
    <col min="16131" max="16131" width="13" style="56" customWidth="1"/>
    <col min="16132" max="16384" width="11.42578125" style="56" customWidth="1"/>
  </cols>
  <sheetData>
    <row r="1" spans="1:9" ht="15" customHeight="1">
      <c r="A1" s="891" t="s">
        <v>2</v>
      </c>
      <c r="B1" s="892"/>
      <c r="C1" s="892"/>
      <c r="D1" s="892"/>
      <c r="E1" s="892"/>
      <c r="F1" s="892"/>
      <c r="G1" s="892"/>
      <c r="H1" s="893"/>
    </row>
    <row r="2" spans="1:9" ht="5.25" customHeight="1" thickBot="1">
      <c r="A2" s="894"/>
      <c r="B2" s="895"/>
      <c r="C2" s="895"/>
      <c r="D2" s="895"/>
      <c r="E2" s="895"/>
      <c r="F2" s="895"/>
      <c r="G2" s="895"/>
      <c r="H2" s="896"/>
    </row>
    <row r="3" spans="1:9" ht="56.25" customHeight="1" thickBot="1">
      <c r="A3" s="322"/>
      <c r="B3" s="907" t="s">
        <v>393</v>
      </c>
      <c r="C3" s="908"/>
      <c r="D3" s="908"/>
      <c r="E3" s="908"/>
      <c r="F3" s="908"/>
      <c r="G3" s="908"/>
      <c r="H3" s="909"/>
    </row>
    <row r="5" spans="1:9">
      <c r="A5" s="57"/>
      <c r="B5" s="58"/>
      <c r="E5" s="58"/>
      <c r="G5" s="59"/>
      <c r="H5" s="60"/>
    </row>
    <row r="6" spans="1:9" ht="23.25" customHeight="1">
      <c r="A6" s="57" t="s">
        <v>378</v>
      </c>
      <c r="B6" s="946" t="s">
        <v>377</v>
      </c>
      <c r="C6" s="946"/>
      <c r="D6" s="946"/>
      <c r="E6" s="946"/>
      <c r="F6" s="946"/>
      <c r="G6" s="59" t="s">
        <v>30</v>
      </c>
      <c r="H6" s="61" t="s">
        <v>355</v>
      </c>
    </row>
    <row r="7" spans="1:9">
      <c r="A7" s="58"/>
      <c r="B7" s="58"/>
      <c r="D7" s="58"/>
      <c r="E7" s="58"/>
      <c r="F7" s="58"/>
      <c r="G7" s="58"/>
    </row>
    <row r="8" spans="1:9" ht="12.75" thickBot="1">
      <c r="A8" s="58" t="s">
        <v>3</v>
      </c>
      <c r="B8" s="58"/>
    </row>
    <row r="9" spans="1:9">
      <c r="A9" s="897" t="s">
        <v>4</v>
      </c>
      <c r="B9" s="898"/>
      <c r="C9" s="899"/>
      <c r="D9" s="62" t="s">
        <v>5</v>
      </c>
      <c r="E9" s="63" t="s">
        <v>6</v>
      </c>
      <c r="F9" s="62" t="s">
        <v>7</v>
      </c>
      <c r="G9" s="64" t="s">
        <v>8</v>
      </c>
      <c r="H9" s="65"/>
    </row>
    <row r="10" spans="1:9">
      <c r="A10" s="947" t="s">
        <v>356</v>
      </c>
      <c r="B10" s="948"/>
      <c r="C10" s="949"/>
      <c r="D10" s="191"/>
      <c r="E10" s="68">
        <f>EQUIPO!D16</f>
        <v>170000</v>
      </c>
      <c r="F10" s="68">
        <v>1</v>
      </c>
      <c r="G10" s="68">
        <f>E10/F10</f>
        <v>170000</v>
      </c>
      <c r="H10" s="69"/>
    </row>
    <row r="11" spans="1:9">
      <c r="A11" s="947" t="s">
        <v>305</v>
      </c>
      <c r="B11" s="948"/>
      <c r="C11" s="949"/>
      <c r="D11" s="66"/>
      <c r="E11" s="186"/>
      <c r="F11" s="67"/>
      <c r="G11" s="68">
        <f>H35*0.1</f>
        <v>5737.3</v>
      </c>
      <c r="H11" s="69"/>
    </row>
    <row r="12" spans="1:9">
      <c r="A12" s="900"/>
      <c r="B12" s="901"/>
      <c r="C12" s="902"/>
      <c r="D12" s="66"/>
      <c r="E12" s="186"/>
      <c r="F12" s="67"/>
      <c r="G12" s="68"/>
      <c r="H12" s="69"/>
    </row>
    <row r="13" spans="1:9" ht="12.75" thickBot="1">
      <c r="A13" s="903"/>
      <c r="B13" s="904"/>
      <c r="C13" s="905"/>
      <c r="D13" s="169"/>
      <c r="E13" s="187"/>
      <c r="F13" s="74"/>
      <c r="G13" s="75"/>
      <c r="H13" s="76"/>
    </row>
    <row r="14" spans="1:9" ht="12.75" thickBot="1">
      <c r="G14" s="61" t="s">
        <v>9</v>
      </c>
      <c r="H14" s="77">
        <f>ROUND(G10+G11+G12+G13,0)</f>
        <v>175737</v>
      </c>
      <c r="I14" s="78"/>
    </row>
    <row r="15" spans="1:9" ht="12.75" thickBot="1">
      <c r="A15" s="58" t="s">
        <v>10</v>
      </c>
      <c r="B15" s="58"/>
    </row>
    <row r="16" spans="1:9">
      <c r="A16" s="897" t="s">
        <v>4</v>
      </c>
      <c r="B16" s="898"/>
      <c r="C16" s="899"/>
      <c r="D16" s="62" t="s">
        <v>11</v>
      </c>
      <c r="E16" s="62" t="s">
        <v>12</v>
      </c>
      <c r="F16" s="62" t="s">
        <v>13</v>
      </c>
      <c r="G16" s="64" t="s">
        <v>8</v>
      </c>
      <c r="H16" s="65"/>
    </row>
    <row r="17" spans="1:11">
      <c r="A17" s="929"/>
      <c r="B17" s="930"/>
      <c r="C17" s="931"/>
      <c r="D17" s="66"/>
      <c r="E17" s="82"/>
      <c r="F17" s="99"/>
      <c r="G17" s="68"/>
      <c r="H17" s="69"/>
    </row>
    <row r="18" spans="1:11">
      <c r="A18" s="84"/>
      <c r="B18" s="80"/>
      <c r="C18" s="81"/>
      <c r="D18" s="66"/>
      <c r="E18" s="82"/>
      <c r="F18" s="83"/>
      <c r="G18" s="68"/>
      <c r="H18" s="69"/>
    </row>
    <row r="19" spans="1:11">
      <c r="A19" s="84"/>
      <c r="B19" s="80"/>
      <c r="C19" s="81"/>
      <c r="D19" s="70"/>
      <c r="E19" s="71"/>
      <c r="F19" s="85"/>
      <c r="G19" s="68"/>
      <c r="H19" s="69"/>
    </row>
    <row r="20" spans="1:11">
      <c r="A20" s="84"/>
      <c r="B20" s="80"/>
      <c r="C20" s="81"/>
      <c r="D20" s="70"/>
      <c r="E20" s="71"/>
      <c r="F20" s="85"/>
      <c r="G20" s="68"/>
      <c r="H20" s="69"/>
    </row>
    <row r="21" spans="1:11" ht="12.75" thickBot="1">
      <c r="A21" s="86"/>
      <c r="B21" s="87"/>
      <c r="C21" s="88"/>
      <c r="D21" s="72"/>
      <c r="E21" s="73"/>
      <c r="F21" s="74"/>
      <c r="G21" s="75"/>
      <c r="H21" s="76"/>
    </row>
    <row r="22" spans="1:11" ht="12.75" thickBot="1">
      <c r="G22" s="61" t="s">
        <v>9</v>
      </c>
      <c r="H22" s="77">
        <f>SUM(G17:G21)</f>
        <v>0</v>
      </c>
    </row>
    <row r="23" spans="1:11" ht="12.75" thickBot="1">
      <c r="A23" s="89" t="s">
        <v>14</v>
      </c>
      <c r="B23" s="89"/>
      <c r="C23" s="90"/>
      <c r="K23" s="91"/>
    </row>
    <row r="24" spans="1:11" ht="24">
      <c r="A24" s="128" t="s">
        <v>15</v>
      </c>
      <c r="B24" s="129"/>
      <c r="C24" s="138" t="s">
        <v>16</v>
      </c>
      <c r="D24" s="62" t="s">
        <v>17</v>
      </c>
      <c r="E24" s="62" t="s">
        <v>18</v>
      </c>
      <c r="F24" s="62" t="s">
        <v>19</v>
      </c>
      <c r="G24" s="92" t="s">
        <v>8</v>
      </c>
      <c r="H24" s="65"/>
    </row>
    <row r="25" spans="1:11">
      <c r="A25" s="84" t="s">
        <v>89</v>
      </c>
      <c r="B25" s="80"/>
      <c r="C25" s="93">
        <v>18</v>
      </c>
      <c r="D25" s="94">
        <v>5</v>
      </c>
      <c r="E25" s="96">
        <f>C25*D25</f>
        <v>90</v>
      </c>
      <c r="F25" s="170">
        <f>'[1]4,8 TRANSPORTE'!H35</f>
        <v>1500</v>
      </c>
      <c r="G25" s="97">
        <f>E25*F25</f>
        <v>135000</v>
      </c>
      <c r="H25" s="69"/>
    </row>
    <row r="26" spans="1:11">
      <c r="A26" s="84"/>
      <c r="B26" s="80"/>
      <c r="C26" s="98"/>
      <c r="D26" s="66"/>
      <c r="E26" s="99"/>
      <c r="F26" s="67"/>
      <c r="G26" s="67"/>
      <c r="H26" s="69"/>
    </row>
    <row r="27" spans="1:11" ht="12.75" thickBot="1">
      <c r="A27" s="86"/>
      <c r="B27" s="88"/>
      <c r="C27" s="72"/>
      <c r="D27" s="73"/>
      <c r="E27" s="74"/>
      <c r="F27" s="75"/>
      <c r="G27" s="72"/>
      <c r="H27" s="76"/>
    </row>
    <row r="28" spans="1:11" ht="12.75" thickBot="1">
      <c r="G28" s="61" t="s">
        <v>9</v>
      </c>
      <c r="H28" s="77">
        <f>SUM(G25:G27)</f>
        <v>135000</v>
      </c>
    </row>
    <row r="29" spans="1:11" ht="12.75" thickBot="1">
      <c r="A29" s="89" t="s">
        <v>20</v>
      </c>
      <c r="B29" s="89"/>
    </row>
    <row r="30" spans="1:11">
      <c r="A30" s="128" t="s">
        <v>21</v>
      </c>
      <c r="B30" s="129"/>
      <c r="C30" s="100" t="s">
        <v>22</v>
      </c>
      <c r="D30" s="62" t="s">
        <v>23</v>
      </c>
      <c r="E30" s="63" t="s">
        <v>24</v>
      </c>
      <c r="F30" s="100" t="s">
        <v>7</v>
      </c>
      <c r="G30" s="64" t="s">
        <v>8</v>
      </c>
      <c r="H30" s="65"/>
    </row>
    <row r="31" spans="1:11">
      <c r="A31" s="84"/>
      <c r="B31" s="80"/>
      <c r="C31" s="101"/>
      <c r="D31" s="338"/>
      <c r="E31" s="67"/>
      <c r="F31" s="67"/>
      <c r="G31" s="102"/>
      <c r="H31" s="69"/>
      <c r="I31" s="78"/>
    </row>
    <row r="32" spans="1:11">
      <c r="A32" s="84"/>
      <c r="B32" s="80"/>
      <c r="C32" s="101"/>
      <c r="D32" s="338"/>
      <c r="E32" s="67"/>
      <c r="F32" s="67"/>
      <c r="G32" s="102"/>
      <c r="H32" s="69"/>
      <c r="I32" s="78"/>
    </row>
    <row r="33" spans="1:9">
      <c r="A33" s="84" t="s">
        <v>39</v>
      </c>
      <c r="B33" s="80">
        <v>3</v>
      </c>
      <c r="C33" s="101">
        <v>31874</v>
      </c>
      <c r="D33" s="94">
        <v>1.8</v>
      </c>
      <c r="E33" s="166">
        <f>C33*D33*B33</f>
        <v>172119.6</v>
      </c>
      <c r="F33" s="67">
        <v>3</v>
      </c>
      <c r="G33" s="167">
        <f>ROUND(+E33/F33,2)</f>
        <v>57373.2</v>
      </c>
      <c r="H33" s="69"/>
      <c r="I33" s="78"/>
    </row>
    <row r="34" spans="1:9" ht="12.75" thickBot="1">
      <c r="A34" s="86"/>
      <c r="B34" s="87"/>
      <c r="C34" s="73"/>
      <c r="D34" s="103"/>
      <c r="E34" s="103"/>
      <c r="F34" s="103"/>
      <c r="G34" s="90"/>
      <c r="H34" s="76"/>
    </row>
    <row r="35" spans="1:9" ht="12.75" thickBot="1">
      <c r="G35" s="61" t="s">
        <v>9</v>
      </c>
      <c r="H35" s="77">
        <f>ROUND(G31+G32+G33,0)</f>
        <v>57373</v>
      </c>
      <c r="I35" s="78"/>
    </row>
    <row r="36" spans="1:9" ht="12.75" thickBot="1">
      <c r="G36" s="104"/>
      <c r="I36" s="78"/>
    </row>
    <row r="37" spans="1:9" ht="12.75" thickBot="1">
      <c r="E37" s="105" t="s">
        <v>25</v>
      </c>
      <c r="F37" s="106"/>
      <c r="G37" s="106"/>
      <c r="H37" s="77">
        <f>ROUND(H14+H22+H28+H35,0)</f>
        <v>368110</v>
      </c>
      <c r="I37" s="78"/>
    </row>
    <row r="42" spans="1:9" s="194" customFormat="1" ht="14.25">
      <c r="A42" s="195" t="s">
        <v>134</v>
      </c>
      <c r="B42" s="195"/>
      <c r="C42" s="195"/>
      <c r="D42" s="197"/>
      <c r="E42" s="196"/>
      <c r="F42" s="196"/>
    </row>
    <row r="43" spans="1:9" s="194" customFormat="1" ht="14.25">
      <c r="A43" s="195" t="s">
        <v>131</v>
      </c>
      <c r="B43" s="195"/>
      <c r="C43" s="195"/>
      <c r="D43" s="197"/>
      <c r="E43" s="196"/>
      <c r="F43" s="196"/>
    </row>
  </sheetData>
  <mergeCells count="10">
    <mergeCell ref="A1:H2"/>
    <mergeCell ref="B6:F6"/>
    <mergeCell ref="A9:C9"/>
    <mergeCell ref="A10:C10"/>
    <mergeCell ref="A11:C11"/>
    <mergeCell ref="A12:C12"/>
    <mergeCell ref="A13:C13"/>
    <mergeCell ref="A16:C16"/>
    <mergeCell ref="A17:C17"/>
    <mergeCell ref="B3:H3"/>
  </mergeCells>
  <pageMargins left="0.7" right="0.7" top="0.75" bottom="0.75" header="0.3" footer="0.3"/>
  <pageSetup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FF0000"/>
  </sheetPr>
  <dimension ref="A1:H42"/>
  <sheetViews>
    <sheetView view="pageBreakPreview" zoomScale="83" zoomScaleSheetLayoutView="83" workbookViewId="0">
      <selection activeCell="D17" sqref="D17"/>
    </sheetView>
  </sheetViews>
  <sheetFormatPr baseColWidth="10" defaultColWidth="9.28515625" defaultRowHeight="12"/>
  <cols>
    <col min="1" max="1" width="11.42578125" style="56" customWidth="1"/>
    <col min="2" max="2" width="10.42578125" style="56" customWidth="1"/>
    <col min="3" max="3" width="15" style="56" customWidth="1"/>
    <col min="4" max="5" width="10.7109375" style="56" customWidth="1"/>
    <col min="6" max="6" width="10.28515625" style="56" customWidth="1"/>
    <col min="7" max="7" width="12.28515625" style="56" customWidth="1"/>
    <col min="8" max="8" width="13.7109375" style="56" bestFit="1" customWidth="1"/>
    <col min="9" max="248" width="11.42578125" style="56" customWidth="1"/>
    <col min="249" max="249" width="10.42578125" style="56" customWidth="1"/>
    <col min="250" max="250" width="13" style="56" customWidth="1"/>
    <col min="251" max="504" width="11.42578125" style="56" customWidth="1"/>
    <col min="505" max="505" width="10.42578125" style="56" customWidth="1"/>
    <col min="506" max="506" width="13" style="56" customWidth="1"/>
    <col min="507" max="760" width="11.42578125" style="56" customWidth="1"/>
    <col min="761" max="761" width="10.42578125" style="56" customWidth="1"/>
    <col min="762" max="762" width="13" style="56" customWidth="1"/>
    <col min="763" max="1016" width="11.42578125" style="56" customWidth="1"/>
    <col min="1017" max="1017" width="10.42578125" style="56" customWidth="1"/>
    <col min="1018" max="1018" width="13" style="56" customWidth="1"/>
    <col min="1019" max="1272" width="11.42578125" style="56" customWidth="1"/>
    <col min="1273" max="1273" width="10.42578125" style="56" customWidth="1"/>
    <col min="1274" max="1274" width="13" style="56" customWidth="1"/>
    <col min="1275" max="1528" width="11.42578125" style="56" customWidth="1"/>
    <col min="1529" max="1529" width="10.42578125" style="56" customWidth="1"/>
    <col min="1530" max="1530" width="13" style="56" customWidth="1"/>
    <col min="1531" max="1784" width="11.42578125" style="56" customWidth="1"/>
    <col min="1785" max="1785" width="10.42578125" style="56" customWidth="1"/>
    <col min="1786" max="1786" width="13" style="56" customWidth="1"/>
    <col min="1787" max="2040" width="11.42578125" style="56" customWidth="1"/>
    <col min="2041" max="2041" width="10.42578125" style="56" customWidth="1"/>
    <col min="2042" max="2042" width="13" style="56" customWidth="1"/>
    <col min="2043" max="2296" width="11.42578125" style="56" customWidth="1"/>
    <col min="2297" max="2297" width="10.42578125" style="56" customWidth="1"/>
    <col min="2298" max="2298" width="13" style="56" customWidth="1"/>
    <col min="2299" max="2552" width="11.42578125" style="56" customWidth="1"/>
    <col min="2553" max="2553" width="10.42578125" style="56" customWidth="1"/>
    <col min="2554" max="2554" width="13" style="56" customWidth="1"/>
    <col min="2555" max="2808" width="11.42578125" style="56" customWidth="1"/>
    <col min="2809" max="2809" width="10.42578125" style="56" customWidth="1"/>
    <col min="2810" max="2810" width="13" style="56" customWidth="1"/>
    <col min="2811" max="3064" width="11.42578125" style="56" customWidth="1"/>
    <col min="3065" max="3065" width="10.42578125" style="56" customWidth="1"/>
    <col min="3066" max="3066" width="13" style="56" customWidth="1"/>
    <col min="3067" max="3320" width="11.42578125" style="56" customWidth="1"/>
    <col min="3321" max="3321" width="10.42578125" style="56" customWidth="1"/>
    <col min="3322" max="3322" width="13" style="56" customWidth="1"/>
    <col min="3323" max="3576" width="11.42578125" style="56" customWidth="1"/>
    <col min="3577" max="3577" width="10.42578125" style="56" customWidth="1"/>
    <col min="3578" max="3578" width="13" style="56" customWidth="1"/>
    <col min="3579" max="3832" width="11.42578125" style="56" customWidth="1"/>
    <col min="3833" max="3833" width="10.42578125" style="56" customWidth="1"/>
    <col min="3834" max="3834" width="13" style="56" customWidth="1"/>
    <col min="3835" max="4088" width="11.42578125" style="56" customWidth="1"/>
    <col min="4089" max="4089" width="10.42578125" style="56" customWidth="1"/>
    <col min="4090" max="4090" width="13" style="56" customWidth="1"/>
    <col min="4091" max="4344" width="11.42578125" style="56" customWidth="1"/>
    <col min="4345" max="4345" width="10.42578125" style="56" customWidth="1"/>
    <col min="4346" max="4346" width="13" style="56" customWidth="1"/>
    <col min="4347" max="4600" width="11.42578125" style="56" customWidth="1"/>
    <col min="4601" max="4601" width="10.42578125" style="56" customWidth="1"/>
    <col min="4602" max="4602" width="13" style="56" customWidth="1"/>
    <col min="4603" max="4856" width="11.42578125" style="56" customWidth="1"/>
    <col min="4857" max="4857" width="10.42578125" style="56" customWidth="1"/>
    <col min="4858" max="4858" width="13" style="56" customWidth="1"/>
    <col min="4859" max="5112" width="11.42578125" style="56" customWidth="1"/>
    <col min="5113" max="5113" width="10.42578125" style="56" customWidth="1"/>
    <col min="5114" max="5114" width="13" style="56" customWidth="1"/>
    <col min="5115" max="5368" width="11.42578125" style="56" customWidth="1"/>
    <col min="5369" max="5369" width="10.42578125" style="56" customWidth="1"/>
    <col min="5370" max="5370" width="13" style="56" customWidth="1"/>
    <col min="5371" max="5624" width="11.42578125" style="56" customWidth="1"/>
    <col min="5625" max="5625" width="10.42578125" style="56" customWidth="1"/>
    <col min="5626" max="5626" width="13" style="56" customWidth="1"/>
    <col min="5627" max="5880" width="11.42578125" style="56" customWidth="1"/>
    <col min="5881" max="5881" width="10.42578125" style="56" customWidth="1"/>
    <col min="5882" max="5882" width="13" style="56" customWidth="1"/>
    <col min="5883" max="6136" width="11.42578125" style="56" customWidth="1"/>
    <col min="6137" max="6137" width="10.42578125" style="56" customWidth="1"/>
    <col min="6138" max="6138" width="13" style="56" customWidth="1"/>
    <col min="6139" max="6392" width="11.42578125" style="56" customWidth="1"/>
    <col min="6393" max="6393" width="10.42578125" style="56" customWidth="1"/>
    <col min="6394" max="6394" width="13" style="56" customWidth="1"/>
    <col min="6395" max="6648" width="11.42578125" style="56" customWidth="1"/>
    <col min="6649" max="6649" width="10.42578125" style="56" customWidth="1"/>
    <col min="6650" max="6650" width="13" style="56" customWidth="1"/>
    <col min="6651" max="6904" width="11.42578125" style="56" customWidth="1"/>
    <col min="6905" max="6905" width="10.42578125" style="56" customWidth="1"/>
    <col min="6906" max="6906" width="13" style="56" customWidth="1"/>
    <col min="6907" max="7160" width="11.42578125" style="56" customWidth="1"/>
    <col min="7161" max="7161" width="10.42578125" style="56" customWidth="1"/>
    <col min="7162" max="7162" width="13" style="56" customWidth="1"/>
    <col min="7163" max="7416" width="11.42578125" style="56" customWidth="1"/>
    <col min="7417" max="7417" width="10.42578125" style="56" customWidth="1"/>
    <col min="7418" max="7418" width="13" style="56" customWidth="1"/>
    <col min="7419" max="7672" width="11.42578125" style="56" customWidth="1"/>
    <col min="7673" max="7673" width="10.42578125" style="56" customWidth="1"/>
    <col min="7674" max="7674" width="13" style="56" customWidth="1"/>
    <col min="7675" max="7928" width="11.42578125" style="56" customWidth="1"/>
    <col min="7929" max="7929" width="10.42578125" style="56" customWidth="1"/>
    <col min="7930" max="7930" width="13" style="56" customWidth="1"/>
    <col min="7931" max="8184" width="11.42578125" style="56" customWidth="1"/>
    <col min="8185" max="8185" width="10.42578125" style="56" customWidth="1"/>
    <col min="8186" max="8186" width="13" style="56" customWidth="1"/>
    <col min="8187" max="8440" width="11.42578125" style="56" customWidth="1"/>
    <col min="8441" max="8441" width="10.42578125" style="56" customWidth="1"/>
    <col min="8442" max="8442" width="13" style="56" customWidth="1"/>
    <col min="8443" max="8696" width="11.42578125" style="56" customWidth="1"/>
    <col min="8697" max="8697" width="10.42578125" style="56" customWidth="1"/>
    <col min="8698" max="8698" width="13" style="56" customWidth="1"/>
    <col min="8699" max="8952" width="11.42578125" style="56" customWidth="1"/>
    <col min="8953" max="8953" width="10.42578125" style="56" customWidth="1"/>
    <col min="8954" max="8954" width="13" style="56" customWidth="1"/>
    <col min="8955" max="9208" width="11.42578125" style="56" customWidth="1"/>
    <col min="9209" max="9209" width="10.42578125" style="56" customWidth="1"/>
    <col min="9210" max="9210" width="13" style="56" customWidth="1"/>
    <col min="9211" max="9464" width="11.42578125" style="56" customWidth="1"/>
    <col min="9465" max="9465" width="10.42578125" style="56" customWidth="1"/>
    <col min="9466" max="9466" width="13" style="56" customWidth="1"/>
    <col min="9467" max="9720" width="11.42578125" style="56" customWidth="1"/>
    <col min="9721" max="9721" width="10.42578125" style="56" customWidth="1"/>
    <col min="9722" max="9722" width="13" style="56" customWidth="1"/>
    <col min="9723" max="9976" width="11.42578125" style="56" customWidth="1"/>
    <col min="9977" max="9977" width="10.42578125" style="56" customWidth="1"/>
    <col min="9978" max="9978" width="13" style="56" customWidth="1"/>
    <col min="9979" max="10232" width="11.42578125" style="56" customWidth="1"/>
    <col min="10233" max="10233" width="10.42578125" style="56" customWidth="1"/>
    <col min="10234" max="10234" width="13" style="56" customWidth="1"/>
    <col min="10235" max="10488" width="11.42578125" style="56" customWidth="1"/>
    <col min="10489" max="10489" width="10.42578125" style="56" customWidth="1"/>
    <col min="10490" max="10490" width="13" style="56" customWidth="1"/>
    <col min="10491" max="10744" width="11.42578125" style="56" customWidth="1"/>
    <col min="10745" max="10745" width="10.42578125" style="56" customWidth="1"/>
    <col min="10746" max="10746" width="13" style="56" customWidth="1"/>
    <col min="10747" max="11000" width="11.42578125" style="56" customWidth="1"/>
    <col min="11001" max="11001" width="10.42578125" style="56" customWidth="1"/>
    <col min="11002" max="11002" width="13" style="56" customWidth="1"/>
    <col min="11003" max="11256" width="11.42578125" style="56" customWidth="1"/>
    <col min="11257" max="11257" width="10.42578125" style="56" customWidth="1"/>
    <col min="11258" max="11258" width="13" style="56" customWidth="1"/>
    <col min="11259" max="11512" width="11.42578125" style="56" customWidth="1"/>
    <col min="11513" max="11513" width="10.42578125" style="56" customWidth="1"/>
    <col min="11514" max="11514" width="13" style="56" customWidth="1"/>
    <col min="11515" max="11768" width="11.42578125" style="56" customWidth="1"/>
    <col min="11769" max="11769" width="10.42578125" style="56" customWidth="1"/>
    <col min="11770" max="11770" width="13" style="56" customWidth="1"/>
    <col min="11771" max="12024" width="11.42578125" style="56" customWidth="1"/>
    <col min="12025" max="12025" width="10.42578125" style="56" customWidth="1"/>
    <col min="12026" max="12026" width="13" style="56" customWidth="1"/>
    <col min="12027" max="12280" width="11.42578125" style="56" customWidth="1"/>
    <col min="12281" max="12281" width="10.42578125" style="56" customWidth="1"/>
    <col min="12282" max="12282" width="13" style="56" customWidth="1"/>
    <col min="12283" max="12536" width="11.42578125" style="56" customWidth="1"/>
    <col min="12537" max="12537" width="10.42578125" style="56" customWidth="1"/>
    <col min="12538" max="12538" width="13" style="56" customWidth="1"/>
    <col min="12539" max="12792" width="11.42578125" style="56" customWidth="1"/>
    <col min="12793" max="12793" width="10.42578125" style="56" customWidth="1"/>
    <col min="12794" max="12794" width="13" style="56" customWidth="1"/>
    <col min="12795" max="13048" width="11.42578125" style="56" customWidth="1"/>
    <col min="13049" max="13049" width="10.42578125" style="56" customWidth="1"/>
    <col min="13050" max="13050" width="13" style="56" customWidth="1"/>
    <col min="13051" max="13304" width="11.42578125" style="56" customWidth="1"/>
    <col min="13305" max="13305" width="10.42578125" style="56" customWidth="1"/>
    <col min="13306" max="13306" width="13" style="56" customWidth="1"/>
    <col min="13307" max="13560" width="11.42578125" style="56" customWidth="1"/>
    <col min="13561" max="13561" width="10.42578125" style="56" customWidth="1"/>
    <col min="13562" max="13562" width="13" style="56" customWidth="1"/>
    <col min="13563" max="13816" width="11.42578125" style="56" customWidth="1"/>
    <col min="13817" max="13817" width="10.42578125" style="56" customWidth="1"/>
    <col min="13818" max="13818" width="13" style="56" customWidth="1"/>
    <col min="13819" max="14072" width="11.42578125" style="56" customWidth="1"/>
    <col min="14073" max="14073" width="10.42578125" style="56" customWidth="1"/>
    <col min="14074" max="14074" width="13" style="56" customWidth="1"/>
    <col min="14075" max="14328" width="11.42578125" style="56" customWidth="1"/>
    <col min="14329" max="14329" width="10.42578125" style="56" customWidth="1"/>
    <col min="14330" max="14330" width="13" style="56" customWidth="1"/>
    <col min="14331" max="14584" width="11.42578125" style="56" customWidth="1"/>
    <col min="14585" max="14585" width="10.42578125" style="56" customWidth="1"/>
    <col min="14586" max="14586" width="13" style="56" customWidth="1"/>
    <col min="14587" max="14840" width="11.42578125" style="56" customWidth="1"/>
    <col min="14841" max="14841" width="10.42578125" style="56" customWidth="1"/>
    <col min="14842" max="14842" width="13" style="56" customWidth="1"/>
    <col min="14843" max="15096" width="11.42578125" style="56" customWidth="1"/>
    <col min="15097" max="15097" width="10.42578125" style="56" customWidth="1"/>
    <col min="15098" max="15098" width="13" style="56" customWidth="1"/>
    <col min="15099" max="15352" width="11.42578125" style="56" customWidth="1"/>
    <col min="15353" max="15353" width="10.42578125" style="56" customWidth="1"/>
    <col min="15354" max="15354" width="13" style="56" customWidth="1"/>
    <col min="15355" max="15608" width="11.42578125" style="56" customWidth="1"/>
    <col min="15609" max="15609" width="10.42578125" style="56" customWidth="1"/>
    <col min="15610" max="15610" width="13" style="56" customWidth="1"/>
    <col min="15611" max="15864" width="11.42578125" style="56" customWidth="1"/>
    <col min="15865" max="15865" width="10.42578125" style="56" customWidth="1"/>
    <col min="15866" max="15866" width="13" style="56" customWidth="1"/>
    <col min="15867" max="16120" width="11.42578125" style="56" customWidth="1"/>
    <col min="16121" max="16121" width="10.42578125" style="56" customWidth="1"/>
    <col min="16122" max="16122" width="13" style="56" customWidth="1"/>
    <col min="16123" max="16384" width="11.42578125" style="56" customWidth="1"/>
  </cols>
  <sheetData>
    <row r="1" spans="1:8">
      <c r="A1" s="891" t="s">
        <v>2</v>
      </c>
      <c r="B1" s="892"/>
      <c r="C1" s="892"/>
      <c r="D1" s="892"/>
      <c r="E1" s="892"/>
      <c r="F1" s="892"/>
      <c r="G1" s="892"/>
      <c r="H1" s="893"/>
    </row>
    <row r="2" spans="1:8" ht="12.75" thickBot="1">
      <c r="A2" s="894"/>
      <c r="B2" s="895"/>
      <c r="C2" s="895"/>
      <c r="D2" s="895"/>
      <c r="E2" s="895"/>
      <c r="F2" s="895"/>
      <c r="G2" s="895"/>
      <c r="H2" s="896"/>
    </row>
    <row r="3" spans="1:8" ht="66" customHeight="1" thickBot="1">
      <c r="A3" s="322"/>
      <c r="B3" s="907" t="s">
        <v>393</v>
      </c>
      <c r="C3" s="908"/>
      <c r="D3" s="908"/>
      <c r="E3" s="908"/>
      <c r="F3" s="908"/>
      <c r="G3" s="908"/>
      <c r="H3" s="909"/>
    </row>
    <row r="5" spans="1:8">
      <c r="A5" s="57"/>
      <c r="B5" s="58"/>
      <c r="E5" s="58"/>
      <c r="G5" s="59"/>
      <c r="H5" s="60"/>
    </row>
    <row r="6" spans="1:8">
      <c r="A6" s="910" t="s">
        <v>411</v>
      </c>
      <c r="B6" s="906" t="s">
        <v>371</v>
      </c>
      <c r="C6" s="906"/>
      <c r="D6" s="906"/>
      <c r="E6" s="906"/>
      <c r="F6" s="906"/>
      <c r="G6" s="59" t="s">
        <v>30</v>
      </c>
      <c r="H6" s="61" t="s">
        <v>0</v>
      </c>
    </row>
    <row r="7" spans="1:8">
      <c r="A7" s="910"/>
      <c r="B7" s="906"/>
      <c r="C7" s="906"/>
      <c r="D7" s="906"/>
      <c r="E7" s="906"/>
      <c r="F7" s="906"/>
      <c r="G7" s="58"/>
    </row>
    <row r="8" spans="1:8" ht="12.75" thickBot="1">
      <c r="A8" s="58" t="s">
        <v>3</v>
      </c>
      <c r="B8" s="58"/>
    </row>
    <row r="9" spans="1:8">
      <c r="A9" s="897" t="s">
        <v>4</v>
      </c>
      <c r="B9" s="898"/>
      <c r="C9" s="899"/>
      <c r="D9" s="62" t="s">
        <v>5</v>
      </c>
      <c r="E9" s="63" t="s">
        <v>6</v>
      </c>
      <c r="F9" s="62" t="s">
        <v>7</v>
      </c>
      <c r="G9" s="64" t="s">
        <v>8</v>
      </c>
      <c r="H9" s="65"/>
    </row>
    <row r="10" spans="1:8">
      <c r="A10" s="900" t="s">
        <v>305</v>
      </c>
      <c r="B10" s="901"/>
      <c r="C10" s="902"/>
      <c r="D10" s="66"/>
      <c r="E10" s="82"/>
      <c r="F10" s="67"/>
      <c r="G10" s="164">
        <f>H33*0.1</f>
        <v>1912.4</v>
      </c>
      <c r="H10" s="69"/>
    </row>
    <row r="11" spans="1:8">
      <c r="A11" s="900"/>
      <c r="B11" s="901"/>
      <c r="C11" s="902"/>
      <c r="D11" s="66"/>
      <c r="E11" s="82"/>
      <c r="F11" s="67"/>
      <c r="G11" s="164"/>
      <c r="H11" s="69"/>
    </row>
    <row r="12" spans="1:8">
      <c r="A12" s="900"/>
      <c r="B12" s="901"/>
      <c r="C12" s="902"/>
      <c r="D12" s="70"/>
      <c r="E12" s="71"/>
      <c r="F12" s="67"/>
      <c r="G12" s="164"/>
      <c r="H12" s="69"/>
    </row>
    <row r="13" spans="1:8" ht="12.75" thickBot="1">
      <c r="A13" s="900"/>
      <c r="B13" s="901"/>
      <c r="C13" s="902"/>
      <c r="D13" s="66"/>
      <c r="E13" s="82"/>
      <c r="F13" s="67"/>
      <c r="G13" s="164"/>
      <c r="H13" s="76"/>
    </row>
    <row r="14" spans="1:8" ht="12.75" thickBot="1">
      <c r="G14" s="61" t="s">
        <v>9</v>
      </c>
      <c r="H14" s="175">
        <f>ROUND(G10,0)</f>
        <v>1912</v>
      </c>
    </row>
    <row r="15" spans="1:8" ht="12.75" thickBot="1">
      <c r="A15" s="58" t="s">
        <v>10</v>
      </c>
      <c r="B15" s="58"/>
    </row>
    <row r="16" spans="1:8">
      <c r="A16" s="897" t="s">
        <v>4</v>
      </c>
      <c r="B16" s="898"/>
      <c r="C16" s="899"/>
      <c r="D16" s="62" t="s">
        <v>11</v>
      </c>
      <c r="E16" s="62" t="s">
        <v>12</v>
      </c>
      <c r="F16" s="62" t="s">
        <v>13</v>
      </c>
      <c r="G16" s="64" t="s">
        <v>8</v>
      </c>
      <c r="H16" s="65"/>
    </row>
    <row r="17" spans="1:8">
      <c r="A17" s="79"/>
      <c r="B17" s="80"/>
      <c r="C17" s="81"/>
      <c r="D17" s="66"/>
      <c r="E17" s="82"/>
      <c r="F17" s="83"/>
      <c r="G17" s="68"/>
      <c r="H17" s="69"/>
    </row>
    <row r="18" spans="1:8">
      <c r="A18" s="84"/>
      <c r="B18" s="80"/>
      <c r="C18" s="81"/>
      <c r="D18" s="66"/>
      <c r="E18" s="82"/>
      <c r="F18" s="83"/>
      <c r="G18" s="68"/>
      <c r="H18" s="69"/>
    </row>
    <row r="19" spans="1:8">
      <c r="A19" s="84"/>
      <c r="B19" s="80"/>
      <c r="C19" s="81"/>
      <c r="D19" s="70"/>
      <c r="E19" s="71"/>
      <c r="F19" s="85"/>
      <c r="G19" s="68"/>
      <c r="H19" s="69"/>
    </row>
    <row r="20" spans="1:8">
      <c r="A20" s="84"/>
      <c r="B20" s="80"/>
      <c r="C20" s="81"/>
      <c r="D20" s="70"/>
      <c r="E20" s="71"/>
      <c r="F20" s="85"/>
      <c r="G20" s="68"/>
      <c r="H20" s="69"/>
    </row>
    <row r="21" spans="1:8" ht="12.75" thickBot="1">
      <c r="A21" s="86"/>
      <c r="B21" s="87"/>
      <c r="C21" s="88"/>
      <c r="D21" s="72"/>
      <c r="E21" s="73"/>
      <c r="F21" s="74"/>
      <c r="G21" s="75"/>
      <c r="H21" s="76"/>
    </row>
    <row r="22" spans="1:8" ht="12.75" thickBot="1">
      <c r="G22" s="61" t="s">
        <v>9</v>
      </c>
      <c r="H22" s="165">
        <f>SUM(G17:G21)</f>
        <v>0</v>
      </c>
    </row>
    <row r="23" spans="1:8" ht="12.75" thickBot="1">
      <c r="A23" s="89" t="s">
        <v>14</v>
      </c>
      <c r="B23" s="89"/>
      <c r="C23" s="90"/>
    </row>
    <row r="24" spans="1:8">
      <c r="A24" s="128" t="s">
        <v>15</v>
      </c>
      <c r="B24" s="129"/>
      <c r="C24" s="130" t="s">
        <v>16</v>
      </c>
      <c r="D24" s="62" t="s">
        <v>17</v>
      </c>
      <c r="E24" s="62" t="s">
        <v>18</v>
      </c>
      <c r="F24" s="62" t="s">
        <v>19</v>
      </c>
      <c r="G24" s="92" t="s">
        <v>8</v>
      </c>
      <c r="H24" s="65"/>
    </row>
    <row r="25" spans="1:8">
      <c r="A25" s="84" t="s">
        <v>102</v>
      </c>
      <c r="B25" s="80"/>
      <c r="C25" s="93">
        <v>1.3</v>
      </c>
      <c r="D25" s="94">
        <v>5</v>
      </c>
      <c r="E25" s="95">
        <f>C25*D25</f>
        <v>6.5</v>
      </c>
      <c r="F25" s="96">
        <f>TRANSPORTE!H33</f>
        <v>1500</v>
      </c>
      <c r="G25" s="97">
        <f>E25*F25</f>
        <v>9750</v>
      </c>
      <c r="H25" s="69"/>
    </row>
    <row r="26" spans="1:8">
      <c r="A26" s="84"/>
      <c r="B26" s="80"/>
      <c r="C26" s="98"/>
      <c r="D26" s="66"/>
      <c r="E26" s="99"/>
      <c r="F26" s="67"/>
      <c r="G26" s="67"/>
      <c r="H26" s="69"/>
    </row>
    <row r="27" spans="1:8" ht="12.75" thickBot="1">
      <c r="A27" s="86"/>
      <c r="B27" s="88"/>
      <c r="C27" s="72"/>
      <c r="D27" s="73"/>
      <c r="E27" s="74"/>
      <c r="F27" s="75"/>
      <c r="G27" s="72"/>
      <c r="H27" s="76"/>
    </row>
    <row r="28" spans="1:8" ht="12.75" thickBot="1">
      <c r="G28" s="61" t="s">
        <v>9</v>
      </c>
      <c r="H28" s="165">
        <f>SUM(G25:G27)</f>
        <v>9750</v>
      </c>
    </row>
    <row r="29" spans="1:8" ht="12.75" thickBot="1">
      <c r="A29" s="89" t="s">
        <v>20</v>
      </c>
      <c r="B29" s="89"/>
    </row>
    <row r="30" spans="1:8">
      <c r="A30" s="128" t="s">
        <v>21</v>
      </c>
      <c r="B30" s="129"/>
      <c r="C30" s="100" t="s">
        <v>22</v>
      </c>
      <c r="D30" s="62" t="s">
        <v>23</v>
      </c>
      <c r="E30" s="63" t="s">
        <v>24</v>
      </c>
      <c r="F30" s="100" t="s">
        <v>7</v>
      </c>
      <c r="G30" s="64" t="s">
        <v>8</v>
      </c>
      <c r="H30" s="65"/>
    </row>
    <row r="31" spans="1:8">
      <c r="A31" s="84" t="s">
        <v>39</v>
      </c>
      <c r="B31" s="80">
        <v>1</v>
      </c>
      <c r="C31" s="101">
        <v>31874</v>
      </c>
      <c r="D31" s="192">
        <v>1.8</v>
      </c>
      <c r="E31" s="166">
        <f>+D31*C31*B31</f>
        <v>57373.200000000004</v>
      </c>
      <c r="F31" s="67">
        <v>3</v>
      </c>
      <c r="G31" s="167">
        <f>+E31/F31</f>
        <v>19124.400000000001</v>
      </c>
      <c r="H31" s="69"/>
    </row>
    <row r="32" spans="1:8" ht="12.75" thickBot="1">
      <c r="A32" s="86"/>
      <c r="B32" s="87"/>
      <c r="C32" s="73"/>
      <c r="D32" s="103"/>
      <c r="E32" s="103"/>
      <c r="F32" s="103"/>
      <c r="G32" s="90"/>
      <c r="H32" s="76"/>
    </row>
    <row r="33" spans="1:8" ht="12.75" thickBot="1">
      <c r="G33" s="61" t="s">
        <v>9</v>
      </c>
      <c r="H33" s="175">
        <f>ROUND(G31+G32,0)</f>
        <v>19124</v>
      </c>
    </row>
    <row r="34" spans="1:8" ht="12.75" thickBot="1">
      <c r="G34" s="104"/>
    </row>
    <row r="35" spans="1:8" ht="12.75" thickBot="1">
      <c r="E35" s="105" t="s">
        <v>25</v>
      </c>
      <c r="F35" s="106"/>
      <c r="G35" s="106"/>
      <c r="H35" s="175">
        <f>ROUND(H14+H22+H28+H33,0)</f>
        <v>30786</v>
      </c>
    </row>
    <row r="41" spans="1:8" s="194" customFormat="1" ht="14.25">
      <c r="A41" s="195" t="s">
        <v>134</v>
      </c>
      <c r="B41" s="195"/>
      <c r="C41" s="195"/>
      <c r="D41" s="197"/>
      <c r="E41" s="196"/>
      <c r="F41" s="196"/>
    </row>
    <row r="42" spans="1:8" s="194" customFormat="1" ht="14.25">
      <c r="A42" s="195" t="s">
        <v>131</v>
      </c>
      <c r="B42" s="195"/>
      <c r="C42" s="195"/>
      <c r="D42" s="197"/>
      <c r="E42" s="196"/>
      <c r="F42" s="196"/>
    </row>
  </sheetData>
  <mergeCells count="10">
    <mergeCell ref="A11:C11"/>
    <mergeCell ref="A12:C12"/>
    <mergeCell ref="A13:C13"/>
    <mergeCell ref="A16:C16"/>
    <mergeCell ref="A1:H2"/>
    <mergeCell ref="B3:H3"/>
    <mergeCell ref="A6:A7"/>
    <mergeCell ref="B6:F7"/>
    <mergeCell ref="A9:C9"/>
    <mergeCell ref="A10:C10"/>
  </mergeCells>
  <pageMargins left="0.7" right="0.7" top="0.75" bottom="0.75" header="0.3" footer="0.3"/>
  <pageSetup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FF0000"/>
  </sheetPr>
  <dimension ref="A1:K46"/>
  <sheetViews>
    <sheetView view="pageBreakPreview" topLeftCell="A19" zoomScaleSheetLayoutView="100" workbookViewId="0">
      <selection activeCell="D17" sqref="D17"/>
    </sheetView>
  </sheetViews>
  <sheetFormatPr baseColWidth="10" defaultColWidth="9.28515625" defaultRowHeight="12.75"/>
  <cols>
    <col min="1" max="1" width="11.42578125" style="4" customWidth="1"/>
    <col min="2" max="2" width="11.28515625" style="4" customWidth="1"/>
    <col min="3" max="3" width="13" style="4" customWidth="1"/>
    <col min="4" max="4" width="11.42578125" style="107" customWidth="1"/>
    <col min="5" max="8" width="11.42578125" style="4" customWidth="1"/>
    <col min="9" max="9" width="15.42578125" style="4" customWidth="1"/>
    <col min="10" max="257" width="11.42578125" style="4" customWidth="1"/>
    <col min="258" max="258" width="10.42578125" style="4" customWidth="1"/>
    <col min="259" max="259" width="13" style="4" customWidth="1"/>
    <col min="260" max="513" width="11.42578125" style="4" customWidth="1"/>
    <col min="514" max="514" width="10.42578125" style="4" customWidth="1"/>
    <col min="515" max="515" width="13" style="4" customWidth="1"/>
    <col min="516" max="769" width="11.42578125" style="4" customWidth="1"/>
    <col min="770" max="770" width="10.42578125" style="4" customWidth="1"/>
    <col min="771" max="771" width="13" style="4" customWidth="1"/>
    <col min="772" max="1025" width="11.42578125" style="4" customWidth="1"/>
    <col min="1026" max="1026" width="10.42578125" style="4" customWidth="1"/>
    <col min="1027" max="1027" width="13" style="4" customWidth="1"/>
    <col min="1028" max="1281" width="11.42578125" style="4" customWidth="1"/>
    <col min="1282" max="1282" width="10.42578125" style="4" customWidth="1"/>
    <col min="1283" max="1283" width="13" style="4" customWidth="1"/>
    <col min="1284" max="1537" width="11.42578125" style="4" customWidth="1"/>
    <col min="1538" max="1538" width="10.42578125" style="4" customWidth="1"/>
    <col min="1539" max="1539" width="13" style="4" customWidth="1"/>
    <col min="1540" max="1793" width="11.42578125" style="4" customWidth="1"/>
    <col min="1794" max="1794" width="10.42578125" style="4" customWidth="1"/>
    <col min="1795" max="1795" width="13" style="4" customWidth="1"/>
    <col min="1796" max="2049" width="11.42578125" style="4" customWidth="1"/>
    <col min="2050" max="2050" width="10.42578125" style="4" customWidth="1"/>
    <col min="2051" max="2051" width="13" style="4" customWidth="1"/>
    <col min="2052" max="2305" width="11.42578125" style="4" customWidth="1"/>
    <col min="2306" max="2306" width="10.42578125" style="4" customWidth="1"/>
    <col min="2307" max="2307" width="13" style="4" customWidth="1"/>
    <col min="2308" max="2561" width="11.42578125" style="4" customWidth="1"/>
    <col min="2562" max="2562" width="10.42578125" style="4" customWidth="1"/>
    <col min="2563" max="2563" width="13" style="4" customWidth="1"/>
    <col min="2564" max="2817" width="11.42578125" style="4" customWidth="1"/>
    <col min="2818" max="2818" width="10.42578125" style="4" customWidth="1"/>
    <col min="2819" max="2819" width="13" style="4" customWidth="1"/>
    <col min="2820" max="3073" width="11.42578125" style="4" customWidth="1"/>
    <col min="3074" max="3074" width="10.42578125" style="4" customWidth="1"/>
    <col min="3075" max="3075" width="13" style="4" customWidth="1"/>
    <col min="3076" max="3329" width="11.42578125" style="4" customWidth="1"/>
    <col min="3330" max="3330" width="10.42578125" style="4" customWidth="1"/>
    <col min="3331" max="3331" width="13" style="4" customWidth="1"/>
    <col min="3332" max="3585" width="11.42578125" style="4" customWidth="1"/>
    <col min="3586" max="3586" width="10.42578125" style="4" customWidth="1"/>
    <col min="3587" max="3587" width="13" style="4" customWidth="1"/>
    <col min="3588" max="3841" width="11.42578125" style="4" customWidth="1"/>
    <col min="3842" max="3842" width="10.42578125" style="4" customWidth="1"/>
    <col min="3843" max="3843" width="13" style="4" customWidth="1"/>
    <col min="3844" max="4097" width="11.42578125" style="4" customWidth="1"/>
    <col min="4098" max="4098" width="10.42578125" style="4" customWidth="1"/>
    <col min="4099" max="4099" width="13" style="4" customWidth="1"/>
    <col min="4100" max="4353" width="11.42578125" style="4" customWidth="1"/>
    <col min="4354" max="4354" width="10.42578125" style="4" customWidth="1"/>
    <col min="4355" max="4355" width="13" style="4" customWidth="1"/>
    <col min="4356" max="4609" width="11.42578125" style="4" customWidth="1"/>
    <col min="4610" max="4610" width="10.42578125" style="4" customWidth="1"/>
    <col min="4611" max="4611" width="13" style="4" customWidth="1"/>
    <col min="4612" max="4865" width="11.42578125" style="4" customWidth="1"/>
    <col min="4866" max="4866" width="10.42578125" style="4" customWidth="1"/>
    <col min="4867" max="4867" width="13" style="4" customWidth="1"/>
    <col min="4868" max="5121" width="11.42578125" style="4" customWidth="1"/>
    <col min="5122" max="5122" width="10.42578125" style="4" customWidth="1"/>
    <col min="5123" max="5123" width="13" style="4" customWidth="1"/>
    <col min="5124" max="5377" width="11.42578125" style="4" customWidth="1"/>
    <col min="5378" max="5378" width="10.42578125" style="4" customWidth="1"/>
    <col min="5379" max="5379" width="13" style="4" customWidth="1"/>
    <col min="5380" max="5633" width="11.42578125" style="4" customWidth="1"/>
    <col min="5634" max="5634" width="10.42578125" style="4" customWidth="1"/>
    <col min="5635" max="5635" width="13" style="4" customWidth="1"/>
    <col min="5636" max="5889" width="11.42578125" style="4" customWidth="1"/>
    <col min="5890" max="5890" width="10.42578125" style="4" customWidth="1"/>
    <col min="5891" max="5891" width="13" style="4" customWidth="1"/>
    <col min="5892" max="6145" width="11.42578125" style="4" customWidth="1"/>
    <col min="6146" max="6146" width="10.42578125" style="4" customWidth="1"/>
    <col min="6147" max="6147" width="13" style="4" customWidth="1"/>
    <col min="6148" max="6401" width="11.42578125" style="4" customWidth="1"/>
    <col min="6402" max="6402" width="10.42578125" style="4" customWidth="1"/>
    <col min="6403" max="6403" width="13" style="4" customWidth="1"/>
    <col min="6404" max="6657" width="11.42578125" style="4" customWidth="1"/>
    <col min="6658" max="6658" width="10.42578125" style="4" customWidth="1"/>
    <col min="6659" max="6659" width="13" style="4" customWidth="1"/>
    <col min="6660" max="6913" width="11.42578125" style="4" customWidth="1"/>
    <col min="6914" max="6914" width="10.42578125" style="4" customWidth="1"/>
    <col min="6915" max="6915" width="13" style="4" customWidth="1"/>
    <col min="6916" max="7169" width="11.42578125" style="4" customWidth="1"/>
    <col min="7170" max="7170" width="10.42578125" style="4" customWidth="1"/>
    <col min="7171" max="7171" width="13" style="4" customWidth="1"/>
    <col min="7172" max="7425" width="11.42578125" style="4" customWidth="1"/>
    <col min="7426" max="7426" width="10.42578125" style="4" customWidth="1"/>
    <col min="7427" max="7427" width="13" style="4" customWidth="1"/>
    <col min="7428" max="7681" width="11.42578125" style="4" customWidth="1"/>
    <col min="7682" max="7682" width="10.42578125" style="4" customWidth="1"/>
    <col min="7683" max="7683" width="13" style="4" customWidth="1"/>
    <col min="7684" max="7937" width="11.42578125" style="4" customWidth="1"/>
    <col min="7938" max="7938" width="10.42578125" style="4" customWidth="1"/>
    <col min="7939" max="7939" width="13" style="4" customWidth="1"/>
    <col min="7940" max="8193" width="11.42578125" style="4" customWidth="1"/>
    <col min="8194" max="8194" width="10.42578125" style="4" customWidth="1"/>
    <col min="8195" max="8195" width="13" style="4" customWidth="1"/>
    <col min="8196" max="8449" width="11.42578125" style="4" customWidth="1"/>
    <col min="8450" max="8450" width="10.42578125" style="4" customWidth="1"/>
    <col min="8451" max="8451" width="13" style="4" customWidth="1"/>
    <col min="8452" max="8705" width="11.42578125" style="4" customWidth="1"/>
    <col min="8706" max="8706" width="10.42578125" style="4" customWidth="1"/>
    <col min="8707" max="8707" width="13" style="4" customWidth="1"/>
    <col min="8708" max="8961" width="11.42578125" style="4" customWidth="1"/>
    <col min="8962" max="8962" width="10.42578125" style="4" customWidth="1"/>
    <col min="8963" max="8963" width="13" style="4" customWidth="1"/>
    <col min="8964" max="9217" width="11.42578125" style="4" customWidth="1"/>
    <col min="9218" max="9218" width="10.42578125" style="4" customWidth="1"/>
    <col min="9219" max="9219" width="13" style="4" customWidth="1"/>
    <col min="9220" max="9473" width="11.42578125" style="4" customWidth="1"/>
    <col min="9474" max="9474" width="10.42578125" style="4" customWidth="1"/>
    <col min="9475" max="9475" width="13" style="4" customWidth="1"/>
    <col min="9476" max="9729" width="11.42578125" style="4" customWidth="1"/>
    <col min="9730" max="9730" width="10.42578125" style="4" customWidth="1"/>
    <col min="9731" max="9731" width="13" style="4" customWidth="1"/>
    <col min="9732" max="9985" width="11.42578125" style="4" customWidth="1"/>
    <col min="9986" max="9986" width="10.42578125" style="4" customWidth="1"/>
    <col min="9987" max="9987" width="13" style="4" customWidth="1"/>
    <col min="9988" max="10241" width="11.42578125" style="4" customWidth="1"/>
    <col min="10242" max="10242" width="10.42578125" style="4" customWidth="1"/>
    <col min="10243" max="10243" width="13" style="4" customWidth="1"/>
    <col min="10244" max="10497" width="11.42578125" style="4" customWidth="1"/>
    <col min="10498" max="10498" width="10.42578125" style="4" customWidth="1"/>
    <col min="10499" max="10499" width="13" style="4" customWidth="1"/>
    <col min="10500" max="10753" width="11.42578125" style="4" customWidth="1"/>
    <col min="10754" max="10754" width="10.42578125" style="4" customWidth="1"/>
    <col min="10755" max="10755" width="13" style="4" customWidth="1"/>
    <col min="10756" max="11009" width="11.42578125" style="4" customWidth="1"/>
    <col min="11010" max="11010" width="10.42578125" style="4" customWidth="1"/>
    <col min="11011" max="11011" width="13" style="4" customWidth="1"/>
    <col min="11012" max="11265" width="11.42578125" style="4" customWidth="1"/>
    <col min="11266" max="11266" width="10.42578125" style="4" customWidth="1"/>
    <col min="11267" max="11267" width="13" style="4" customWidth="1"/>
    <col min="11268" max="11521" width="11.42578125" style="4" customWidth="1"/>
    <col min="11522" max="11522" width="10.42578125" style="4" customWidth="1"/>
    <col min="11523" max="11523" width="13" style="4" customWidth="1"/>
    <col min="11524" max="11777" width="11.42578125" style="4" customWidth="1"/>
    <col min="11778" max="11778" width="10.42578125" style="4" customWidth="1"/>
    <col min="11779" max="11779" width="13" style="4" customWidth="1"/>
    <col min="11780" max="12033" width="11.42578125" style="4" customWidth="1"/>
    <col min="12034" max="12034" width="10.42578125" style="4" customWidth="1"/>
    <col min="12035" max="12035" width="13" style="4" customWidth="1"/>
    <col min="12036" max="12289" width="11.42578125" style="4" customWidth="1"/>
    <col min="12290" max="12290" width="10.42578125" style="4" customWidth="1"/>
    <col min="12291" max="12291" width="13" style="4" customWidth="1"/>
    <col min="12292" max="12545" width="11.42578125" style="4" customWidth="1"/>
    <col min="12546" max="12546" width="10.42578125" style="4" customWidth="1"/>
    <col min="12547" max="12547" width="13" style="4" customWidth="1"/>
    <col min="12548" max="12801" width="11.42578125" style="4" customWidth="1"/>
    <col min="12802" max="12802" width="10.42578125" style="4" customWidth="1"/>
    <col min="12803" max="12803" width="13" style="4" customWidth="1"/>
    <col min="12804" max="13057" width="11.42578125" style="4" customWidth="1"/>
    <col min="13058" max="13058" width="10.42578125" style="4" customWidth="1"/>
    <col min="13059" max="13059" width="13" style="4" customWidth="1"/>
    <col min="13060" max="13313" width="11.42578125" style="4" customWidth="1"/>
    <col min="13314" max="13314" width="10.42578125" style="4" customWidth="1"/>
    <col min="13315" max="13315" width="13" style="4" customWidth="1"/>
    <col min="13316" max="13569" width="11.42578125" style="4" customWidth="1"/>
    <col min="13570" max="13570" width="10.42578125" style="4" customWidth="1"/>
    <col min="13571" max="13571" width="13" style="4" customWidth="1"/>
    <col min="13572" max="13825" width="11.42578125" style="4" customWidth="1"/>
    <col min="13826" max="13826" width="10.42578125" style="4" customWidth="1"/>
    <col min="13827" max="13827" width="13" style="4" customWidth="1"/>
    <col min="13828" max="14081" width="11.42578125" style="4" customWidth="1"/>
    <col min="14082" max="14082" width="10.42578125" style="4" customWidth="1"/>
    <col min="14083" max="14083" width="13" style="4" customWidth="1"/>
    <col min="14084" max="14337" width="11.42578125" style="4" customWidth="1"/>
    <col min="14338" max="14338" width="10.42578125" style="4" customWidth="1"/>
    <col min="14339" max="14339" width="13" style="4" customWidth="1"/>
    <col min="14340" max="14593" width="11.42578125" style="4" customWidth="1"/>
    <col min="14594" max="14594" width="10.42578125" style="4" customWidth="1"/>
    <col min="14595" max="14595" width="13" style="4" customWidth="1"/>
    <col min="14596" max="14849" width="11.42578125" style="4" customWidth="1"/>
    <col min="14850" max="14850" width="10.42578125" style="4" customWidth="1"/>
    <col min="14851" max="14851" width="13" style="4" customWidth="1"/>
    <col min="14852" max="15105" width="11.42578125" style="4" customWidth="1"/>
    <col min="15106" max="15106" width="10.42578125" style="4" customWidth="1"/>
    <col min="15107" max="15107" width="13" style="4" customWidth="1"/>
    <col min="15108" max="15361" width="11.42578125" style="4" customWidth="1"/>
    <col min="15362" max="15362" width="10.42578125" style="4" customWidth="1"/>
    <col min="15363" max="15363" width="13" style="4" customWidth="1"/>
    <col min="15364" max="15617" width="11.42578125" style="4" customWidth="1"/>
    <col min="15618" max="15618" width="10.42578125" style="4" customWidth="1"/>
    <col min="15619" max="15619" width="13" style="4" customWidth="1"/>
    <col min="15620" max="15873" width="11.42578125" style="4" customWidth="1"/>
    <col min="15874" max="15874" width="10.42578125" style="4" customWidth="1"/>
    <col min="15875" max="15875" width="13" style="4" customWidth="1"/>
    <col min="15876" max="16129" width="11.42578125" style="4" customWidth="1"/>
    <col min="16130" max="16130" width="10.42578125" style="4" customWidth="1"/>
    <col min="16131" max="16131" width="13" style="4" customWidth="1"/>
    <col min="16132" max="16384" width="11.42578125" style="4" customWidth="1"/>
  </cols>
  <sheetData>
    <row r="1" spans="1:8" s="56" customFormat="1" ht="15" customHeight="1">
      <c r="A1" s="891" t="s">
        <v>2</v>
      </c>
      <c r="B1" s="892"/>
      <c r="C1" s="892"/>
      <c r="D1" s="892"/>
      <c r="E1" s="892"/>
      <c r="F1" s="892"/>
      <c r="G1" s="892"/>
      <c r="H1" s="893"/>
    </row>
    <row r="2" spans="1:8" s="56" customFormat="1" ht="5.25" customHeight="1" thickBot="1">
      <c r="A2" s="894"/>
      <c r="B2" s="895"/>
      <c r="C2" s="895"/>
      <c r="D2" s="895"/>
      <c r="E2" s="895"/>
      <c r="F2" s="895"/>
      <c r="G2" s="895"/>
      <c r="H2" s="896"/>
    </row>
    <row r="3" spans="1:8" s="56" customFormat="1" ht="56.25" customHeight="1" thickBot="1">
      <c r="A3" s="322"/>
      <c r="B3" s="907" t="s">
        <v>393</v>
      </c>
      <c r="C3" s="908"/>
      <c r="D3" s="908"/>
      <c r="E3" s="908"/>
      <c r="F3" s="908"/>
      <c r="G3" s="908"/>
      <c r="H3" s="909"/>
    </row>
    <row r="5" spans="1:8">
      <c r="A5" s="5"/>
      <c r="B5" s="6"/>
      <c r="C5" s="6"/>
      <c r="D5" s="52"/>
      <c r="E5" s="6"/>
      <c r="F5" s="6"/>
      <c r="G5" s="6"/>
      <c r="H5" s="6"/>
    </row>
    <row r="6" spans="1:8">
      <c r="A6" s="5"/>
      <c r="B6" s="7"/>
      <c r="C6" s="6"/>
      <c r="E6" s="7"/>
      <c r="G6" s="8"/>
      <c r="H6" s="122"/>
    </row>
    <row r="7" spans="1:8">
      <c r="A7" s="57" t="s">
        <v>412</v>
      </c>
      <c r="B7" s="906" t="s">
        <v>422</v>
      </c>
      <c r="C7" s="906"/>
      <c r="D7" s="906"/>
      <c r="E7" s="906"/>
      <c r="F7" s="906"/>
      <c r="G7" s="58" t="s">
        <v>30</v>
      </c>
      <c r="H7" s="61" t="s">
        <v>0</v>
      </c>
    </row>
    <row r="8" spans="1:8">
      <c r="A8" s="58"/>
      <c r="B8" s="906"/>
      <c r="C8" s="906"/>
      <c r="D8" s="906"/>
      <c r="E8" s="906"/>
      <c r="F8" s="906"/>
      <c r="G8" s="58"/>
      <c r="H8" s="56"/>
    </row>
    <row r="9" spans="1:8" ht="13.5" thickBot="1">
      <c r="A9" s="10" t="s">
        <v>3</v>
      </c>
      <c r="B9" s="10"/>
      <c r="C9" s="6"/>
      <c r="D9" s="52"/>
      <c r="E9" s="6"/>
      <c r="F9" s="6"/>
      <c r="G9" s="6"/>
      <c r="H9" s="6"/>
    </row>
    <row r="10" spans="1:8">
      <c r="A10" s="912" t="s">
        <v>4</v>
      </c>
      <c r="B10" s="913"/>
      <c r="C10" s="914"/>
      <c r="D10" s="11" t="s">
        <v>5</v>
      </c>
      <c r="E10" s="12" t="s">
        <v>6</v>
      </c>
      <c r="F10" s="11" t="s">
        <v>7</v>
      </c>
      <c r="G10" s="13" t="s">
        <v>8</v>
      </c>
      <c r="H10" s="14"/>
    </row>
    <row r="11" spans="1:8">
      <c r="A11" s="918" t="s">
        <v>305</v>
      </c>
      <c r="B11" s="919"/>
      <c r="C11" s="920"/>
      <c r="D11" s="15"/>
      <c r="E11" s="108"/>
      <c r="F11" s="16"/>
      <c r="G11" s="148">
        <f>H38*0.1</f>
        <v>4413.3507692307694</v>
      </c>
      <c r="H11" s="18"/>
    </row>
    <row r="12" spans="1:8">
      <c r="A12" s="918"/>
      <c r="B12" s="919"/>
      <c r="C12" s="920"/>
      <c r="D12" s="15"/>
      <c r="E12" s="108"/>
      <c r="F12" s="16"/>
      <c r="G12" s="148"/>
      <c r="H12" s="18"/>
    </row>
    <row r="13" spans="1:8">
      <c r="A13" s="918"/>
      <c r="B13" s="919"/>
      <c r="C13" s="920"/>
      <c r="D13" s="15"/>
      <c r="E13" s="108"/>
      <c r="F13" s="16"/>
      <c r="G13" s="50"/>
      <c r="H13" s="181"/>
    </row>
    <row r="14" spans="1:8" ht="13.5" thickBot="1">
      <c r="A14" s="921"/>
      <c r="B14" s="922"/>
      <c r="C14" s="923"/>
      <c r="D14" s="21"/>
      <c r="E14" s="22"/>
      <c r="F14" s="23"/>
      <c r="G14" s="24"/>
      <c r="H14" s="25"/>
    </row>
    <row r="15" spans="1:8" ht="13.5" thickBot="1">
      <c r="A15" s="6"/>
      <c r="B15" s="6"/>
      <c r="C15" s="6"/>
      <c r="D15" s="52"/>
      <c r="E15" s="6"/>
      <c r="F15" s="6"/>
      <c r="G15" s="26" t="s">
        <v>9</v>
      </c>
      <c r="H15" s="27">
        <f>SUM(G11:G14)</f>
        <v>4413.3507692307694</v>
      </c>
    </row>
    <row r="16" spans="1:8" ht="13.5" thickBot="1">
      <c r="A16" s="10" t="s">
        <v>10</v>
      </c>
      <c r="B16" s="10"/>
      <c r="C16" s="6"/>
      <c r="D16" s="52"/>
      <c r="E16" s="6"/>
      <c r="F16" s="6"/>
      <c r="G16" s="6"/>
      <c r="H16" s="6"/>
    </row>
    <row r="17" spans="1:11">
      <c r="A17" s="912" t="s">
        <v>4</v>
      </c>
      <c r="B17" s="913"/>
      <c r="C17" s="913"/>
      <c r="D17" s="48" t="s">
        <v>11</v>
      </c>
      <c r="E17" s="48" t="s">
        <v>12</v>
      </c>
      <c r="F17" s="48" t="s">
        <v>13</v>
      </c>
      <c r="G17" s="134" t="s">
        <v>8</v>
      </c>
      <c r="H17" s="14"/>
    </row>
    <row r="18" spans="1:11" ht="16.5" customHeight="1">
      <c r="A18" s="938" t="s">
        <v>310</v>
      </c>
      <c r="B18" s="939"/>
      <c r="C18" s="940"/>
      <c r="D18" s="118" t="str">
        <f>+'Despiece de Insumos'!C10</f>
        <v>M3</v>
      </c>
      <c r="E18" s="119">
        <f>'Cto 2000'!H40</f>
        <v>388547</v>
      </c>
      <c r="F18" s="16">
        <v>1</v>
      </c>
      <c r="G18" s="17">
        <f>+E18*F18</f>
        <v>388547</v>
      </c>
      <c r="H18" s="18"/>
    </row>
    <row r="19" spans="1:11" ht="15" customHeight="1">
      <c r="A19" s="915"/>
      <c r="B19" s="916"/>
      <c r="C19" s="917"/>
      <c r="D19" s="118"/>
      <c r="E19" s="119"/>
      <c r="F19" s="16"/>
      <c r="G19" s="17"/>
      <c r="H19" s="18"/>
    </row>
    <row r="20" spans="1:11">
      <c r="A20" s="29"/>
      <c r="B20" s="30"/>
      <c r="C20" s="30"/>
      <c r="D20" s="118"/>
      <c r="E20" s="119"/>
      <c r="F20" s="16"/>
      <c r="G20" s="17"/>
      <c r="H20" s="18"/>
    </row>
    <row r="21" spans="1:11">
      <c r="A21" s="29"/>
      <c r="B21" s="30"/>
      <c r="C21" s="30"/>
      <c r="D21" s="118"/>
      <c r="E21" s="119"/>
      <c r="F21" s="16"/>
      <c r="G21" s="17"/>
      <c r="H21" s="18"/>
    </row>
    <row r="22" spans="1:11" ht="13.5" thickBot="1">
      <c r="A22" s="37"/>
      <c r="B22" s="179"/>
      <c r="C22" s="38"/>
      <c r="D22" s="21"/>
      <c r="E22" s="22"/>
      <c r="F22" s="23"/>
      <c r="G22" s="121"/>
      <c r="H22" s="25"/>
    </row>
    <row r="23" spans="1:11" ht="13.5" thickBot="1">
      <c r="A23" s="6"/>
      <c r="B23" s="6"/>
      <c r="C23" s="6"/>
      <c r="D23" s="52"/>
      <c r="E23" s="6"/>
      <c r="F23" s="6"/>
      <c r="G23" s="26" t="s">
        <v>9</v>
      </c>
      <c r="H23" s="55">
        <f>SUM(G18:G22)</f>
        <v>388547</v>
      </c>
    </row>
    <row r="24" spans="1:11" ht="13.5" thickBot="1">
      <c r="A24" s="40" t="s">
        <v>14</v>
      </c>
      <c r="B24" s="40"/>
      <c r="C24" s="41"/>
      <c r="D24" s="52"/>
      <c r="E24" s="6"/>
      <c r="F24" s="6"/>
      <c r="G24" s="6"/>
      <c r="H24" s="6"/>
      <c r="K24" s="42"/>
    </row>
    <row r="25" spans="1:11">
      <c r="A25" s="43" t="s">
        <v>15</v>
      </c>
      <c r="B25" s="44"/>
      <c r="C25" s="45" t="s">
        <v>16</v>
      </c>
      <c r="D25" s="11" t="s">
        <v>17</v>
      </c>
      <c r="E25" s="11" t="s">
        <v>18</v>
      </c>
      <c r="F25" s="11" t="s">
        <v>19</v>
      </c>
      <c r="G25" s="46" t="s">
        <v>8</v>
      </c>
      <c r="H25" s="14"/>
    </row>
    <row r="26" spans="1:11">
      <c r="A26" s="35"/>
      <c r="B26" s="30"/>
      <c r="C26" s="109"/>
      <c r="D26" s="110"/>
      <c r="E26" s="112"/>
      <c r="F26" s="112"/>
      <c r="G26" s="47"/>
      <c r="H26" s="18"/>
    </row>
    <row r="27" spans="1:11">
      <c r="A27" s="35"/>
      <c r="B27" s="30"/>
      <c r="C27" s="113"/>
      <c r="D27" s="110"/>
      <c r="E27" s="111"/>
      <c r="F27" s="112"/>
      <c r="G27" s="47"/>
      <c r="H27" s="18"/>
    </row>
    <row r="28" spans="1:11" ht="13.5" thickBot="1">
      <c r="A28" s="37"/>
      <c r="B28" s="39"/>
      <c r="C28" s="21"/>
      <c r="D28" s="21"/>
      <c r="E28" s="23"/>
      <c r="F28" s="24"/>
      <c r="G28" s="21"/>
      <c r="H28" s="18"/>
    </row>
    <row r="29" spans="1:11" ht="13.5" thickBot="1">
      <c r="A29" s="6"/>
      <c r="B29" s="6"/>
      <c r="C29" s="6"/>
      <c r="D29" s="52"/>
      <c r="E29" s="6"/>
      <c r="F29" s="6"/>
      <c r="G29" s="26" t="s">
        <v>9</v>
      </c>
      <c r="H29" s="27">
        <f>SUM(G26:G28)</f>
        <v>0</v>
      </c>
    </row>
    <row r="30" spans="1:11" ht="13.5" thickBot="1">
      <c r="A30" s="40" t="s">
        <v>20</v>
      </c>
      <c r="B30" s="40"/>
      <c r="C30" s="6"/>
      <c r="D30" s="52"/>
      <c r="E30" s="6"/>
      <c r="F30" s="6"/>
      <c r="G30" s="6"/>
      <c r="H30" s="6"/>
    </row>
    <row r="31" spans="1:11">
      <c r="A31" s="43" t="s">
        <v>21</v>
      </c>
      <c r="B31" s="44"/>
      <c r="C31" s="48" t="s">
        <v>22</v>
      </c>
      <c r="D31" s="11" t="s">
        <v>23</v>
      </c>
      <c r="E31" s="12" t="s">
        <v>24</v>
      </c>
      <c r="F31" s="48" t="s">
        <v>7</v>
      </c>
      <c r="G31" s="13" t="s">
        <v>8</v>
      </c>
      <c r="H31" s="14"/>
    </row>
    <row r="32" spans="1:11">
      <c r="A32" s="136" t="str">
        <f>+'MANO DE OBRA'!B34</f>
        <v>Maestro</v>
      </c>
      <c r="B32" s="30"/>
      <c r="C32" s="135">
        <v>53124</v>
      </c>
      <c r="D32" s="174">
        <v>1.8</v>
      </c>
      <c r="E32" s="32">
        <f>+D32*C32</f>
        <v>95623.2</v>
      </c>
      <c r="F32" s="137">
        <v>6.5</v>
      </c>
      <c r="G32" s="141">
        <f>+E32/F32</f>
        <v>14711.261538461538</v>
      </c>
      <c r="H32" s="18"/>
      <c r="I32" s="28"/>
    </row>
    <row r="33" spans="1:9">
      <c r="A33" s="136" t="str">
        <f>+'MANO DE OBRA'!B35</f>
        <v>Oficial</v>
      </c>
      <c r="B33" s="30"/>
      <c r="C33" s="135">
        <v>42499</v>
      </c>
      <c r="D33" s="174">
        <v>1.8</v>
      </c>
      <c r="E33" s="32">
        <f t="shared" ref="E33" si="0">+D33*C33</f>
        <v>76498.2</v>
      </c>
      <c r="F33" s="137">
        <v>6.5</v>
      </c>
      <c r="G33" s="141">
        <f t="shared" ref="G33:G34" si="1">+E33/F33</f>
        <v>11768.953846153845</v>
      </c>
      <c r="H33" s="18"/>
      <c r="I33" s="28"/>
    </row>
    <row r="34" spans="1:9">
      <c r="A34" s="136" t="str">
        <f>+'MANO DE OBRA'!B36</f>
        <v>Obrero</v>
      </c>
      <c r="B34" s="115">
        <v>2</v>
      </c>
      <c r="C34" s="135">
        <v>31874</v>
      </c>
      <c r="D34" s="174">
        <v>1.8</v>
      </c>
      <c r="E34" s="32">
        <f>+D34*C34*B34</f>
        <v>114746.40000000001</v>
      </c>
      <c r="F34" s="137">
        <v>6.5</v>
      </c>
      <c r="G34" s="141">
        <f t="shared" si="1"/>
        <v>17653.292307692311</v>
      </c>
      <c r="H34" s="18"/>
      <c r="I34" s="28"/>
    </row>
    <row r="35" spans="1:9">
      <c r="A35" s="35"/>
      <c r="B35" s="30"/>
      <c r="C35" s="32"/>
      <c r="D35" s="15"/>
      <c r="E35" s="32"/>
      <c r="F35" s="16"/>
      <c r="G35" s="17"/>
      <c r="H35" s="18"/>
    </row>
    <row r="36" spans="1:9">
      <c r="A36" s="35"/>
      <c r="B36" s="30"/>
      <c r="C36" s="32"/>
      <c r="D36" s="15"/>
      <c r="E36" s="32"/>
      <c r="F36" s="16"/>
      <c r="G36" s="17"/>
      <c r="H36" s="18"/>
      <c r="I36" s="28"/>
    </row>
    <row r="37" spans="1:9" ht="13.5" thickBot="1">
      <c r="A37" s="37"/>
      <c r="B37" s="38"/>
      <c r="C37" s="22"/>
      <c r="D37" s="114"/>
      <c r="E37" s="51"/>
      <c r="F37" s="51"/>
      <c r="G37" s="41"/>
      <c r="H37" s="25"/>
    </row>
    <row r="38" spans="1:9" ht="13.5" thickBot="1">
      <c r="A38" s="6"/>
      <c r="B38" s="6"/>
      <c r="C38" s="6"/>
      <c r="D38" s="52"/>
      <c r="E38" s="6"/>
      <c r="F38" s="6"/>
      <c r="G38" s="26" t="s">
        <v>9</v>
      </c>
      <c r="H38" s="27">
        <f>SUM(G32:G37)</f>
        <v>44133.507692307692</v>
      </c>
    </row>
    <row r="39" spans="1:9" ht="13.5" thickBot="1">
      <c r="A39" s="6"/>
      <c r="B39" s="6"/>
      <c r="C39" s="6"/>
      <c r="D39" s="52"/>
      <c r="E39" s="6"/>
      <c r="F39" s="6"/>
      <c r="G39" s="52"/>
      <c r="H39" s="6"/>
    </row>
    <row r="40" spans="1:9" ht="13.5" thickBot="1">
      <c r="A40" s="6"/>
      <c r="B40" s="6"/>
      <c r="C40" s="6"/>
      <c r="D40" s="52"/>
      <c r="E40" s="53" t="s">
        <v>25</v>
      </c>
      <c r="F40" s="54"/>
      <c r="G40" s="54"/>
      <c r="H40" s="27">
        <f>ROUND(H15+H23+H29+H38,0)</f>
        <v>437094</v>
      </c>
      <c r="I40" s="28"/>
    </row>
    <row r="45" spans="1:9" s="194" customFormat="1" ht="14.25">
      <c r="A45" s="195" t="s">
        <v>134</v>
      </c>
      <c r="B45" s="195"/>
      <c r="C45" s="195"/>
      <c r="D45" s="197"/>
      <c r="E45" s="196"/>
      <c r="F45" s="196"/>
    </row>
    <row r="46" spans="1:9" s="194" customFormat="1" ht="14.25">
      <c r="A46" s="195" t="s">
        <v>131</v>
      </c>
      <c r="B46" s="195"/>
      <c r="C46" s="195"/>
      <c r="D46" s="197"/>
      <c r="E46" s="196"/>
      <c r="F46" s="196"/>
    </row>
  </sheetData>
  <mergeCells count="11">
    <mergeCell ref="A13:C13"/>
    <mergeCell ref="A14:C14"/>
    <mergeCell ref="A17:C17"/>
    <mergeCell ref="A18:C18"/>
    <mergeCell ref="A19:C19"/>
    <mergeCell ref="A12:C12"/>
    <mergeCell ref="A1:H2"/>
    <mergeCell ref="B3:H3"/>
    <mergeCell ref="B7:F8"/>
    <mergeCell ref="A10:C10"/>
    <mergeCell ref="A11:C11"/>
  </mergeCells>
  <pageMargins left="0.82677165354330717" right="0.23622047244094491" top="0.9375" bottom="1.2395833333333333" header="0.31496062992125984" footer="0.31496062992125984"/>
  <pageSetup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FF0000"/>
  </sheetPr>
  <dimension ref="A1:K45"/>
  <sheetViews>
    <sheetView view="pageBreakPreview" topLeftCell="A16" zoomScale="105" zoomScaleSheetLayoutView="105" workbookViewId="0">
      <selection activeCell="D17" sqref="D17"/>
    </sheetView>
  </sheetViews>
  <sheetFormatPr baseColWidth="10" defaultColWidth="9.28515625" defaultRowHeight="12.75"/>
  <cols>
    <col min="1" max="1" width="12.28515625" style="4" customWidth="1"/>
    <col min="2" max="2" width="11.42578125" style="4" customWidth="1"/>
    <col min="3" max="3" width="13" style="4" customWidth="1"/>
    <col min="4" max="4" width="11.42578125" style="107" customWidth="1"/>
    <col min="5" max="8" width="11.42578125" style="4" customWidth="1"/>
    <col min="9" max="9" width="15.42578125" style="4" customWidth="1"/>
    <col min="10" max="257" width="11.42578125" style="4" customWidth="1"/>
    <col min="258" max="258" width="10.42578125" style="4" customWidth="1"/>
    <col min="259" max="259" width="13" style="4" customWidth="1"/>
    <col min="260" max="513" width="11.42578125" style="4" customWidth="1"/>
    <col min="514" max="514" width="10.42578125" style="4" customWidth="1"/>
    <col min="515" max="515" width="13" style="4" customWidth="1"/>
    <col min="516" max="769" width="11.42578125" style="4" customWidth="1"/>
    <col min="770" max="770" width="10.42578125" style="4" customWidth="1"/>
    <col min="771" max="771" width="13" style="4" customWidth="1"/>
    <col min="772" max="1025" width="11.42578125" style="4" customWidth="1"/>
    <col min="1026" max="1026" width="10.42578125" style="4" customWidth="1"/>
    <col min="1027" max="1027" width="13" style="4" customWidth="1"/>
    <col min="1028" max="1281" width="11.42578125" style="4" customWidth="1"/>
    <col min="1282" max="1282" width="10.42578125" style="4" customWidth="1"/>
    <col min="1283" max="1283" width="13" style="4" customWidth="1"/>
    <col min="1284" max="1537" width="11.42578125" style="4" customWidth="1"/>
    <col min="1538" max="1538" width="10.42578125" style="4" customWidth="1"/>
    <col min="1539" max="1539" width="13" style="4" customWidth="1"/>
    <col min="1540" max="1793" width="11.42578125" style="4" customWidth="1"/>
    <col min="1794" max="1794" width="10.42578125" style="4" customWidth="1"/>
    <col min="1795" max="1795" width="13" style="4" customWidth="1"/>
    <col min="1796" max="2049" width="11.42578125" style="4" customWidth="1"/>
    <col min="2050" max="2050" width="10.42578125" style="4" customWidth="1"/>
    <col min="2051" max="2051" width="13" style="4" customWidth="1"/>
    <col min="2052" max="2305" width="11.42578125" style="4" customWidth="1"/>
    <col min="2306" max="2306" width="10.42578125" style="4" customWidth="1"/>
    <col min="2307" max="2307" width="13" style="4" customWidth="1"/>
    <col min="2308" max="2561" width="11.42578125" style="4" customWidth="1"/>
    <col min="2562" max="2562" width="10.42578125" style="4" customWidth="1"/>
    <col min="2563" max="2563" width="13" style="4" customWidth="1"/>
    <col min="2564" max="2817" width="11.42578125" style="4" customWidth="1"/>
    <col min="2818" max="2818" width="10.42578125" style="4" customWidth="1"/>
    <col min="2819" max="2819" width="13" style="4" customWidth="1"/>
    <col min="2820" max="3073" width="11.42578125" style="4" customWidth="1"/>
    <col min="3074" max="3074" width="10.42578125" style="4" customWidth="1"/>
    <col min="3075" max="3075" width="13" style="4" customWidth="1"/>
    <col min="3076" max="3329" width="11.42578125" style="4" customWidth="1"/>
    <col min="3330" max="3330" width="10.42578125" style="4" customWidth="1"/>
    <col min="3331" max="3331" width="13" style="4" customWidth="1"/>
    <col min="3332" max="3585" width="11.42578125" style="4" customWidth="1"/>
    <col min="3586" max="3586" width="10.42578125" style="4" customWidth="1"/>
    <col min="3587" max="3587" width="13" style="4" customWidth="1"/>
    <col min="3588" max="3841" width="11.42578125" style="4" customWidth="1"/>
    <col min="3842" max="3842" width="10.42578125" style="4" customWidth="1"/>
    <col min="3843" max="3843" width="13" style="4" customWidth="1"/>
    <col min="3844" max="4097" width="11.42578125" style="4" customWidth="1"/>
    <col min="4098" max="4098" width="10.42578125" style="4" customWidth="1"/>
    <col min="4099" max="4099" width="13" style="4" customWidth="1"/>
    <col min="4100" max="4353" width="11.42578125" style="4" customWidth="1"/>
    <col min="4354" max="4354" width="10.42578125" style="4" customWidth="1"/>
    <col min="4355" max="4355" width="13" style="4" customWidth="1"/>
    <col min="4356" max="4609" width="11.42578125" style="4" customWidth="1"/>
    <col min="4610" max="4610" width="10.42578125" style="4" customWidth="1"/>
    <col min="4611" max="4611" width="13" style="4" customWidth="1"/>
    <col min="4612" max="4865" width="11.42578125" style="4" customWidth="1"/>
    <col min="4866" max="4866" width="10.42578125" style="4" customWidth="1"/>
    <col min="4867" max="4867" width="13" style="4" customWidth="1"/>
    <col min="4868" max="5121" width="11.42578125" style="4" customWidth="1"/>
    <col min="5122" max="5122" width="10.42578125" style="4" customWidth="1"/>
    <col min="5123" max="5123" width="13" style="4" customWidth="1"/>
    <col min="5124" max="5377" width="11.42578125" style="4" customWidth="1"/>
    <col min="5378" max="5378" width="10.42578125" style="4" customWidth="1"/>
    <col min="5379" max="5379" width="13" style="4" customWidth="1"/>
    <col min="5380" max="5633" width="11.42578125" style="4" customWidth="1"/>
    <col min="5634" max="5634" width="10.42578125" style="4" customWidth="1"/>
    <col min="5635" max="5635" width="13" style="4" customWidth="1"/>
    <col min="5636" max="5889" width="11.42578125" style="4" customWidth="1"/>
    <col min="5890" max="5890" width="10.42578125" style="4" customWidth="1"/>
    <col min="5891" max="5891" width="13" style="4" customWidth="1"/>
    <col min="5892" max="6145" width="11.42578125" style="4" customWidth="1"/>
    <col min="6146" max="6146" width="10.42578125" style="4" customWidth="1"/>
    <col min="6147" max="6147" width="13" style="4" customWidth="1"/>
    <col min="6148" max="6401" width="11.42578125" style="4" customWidth="1"/>
    <col min="6402" max="6402" width="10.42578125" style="4" customWidth="1"/>
    <col min="6403" max="6403" width="13" style="4" customWidth="1"/>
    <col min="6404" max="6657" width="11.42578125" style="4" customWidth="1"/>
    <col min="6658" max="6658" width="10.42578125" style="4" customWidth="1"/>
    <col min="6659" max="6659" width="13" style="4" customWidth="1"/>
    <col min="6660" max="6913" width="11.42578125" style="4" customWidth="1"/>
    <col min="6914" max="6914" width="10.42578125" style="4" customWidth="1"/>
    <col min="6915" max="6915" width="13" style="4" customWidth="1"/>
    <col min="6916" max="7169" width="11.42578125" style="4" customWidth="1"/>
    <col min="7170" max="7170" width="10.42578125" style="4" customWidth="1"/>
    <col min="7171" max="7171" width="13" style="4" customWidth="1"/>
    <col min="7172" max="7425" width="11.42578125" style="4" customWidth="1"/>
    <col min="7426" max="7426" width="10.42578125" style="4" customWidth="1"/>
    <col min="7427" max="7427" width="13" style="4" customWidth="1"/>
    <col min="7428" max="7681" width="11.42578125" style="4" customWidth="1"/>
    <col min="7682" max="7682" width="10.42578125" style="4" customWidth="1"/>
    <col min="7683" max="7683" width="13" style="4" customWidth="1"/>
    <col min="7684" max="7937" width="11.42578125" style="4" customWidth="1"/>
    <col min="7938" max="7938" width="10.42578125" style="4" customWidth="1"/>
    <col min="7939" max="7939" width="13" style="4" customWidth="1"/>
    <col min="7940" max="8193" width="11.42578125" style="4" customWidth="1"/>
    <col min="8194" max="8194" width="10.42578125" style="4" customWidth="1"/>
    <col min="8195" max="8195" width="13" style="4" customWidth="1"/>
    <col min="8196" max="8449" width="11.42578125" style="4" customWidth="1"/>
    <col min="8450" max="8450" width="10.42578125" style="4" customWidth="1"/>
    <col min="8451" max="8451" width="13" style="4" customWidth="1"/>
    <col min="8452" max="8705" width="11.42578125" style="4" customWidth="1"/>
    <col min="8706" max="8706" width="10.42578125" style="4" customWidth="1"/>
    <col min="8707" max="8707" width="13" style="4" customWidth="1"/>
    <col min="8708" max="8961" width="11.42578125" style="4" customWidth="1"/>
    <col min="8962" max="8962" width="10.42578125" style="4" customWidth="1"/>
    <col min="8963" max="8963" width="13" style="4" customWidth="1"/>
    <col min="8964" max="9217" width="11.42578125" style="4" customWidth="1"/>
    <col min="9218" max="9218" width="10.42578125" style="4" customWidth="1"/>
    <col min="9219" max="9219" width="13" style="4" customWidth="1"/>
    <col min="9220" max="9473" width="11.42578125" style="4" customWidth="1"/>
    <col min="9474" max="9474" width="10.42578125" style="4" customWidth="1"/>
    <col min="9475" max="9475" width="13" style="4" customWidth="1"/>
    <col min="9476" max="9729" width="11.42578125" style="4" customWidth="1"/>
    <col min="9730" max="9730" width="10.42578125" style="4" customWidth="1"/>
    <col min="9731" max="9731" width="13" style="4" customWidth="1"/>
    <col min="9732" max="9985" width="11.42578125" style="4" customWidth="1"/>
    <col min="9986" max="9986" width="10.42578125" style="4" customWidth="1"/>
    <col min="9987" max="9987" width="13" style="4" customWidth="1"/>
    <col min="9988" max="10241" width="11.42578125" style="4" customWidth="1"/>
    <col min="10242" max="10242" width="10.42578125" style="4" customWidth="1"/>
    <col min="10243" max="10243" width="13" style="4" customWidth="1"/>
    <col min="10244" max="10497" width="11.42578125" style="4" customWidth="1"/>
    <col min="10498" max="10498" width="10.42578125" style="4" customWidth="1"/>
    <col min="10499" max="10499" width="13" style="4" customWidth="1"/>
    <col min="10500" max="10753" width="11.42578125" style="4" customWidth="1"/>
    <col min="10754" max="10754" width="10.42578125" style="4" customWidth="1"/>
    <col min="10755" max="10755" width="13" style="4" customWidth="1"/>
    <col min="10756" max="11009" width="11.42578125" style="4" customWidth="1"/>
    <col min="11010" max="11010" width="10.42578125" style="4" customWidth="1"/>
    <col min="11011" max="11011" width="13" style="4" customWidth="1"/>
    <col min="11012" max="11265" width="11.42578125" style="4" customWidth="1"/>
    <col min="11266" max="11266" width="10.42578125" style="4" customWidth="1"/>
    <col min="11267" max="11267" width="13" style="4" customWidth="1"/>
    <col min="11268" max="11521" width="11.42578125" style="4" customWidth="1"/>
    <col min="11522" max="11522" width="10.42578125" style="4" customWidth="1"/>
    <col min="11523" max="11523" width="13" style="4" customWidth="1"/>
    <col min="11524" max="11777" width="11.42578125" style="4" customWidth="1"/>
    <col min="11778" max="11778" width="10.42578125" style="4" customWidth="1"/>
    <col min="11779" max="11779" width="13" style="4" customWidth="1"/>
    <col min="11780" max="12033" width="11.42578125" style="4" customWidth="1"/>
    <col min="12034" max="12034" width="10.42578125" style="4" customWidth="1"/>
    <col min="12035" max="12035" width="13" style="4" customWidth="1"/>
    <col min="12036" max="12289" width="11.42578125" style="4" customWidth="1"/>
    <col min="12290" max="12290" width="10.42578125" style="4" customWidth="1"/>
    <col min="12291" max="12291" width="13" style="4" customWidth="1"/>
    <col min="12292" max="12545" width="11.42578125" style="4" customWidth="1"/>
    <col min="12546" max="12546" width="10.42578125" style="4" customWidth="1"/>
    <col min="12547" max="12547" width="13" style="4" customWidth="1"/>
    <col min="12548" max="12801" width="11.42578125" style="4" customWidth="1"/>
    <col min="12802" max="12802" width="10.42578125" style="4" customWidth="1"/>
    <col min="12803" max="12803" width="13" style="4" customWidth="1"/>
    <col min="12804" max="13057" width="11.42578125" style="4" customWidth="1"/>
    <col min="13058" max="13058" width="10.42578125" style="4" customWidth="1"/>
    <col min="13059" max="13059" width="13" style="4" customWidth="1"/>
    <col min="13060" max="13313" width="11.42578125" style="4" customWidth="1"/>
    <col min="13314" max="13314" width="10.42578125" style="4" customWidth="1"/>
    <col min="13315" max="13315" width="13" style="4" customWidth="1"/>
    <col min="13316" max="13569" width="11.42578125" style="4" customWidth="1"/>
    <col min="13570" max="13570" width="10.42578125" style="4" customWidth="1"/>
    <col min="13571" max="13571" width="13" style="4" customWidth="1"/>
    <col min="13572" max="13825" width="11.42578125" style="4" customWidth="1"/>
    <col min="13826" max="13826" width="10.42578125" style="4" customWidth="1"/>
    <col min="13827" max="13827" width="13" style="4" customWidth="1"/>
    <col min="13828" max="14081" width="11.42578125" style="4" customWidth="1"/>
    <col min="14082" max="14082" width="10.42578125" style="4" customWidth="1"/>
    <col min="14083" max="14083" width="13" style="4" customWidth="1"/>
    <col min="14084" max="14337" width="11.42578125" style="4" customWidth="1"/>
    <col min="14338" max="14338" width="10.42578125" style="4" customWidth="1"/>
    <col min="14339" max="14339" width="13" style="4" customWidth="1"/>
    <col min="14340" max="14593" width="11.42578125" style="4" customWidth="1"/>
    <col min="14594" max="14594" width="10.42578125" style="4" customWidth="1"/>
    <col min="14595" max="14595" width="13" style="4" customWidth="1"/>
    <col min="14596" max="14849" width="11.42578125" style="4" customWidth="1"/>
    <col min="14850" max="14850" width="10.42578125" style="4" customWidth="1"/>
    <col min="14851" max="14851" width="13" style="4" customWidth="1"/>
    <col min="14852" max="15105" width="11.42578125" style="4" customWidth="1"/>
    <col min="15106" max="15106" width="10.42578125" style="4" customWidth="1"/>
    <col min="15107" max="15107" width="13" style="4" customWidth="1"/>
    <col min="15108" max="15361" width="11.42578125" style="4" customWidth="1"/>
    <col min="15362" max="15362" width="10.42578125" style="4" customWidth="1"/>
    <col min="15363" max="15363" width="13" style="4" customWidth="1"/>
    <col min="15364" max="15617" width="11.42578125" style="4" customWidth="1"/>
    <col min="15618" max="15618" width="10.42578125" style="4" customWidth="1"/>
    <col min="15619" max="15619" width="13" style="4" customWidth="1"/>
    <col min="15620" max="15873" width="11.42578125" style="4" customWidth="1"/>
    <col min="15874" max="15874" width="10.42578125" style="4" customWidth="1"/>
    <col min="15875" max="15875" width="13" style="4" customWidth="1"/>
    <col min="15876" max="16129" width="11.42578125" style="4" customWidth="1"/>
    <col min="16130" max="16130" width="10.42578125" style="4" customWidth="1"/>
    <col min="16131" max="16131" width="13" style="4" customWidth="1"/>
    <col min="16132" max="16384" width="11.42578125" style="4" customWidth="1"/>
  </cols>
  <sheetData>
    <row r="1" spans="1:9" s="56" customFormat="1" ht="15" customHeight="1">
      <c r="A1" s="891" t="s">
        <v>2</v>
      </c>
      <c r="B1" s="892"/>
      <c r="C1" s="892"/>
      <c r="D1" s="892"/>
      <c r="E1" s="892"/>
      <c r="F1" s="892"/>
      <c r="G1" s="892"/>
      <c r="H1" s="893"/>
    </row>
    <row r="2" spans="1:9" s="56" customFormat="1" ht="5.25" customHeight="1" thickBot="1">
      <c r="A2" s="894"/>
      <c r="B2" s="895"/>
      <c r="C2" s="895"/>
      <c r="D2" s="895"/>
      <c r="E2" s="895"/>
      <c r="F2" s="895"/>
      <c r="G2" s="895"/>
      <c r="H2" s="896"/>
    </row>
    <row r="3" spans="1:9" s="56" customFormat="1" ht="56.25" customHeight="1" thickBot="1">
      <c r="A3" s="322"/>
      <c r="B3" s="907" t="s">
        <v>393</v>
      </c>
      <c r="C3" s="908"/>
      <c r="D3" s="908"/>
      <c r="E3" s="908"/>
      <c r="F3" s="908"/>
      <c r="G3" s="908"/>
      <c r="H3" s="909"/>
    </row>
    <row r="5" spans="1:9">
      <c r="A5" s="5"/>
      <c r="B5" s="7"/>
      <c r="C5" s="6"/>
      <c r="E5" s="7"/>
      <c r="G5" s="8"/>
      <c r="H5" s="9"/>
    </row>
    <row r="6" spans="1:9">
      <c r="A6" s="57" t="s">
        <v>413</v>
      </c>
      <c r="B6" s="906" t="s">
        <v>421</v>
      </c>
      <c r="C6" s="906"/>
      <c r="D6" s="906"/>
      <c r="E6" s="906"/>
      <c r="F6" s="906"/>
      <c r="G6" s="58" t="s">
        <v>30</v>
      </c>
      <c r="H6" s="61" t="s">
        <v>0</v>
      </c>
    </row>
    <row r="7" spans="1:9">
      <c r="A7" s="58"/>
      <c r="B7" s="906"/>
      <c r="C7" s="906"/>
      <c r="D7" s="906"/>
      <c r="E7" s="906"/>
      <c r="F7" s="906"/>
      <c r="G7" s="58"/>
      <c r="H7" s="56"/>
    </row>
    <row r="8" spans="1:9" ht="13.5" thickBot="1">
      <c r="A8" s="10" t="s">
        <v>3</v>
      </c>
      <c r="B8" s="10"/>
      <c r="C8" s="6"/>
      <c r="D8" s="52"/>
      <c r="E8" s="6"/>
      <c r="F8" s="6"/>
      <c r="G8" s="6"/>
      <c r="H8" s="6"/>
    </row>
    <row r="9" spans="1:9">
      <c r="A9" s="912" t="s">
        <v>4</v>
      </c>
      <c r="B9" s="913"/>
      <c r="C9" s="914"/>
      <c r="D9" s="11" t="s">
        <v>5</v>
      </c>
      <c r="E9" s="12" t="s">
        <v>6</v>
      </c>
      <c r="F9" s="11" t="s">
        <v>7</v>
      </c>
      <c r="G9" s="13" t="s">
        <v>8</v>
      </c>
      <c r="H9" s="14"/>
    </row>
    <row r="10" spans="1:9">
      <c r="A10" s="918" t="s">
        <v>416</v>
      </c>
      <c r="B10" s="919"/>
      <c r="C10" s="920"/>
      <c r="D10" s="416"/>
      <c r="E10" s="119">
        <v>6500</v>
      </c>
      <c r="F10" s="16">
        <v>2</v>
      </c>
      <c r="G10" s="17">
        <f>E10/F10</f>
        <v>3250</v>
      </c>
      <c r="H10" s="18"/>
    </row>
    <row r="11" spans="1:9">
      <c r="A11" s="918" t="str">
        <f>'Despiece de Insumos'!B27</f>
        <v>VIBRADOR DE CONCRETO</v>
      </c>
      <c r="B11" s="919"/>
      <c r="C11" s="920"/>
      <c r="D11" s="15"/>
      <c r="E11" s="108">
        <f>EQUIPO!D9</f>
        <v>8000</v>
      </c>
      <c r="F11" s="16">
        <v>1</v>
      </c>
      <c r="G11" s="17">
        <f>E11/F11</f>
        <v>8000</v>
      </c>
      <c r="H11" s="18"/>
    </row>
    <row r="12" spans="1:9">
      <c r="A12" s="918" t="s">
        <v>305</v>
      </c>
      <c r="B12" s="919"/>
      <c r="C12" s="920"/>
      <c r="D12" s="15"/>
      <c r="E12" s="108"/>
      <c r="F12" s="16"/>
      <c r="G12" s="17">
        <f>H37*0.1</f>
        <v>7649.8</v>
      </c>
      <c r="H12" s="18"/>
    </row>
    <row r="13" spans="1:9">
      <c r="A13" s="334"/>
      <c r="B13" s="335"/>
      <c r="C13" s="336"/>
      <c r="D13" s="19"/>
      <c r="E13" s="337"/>
      <c r="F13" s="123"/>
      <c r="G13" s="127"/>
      <c r="H13" s="18"/>
    </row>
    <row r="14" spans="1:9" ht="13.5" thickBot="1">
      <c r="A14" s="921"/>
      <c r="B14" s="922"/>
      <c r="C14" s="923"/>
      <c r="D14" s="21"/>
      <c r="E14" s="22"/>
      <c r="F14" s="23"/>
      <c r="G14" s="121"/>
      <c r="H14" s="25"/>
    </row>
    <row r="15" spans="1:9" ht="13.5" thickBot="1">
      <c r="A15" s="6"/>
      <c r="B15" s="6"/>
      <c r="C15" s="6"/>
      <c r="D15" s="52"/>
      <c r="E15" s="6"/>
      <c r="F15" s="6"/>
      <c r="G15" s="26" t="s">
        <v>9</v>
      </c>
      <c r="H15" s="27">
        <f>SUM(G10:G14)</f>
        <v>18899.8</v>
      </c>
      <c r="I15" s="28"/>
    </row>
    <row r="16" spans="1:9" ht="13.5" thickBot="1">
      <c r="A16" s="10" t="s">
        <v>10</v>
      </c>
      <c r="B16" s="10"/>
      <c r="C16" s="6"/>
      <c r="D16" s="52"/>
      <c r="E16" s="6"/>
      <c r="F16" s="6"/>
      <c r="G16" s="6"/>
      <c r="H16" s="6"/>
    </row>
    <row r="17" spans="1:11">
      <c r="A17" s="912" t="s">
        <v>4</v>
      </c>
      <c r="B17" s="913"/>
      <c r="C17" s="914"/>
      <c r="D17" s="11" t="s">
        <v>11</v>
      </c>
      <c r="E17" s="11" t="s">
        <v>12</v>
      </c>
      <c r="F17" s="11" t="s">
        <v>13</v>
      </c>
      <c r="G17" s="46" t="s">
        <v>8</v>
      </c>
      <c r="H17" s="120"/>
    </row>
    <row r="18" spans="1:11" ht="14.25" customHeight="1">
      <c r="A18" s="938" t="s">
        <v>312</v>
      </c>
      <c r="B18" s="939"/>
      <c r="C18" s="940"/>
      <c r="D18" s="118" t="str">
        <f>+'Despiece de Insumos'!C10</f>
        <v>M3</v>
      </c>
      <c r="E18" s="119">
        <f>'Cto 3000'!H39</f>
        <v>433561</v>
      </c>
      <c r="F18" s="16">
        <v>1</v>
      </c>
      <c r="G18" s="50">
        <f>+E18*F18</f>
        <v>433561</v>
      </c>
      <c r="H18" s="116"/>
    </row>
    <row r="19" spans="1:11" ht="15.75" customHeight="1">
      <c r="A19" s="915" t="s">
        <v>314</v>
      </c>
      <c r="B19" s="916"/>
      <c r="C19" s="917"/>
      <c r="D19" s="118" t="str">
        <f>+'Despiece de Insumos'!C11</f>
        <v>M3</v>
      </c>
      <c r="E19" s="119">
        <f>'Despiece de Insumos'!D30</f>
        <v>225000</v>
      </c>
      <c r="F19" s="16">
        <v>0.35</v>
      </c>
      <c r="G19" s="50">
        <f>+E19*F19</f>
        <v>78750</v>
      </c>
      <c r="H19" s="116"/>
    </row>
    <row r="20" spans="1:11">
      <c r="A20" s="29" t="s">
        <v>417</v>
      </c>
      <c r="B20" s="30"/>
      <c r="C20" s="30"/>
      <c r="D20" s="118" t="s">
        <v>116</v>
      </c>
      <c r="E20" s="119">
        <v>1600</v>
      </c>
      <c r="F20" s="32">
        <v>4</v>
      </c>
      <c r="G20" s="50">
        <f>E20*F20</f>
        <v>6400</v>
      </c>
      <c r="H20" s="116"/>
    </row>
    <row r="21" spans="1:11">
      <c r="A21" s="29"/>
      <c r="B21" s="30"/>
      <c r="C21" s="30"/>
      <c r="D21" s="118"/>
      <c r="E21" s="119"/>
      <c r="F21" s="32"/>
      <c r="G21" s="50"/>
      <c r="H21" s="116"/>
    </row>
    <row r="22" spans="1:11" ht="13.5" thickBot="1">
      <c r="A22" s="37"/>
      <c r="B22" s="179"/>
      <c r="C22" s="38"/>
      <c r="D22" s="21"/>
      <c r="E22" s="22"/>
      <c r="F22" s="23"/>
      <c r="G22" s="121"/>
      <c r="H22" s="117"/>
    </row>
    <row r="23" spans="1:11" ht="13.5" thickBot="1">
      <c r="A23" s="6"/>
      <c r="B23" s="6"/>
      <c r="C23" s="6"/>
      <c r="D23" s="52"/>
      <c r="E23" s="6"/>
      <c r="F23" s="6"/>
      <c r="G23" s="26" t="s">
        <v>9</v>
      </c>
      <c r="H23" s="27">
        <f>SUM(G18:G22)</f>
        <v>518711</v>
      </c>
      <c r="I23" s="28"/>
    </row>
    <row r="24" spans="1:11" ht="13.5" thickBot="1">
      <c r="A24" s="40" t="s">
        <v>14</v>
      </c>
      <c r="B24" s="40"/>
      <c r="C24" s="41"/>
      <c r="D24" s="52"/>
      <c r="E24" s="6"/>
      <c r="F24" s="6"/>
      <c r="G24" s="6"/>
      <c r="H24" s="6"/>
      <c r="K24" s="42"/>
    </row>
    <row r="25" spans="1:11">
      <c r="A25" s="43" t="s">
        <v>15</v>
      </c>
      <c r="B25" s="44"/>
      <c r="C25" s="45" t="s">
        <v>16</v>
      </c>
      <c r="D25" s="11" t="s">
        <v>17</v>
      </c>
      <c r="E25" s="11" t="s">
        <v>18</v>
      </c>
      <c r="F25" s="11" t="s">
        <v>19</v>
      </c>
      <c r="G25" s="46" t="s">
        <v>8</v>
      </c>
      <c r="H25" s="14"/>
    </row>
    <row r="26" spans="1:11">
      <c r="A26" s="35"/>
      <c r="B26" s="30"/>
      <c r="C26" s="113"/>
      <c r="D26" s="110"/>
      <c r="E26" s="112"/>
      <c r="F26" s="16"/>
      <c r="G26" s="47"/>
      <c r="H26" s="18"/>
    </row>
    <row r="27" spans="1:11" ht="13.5" thickBot="1">
      <c r="A27" s="37"/>
      <c r="B27" s="39"/>
      <c r="C27" s="21"/>
      <c r="D27" s="21"/>
      <c r="E27" s="23"/>
      <c r="F27" s="24"/>
      <c r="G27" s="21"/>
      <c r="H27" s="18"/>
    </row>
    <row r="28" spans="1:11" ht="13.5" thickBot="1">
      <c r="A28" s="6"/>
      <c r="B28" s="6"/>
      <c r="C28" s="6"/>
      <c r="D28" s="52"/>
      <c r="E28" s="6"/>
      <c r="F28" s="6"/>
      <c r="G28" s="26" t="s">
        <v>9</v>
      </c>
      <c r="H28" s="27">
        <f>SUM(G26:G27)</f>
        <v>0</v>
      </c>
      <c r="I28" s="28"/>
    </row>
    <row r="29" spans="1:11" ht="13.5" thickBot="1">
      <c r="A29" s="40" t="s">
        <v>20</v>
      </c>
      <c r="B29" s="40"/>
      <c r="C29" s="6"/>
      <c r="D29" s="52"/>
      <c r="E29" s="6"/>
      <c r="F29" s="6"/>
      <c r="G29" s="6"/>
      <c r="H29" s="6"/>
    </row>
    <row r="30" spans="1:11">
      <c r="A30" s="43" t="s">
        <v>21</v>
      </c>
      <c r="B30" s="44"/>
      <c r="C30" s="48" t="s">
        <v>22</v>
      </c>
      <c r="D30" s="11" t="s">
        <v>23</v>
      </c>
      <c r="E30" s="12" t="s">
        <v>24</v>
      </c>
      <c r="F30" s="48" t="s">
        <v>7</v>
      </c>
      <c r="G30" s="13" t="s">
        <v>8</v>
      </c>
      <c r="H30" s="14"/>
    </row>
    <row r="31" spans="1:11">
      <c r="A31" s="35" t="s">
        <v>53</v>
      </c>
      <c r="B31" s="30"/>
      <c r="C31" s="135">
        <v>53124</v>
      </c>
      <c r="D31" s="172">
        <v>1.8</v>
      </c>
      <c r="E31" s="32">
        <f>+D31*C31</f>
        <v>95623.2</v>
      </c>
      <c r="F31" s="16">
        <v>4.5</v>
      </c>
      <c r="G31" s="141">
        <f>+E31/F31</f>
        <v>21249.599999999999</v>
      </c>
      <c r="H31" s="18"/>
      <c r="I31" s="28"/>
    </row>
    <row r="32" spans="1:11">
      <c r="A32" s="35" t="s">
        <v>31</v>
      </c>
      <c r="B32" s="30"/>
      <c r="C32" s="135">
        <v>42499</v>
      </c>
      <c r="D32" s="172">
        <v>1.8</v>
      </c>
      <c r="E32" s="32">
        <f t="shared" ref="E32" si="0">+D32*C32</f>
        <v>76498.2</v>
      </c>
      <c r="F32" s="16">
        <v>4.5</v>
      </c>
      <c r="G32" s="141">
        <f t="shared" ref="G32:G33" si="1">+E32/F32</f>
        <v>16999.599999999999</v>
      </c>
      <c r="H32" s="18"/>
      <c r="I32" s="28"/>
    </row>
    <row r="33" spans="1:9">
      <c r="A33" s="35" t="s">
        <v>54</v>
      </c>
      <c r="B33" s="115">
        <v>3</v>
      </c>
      <c r="C33" s="135">
        <v>31874</v>
      </c>
      <c r="D33" s="172">
        <v>1.8</v>
      </c>
      <c r="E33" s="32">
        <f>+D33*C33*B33</f>
        <v>172119.6</v>
      </c>
      <c r="F33" s="16">
        <v>4.5</v>
      </c>
      <c r="G33" s="141">
        <f t="shared" si="1"/>
        <v>38248.800000000003</v>
      </c>
      <c r="H33" s="18"/>
      <c r="I33" s="28"/>
    </row>
    <row r="34" spans="1:9">
      <c r="A34" s="35"/>
      <c r="B34" s="30"/>
      <c r="C34" s="32"/>
      <c r="D34" s="15"/>
      <c r="E34" s="32"/>
      <c r="F34" s="16"/>
      <c r="G34" s="17"/>
      <c r="H34" s="18"/>
    </row>
    <row r="35" spans="1:9">
      <c r="A35" s="35"/>
      <c r="B35" s="30"/>
      <c r="C35" s="32"/>
      <c r="D35" s="15"/>
      <c r="E35" s="32"/>
      <c r="F35" s="16"/>
      <c r="G35" s="17"/>
      <c r="H35" s="18"/>
      <c r="I35" s="28"/>
    </row>
    <row r="36" spans="1:9" ht="13.5" thickBot="1">
      <c r="A36" s="37"/>
      <c r="B36" s="38"/>
      <c r="C36" s="22"/>
      <c r="D36" s="114"/>
      <c r="E36" s="51"/>
      <c r="F36" s="51"/>
      <c r="G36" s="41"/>
      <c r="H36" s="25"/>
    </row>
    <row r="37" spans="1:9" ht="13.5" thickBot="1">
      <c r="A37" s="6"/>
      <c r="B37" s="6"/>
      <c r="C37" s="6"/>
      <c r="D37" s="52"/>
      <c r="E37" s="6"/>
      <c r="F37" s="6"/>
      <c r="G37" s="26" t="s">
        <v>9</v>
      </c>
      <c r="H37" s="27">
        <f>SUM(G31:G36)</f>
        <v>76498</v>
      </c>
    </row>
    <row r="38" spans="1:9" ht="13.5" thickBot="1">
      <c r="A38" s="6"/>
      <c r="B38" s="6"/>
      <c r="C38" s="6"/>
      <c r="D38" s="52"/>
      <c r="E38" s="6"/>
      <c r="F38" s="6"/>
      <c r="G38" s="52"/>
      <c r="H38" s="6"/>
    </row>
    <row r="39" spans="1:9" ht="13.5" thickBot="1">
      <c r="A39" s="6"/>
      <c r="B39" s="6"/>
      <c r="C39" s="6"/>
      <c r="D39" s="52"/>
      <c r="E39" s="53" t="s">
        <v>25</v>
      </c>
      <c r="F39" s="54"/>
      <c r="G39" s="54"/>
      <c r="H39" s="27">
        <f>ROUND(H15+H23+H28+H37,0)</f>
        <v>614109</v>
      </c>
      <c r="I39" s="28"/>
    </row>
    <row r="44" spans="1:9" s="194" customFormat="1" ht="14.25">
      <c r="A44" s="195" t="s">
        <v>134</v>
      </c>
      <c r="B44" s="195"/>
      <c r="C44" s="195"/>
      <c r="D44" s="197"/>
      <c r="E44" s="196"/>
      <c r="F44" s="196"/>
    </row>
    <row r="45" spans="1:9" s="194" customFormat="1" ht="14.25">
      <c r="A45" s="195" t="s">
        <v>131</v>
      </c>
      <c r="B45" s="195"/>
      <c r="C45" s="195"/>
      <c r="D45" s="197"/>
      <c r="E45" s="196"/>
      <c r="F45" s="196"/>
    </row>
  </sheetData>
  <mergeCells count="11">
    <mergeCell ref="A14:C14"/>
    <mergeCell ref="A17:C17"/>
    <mergeCell ref="A18:C18"/>
    <mergeCell ref="A19:C19"/>
    <mergeCell ref="A10:C10"/>
    <mergeCell ref="A12:C12"/>
    <mergeCell ref="A1:H2"/>
    <mergeCell ref="B3:H3"/>
    <mergeCell ref="B6:F7"/>
    <mergeCell ref="A9:C9"/>
    <mergeCell ref="A11:C11"/>
  </mergeCells>
  <pageMargins left="0.82677165354330717" right="0.23622047244094491" top="1.03125" bottom="1.2395833333333333" header="0.31496062992125984" footer="0.31496062992125984"/>
  <pageSetup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rgb="FFFF0000"/>
  </sheetPr>
  <dimension ref="A1:K48"/>
  <sheetViews>
    <sheetView view="pageBreakPreview" topLeftCell="A25" zoomScaleSheetLayoutView="100" workbookViewId="0">
      <selection activeCell="D17" sqref="D17"/>
    </sheetView>
  </sheetViews>
  <sheetFormatPr baseColWidth="10" defaultColWidth="9.28515625" defaultRowHeight="12.75"/>
  <cols>
    <col min="1" max="1" width="11.42578125" style="4" customWidth="1"/>
    <col min="2" max="2" width="10.42578125" style="4" customWidth="1"/>
    <col min="3" max="3" width="13" style="4" customWidth="1"/>
    <col min="4" max="4" width="11.42578125" style="107" customWidth="1"/>
    <col min="5" max="8" width="11.42578125" style="4" customWidth="1"/>
    <col min="9" max="9" width="15.42578125" style="4" customWidth="1"/>
    <col min="10" max="257" width="11.42578125" style="4" customWidth="1"/>
    <col min="258" max="258" width="10.42578125" style="4" customWidth="1"/>
    <col min="259" max="259" width="13" style="4" customWidth="1"/>
    <col min="260" max="513" width="11.42578125" style="4" customWidth="1"/>
    <col min="514" max="514" width="10.42578125" style="4" customWidth="1"/>
    <col min="515" max="515" width="13" style="4" customWidth="1"/>
    <col min="516" max="769" width="11.42578125" style="4" customWidth="1"/>
    <col min="770" max="770" width="10.42578125" style="4" customWidth="1"/>
    <col min="771" max="771" width="13" style="4" customWidth="1"/>
    <col min="772" max="1025" width="11.42578125" style="4" customWidth="1"/>
    <col min="1026" max="1026" width="10.42578125" style="4" customWidth="1"/>
    <col min="1027" max="1027" width="13" style="4" customWidth="1"/>
    <col min="1028" max="1281" width="11.42578125" style="4" customWidth="1"/>
    <col min="1282" max="1282" width="10.42578125" style="4" customWidth="1"/>
    <col min="1283" max="1283" width="13" style="4" customWidth="1"/>
    <col min="1284" max="1537" width="11.42578125" style="4" customWidth="1"/>
    <col min="1538" max="1538" width="10.42578125" style="4" customWidth="1"/>
    <col min="1539" max="1539" width="13" style="4" customWidth="1"/>
    <col min="1540" max="1793" width="11.42578125" style="4" customWidth="1"/>
    <col min="1794" max="1794" width="10.42578125" style="4" customWidth="1"/>
    <col min="1795" max="1795" width="13" style="4" customWidth="1"/>
    <col min="1796" max="2049" width="11.42578125" style="4" customWidth="1"/>
    <col min="2050" max="2050" width="10.42578125" style="4" customWidth="1"/>
    <col min="2051" max="2051" width="13" style="4" customWidth="1"/>
    <col min="2052" max="2305" width="11.42578125" style="4" customWidth="1"/>
    <col min="2306" max="2306" width="10.42578125" style="4" customWidth="1"/>
    <col min="2307" max="2307" width="13" style="4" customWidth="1"/>
    <col min="2308" max="2561" width="11.42578125" style="4" customWidth="1"/>
    <col min="2562" max="2562" width="10.42578125" style="4" customWidth="1"/>
    <col min="2563" max="2563" width="13" style="4" customWidth="1"/>
    <col min="2564" max="2817" width="11.42578125" style="4" customWidth="1"/>
    <col min="2818" max="2818" width="10.42578125" style="4" customWidth="1"/>
    <col min="2819" max="2819" width="13" style="4" customWidth="1"/>
    <col min="2820" max="3073" width="11.42578125" style="4" customWidth="1"/>
    <col min="3074" max="3074" width="10.42578125" style="4" customWidth="1"/>
    <col min="3075" max="3075" width="13" style="4" customWidth="1"/>
    <col min="3076" max="3329" width="11.42578125" style="4" customWidth="1"/>
    <col min="3330" max="3330" width="10.42578125" style="4" customWidth="1"/>
    <col min="3331" max="3331" width="13" style="4" customWidth="1"/>
    <col min="3332" max="3585" width="11.42578125" style="4" customWidth="1"/>
    <col min="3586" max="3586" width="10.42578125" style="4" customWidth="1"/>
    <col min="3587" max="3587" width="13" style="4" customWidth="1"/>
    <col min="3588" max="3841" width="11.42578125" style="4" customWidth="1"/>
    <col min="3842" max="3842" width="10.42578125" style="4" customWidth="1"/>
    <col min="3843" max="3843" width="13" style="4" customWidth="1"/>
    <col min="3844" max="4097" width="11.42578125" style="4" customWidth="1"/>
    <col min="4098" max="4098" width="10.42578125" style="4" customWidth="1"/>
    <col min="4099" max="4099" width="13" style="4" customWidth="1"/>
    <col min="4100" max="4353" width="11.42578125" style="4" customWidth="1"/>
    <col min="4354" max="4354" width="10.42578125" style="4" customWidth="1"/>
    <col min="4355" max="4355" width="13" style="4" customWidth="1"/>
    <col min="4356" max="4609" width="11.42578125" style="4" customWidth="1"/>
    <col min="4610" max="4610" width="10.42578125" style="4" customWidth="1"/>
    <col min="4611" max="4611" width="13" style="4" customWidth="1"/>
    <col min="4612" max="4865" width="11.42578125" style="4" customWidth="1"/>
    <col min="4866" max="4866" width="10.42578125" style="4" customWidth="1"/>
    <col min="4867" max="4867" width="13" style="4" customWidth="1"/>
    <col min="4868" max="5121" width="11.42578125" style="4" customWidth="1"/>
    <col min="5122" max="5122" width="10.42578125" style="4" customWidth="1"/>
    <col min="5123" max="5123" width="13" style="4" customWidth="1"/>
    <col min="5124" max="5377" width="11.42578125" style="4" customWidth="1"/>
    <col min="5378" max="5378" width="10.42578125" style="4" customWidth="1"/>
    <col min="5379" max="5379" width="13" style="4" customWidth="1"/>
    <col min="5380" max="5633" width="11.42578125" style="4" customWidth="1"/>
    <col min="5634" max="5634" width="10.42578125" style="4" customWidth="1"/>
    <col min="5635" max="5635" width="13" style="4" customWidth="1"/>
    <col min="5636" max="5889" width="11.42578125" style="4" customWidth="1"/>
    <col min="5890" max="5890" width="10.42578125" style="4" customWidth="1"/>
    <col min="5891" max="5891" width="13" style="4" customWidth="1"/>
    <col min="5892" max="6145" width="11.42578125" style="4" customWidth="1"/>
    <col min="6146" max="6146" width="10.42578125" style="4" customWidth="1"/>
    <col min="6147" max="6147" width="13" style="4" customWidth="1"/>
    <col min="6148" max="6401" width="11.42578125" style="4" customWidth="1"/>
    <col min="6402" max="6402" width="10.42578125" style="4" customWidth="1"/>
    <col min="6403" max="6403" width="13" style="4" customWidth="1"/>
    <col min="6404" max="6657" width="11.42578125" style="4" customWidth="1"/>
    <col min="6658" max="6658" width="10.42578125" style="4" customWidth="1"/>
    <col min="6659" max="6659" width="13" style="4" customWidth="1"/>
    <col min="6660" max="6913" width="11.42578125" style="4" customWidth="1"/>
    <col min="6914" max="6914" width="10.42578125" style="4" customWidth="1"/>
    <col min="6915" max="6915" width="13" style="4" customWidth="1"/>
    <col min="6916" max="7169" width="11.42578125" style="4" customWidth="1"/>
    <col min="7170" max="7170" width="10.42578125" style="4" customWidth="1"/>
    <col min="7171" max="7171" width="13" style="4" customWidth="1"/>
    <col min="7172" max="7425" width="11.42578125" style="4" customWidth="1"/>
    <col min="7426" max="7426" width="10.42578125" style="4" customWidth="1"/>
    <col min="7427" max="7427" width="13" style="4" customWidth="1"/>
    <col min="7428" max="7681" width="11.42578125" style="4" customWidth="1"/>
    <col min="7682" max="7682" width="10.42578125" style="4" customWidth="1"/>
    <col min="7683" max="7683" width="13" style="4" customWidth="1"/>
    <col min="7684" max="7937" width="11.42578125" style="4" customWidth="1"/>
    <col min="7938" max="7938" width="10.42578125" style="4" customWidth="1"/>
    <col min="7939" max="7939" width="13" style="4" customWidth="1"/>
    <col min="7940" max="8193" width="11.42578125" style="4" customWidth="1"/>
    <col min="8194" max="8194" width="10.42578125" style="4" customWidth="1"/>
    <col min="8195" max="8195" width="13" style="4" customWidth="1"/>
    <col min="8196" max="8449" width="11.42578125" style="4" customWidth="1"/>
    <col min="8450" max="8450" width="10.42578125" style="4" customWidth="1"/>
    <col min="8451" max="8451" width="13" style="4" customWidth="1"/>
    <col min="8452" max="8705" width="11.42578125" style="4" customWidth="1"/>
    <col min="8706" max="8706" width="10.42578125" style="4" customWidth="1"/>
    <col min="8707" max="8707" width="13" style="4" customWidth="1"/>
    <col min="8708" max="8961" width="11.42578125" style="4" customWidth="1"/>
    <col min="8962" max="8962" width="10.42578125" style="4" customWidth="1"/>
    <col min="8963" max="8963" width="13" style="4" customWidth="1"/>
    <col min="8964" max="9217" width="11.42578125" style="4" customWidth="1"/>
    <col min="9218" max="9218" width="10.42578125" style="4" customWidth="1"/>
    <col min="9219" max="9219" width="13" style="4" customWidth="1"/>
    <col min="9220" max="9473" width="11.42578125" style="4" customWidth="1"/>
    <col min="9474" max="9474" width="10.42578125" style="4" customWidth="1"/>
    <col min="9475" max="9475" width="13" style="4" customWidth="1"/>
    <col min="9476" max="9729" width="11.42578125" style="4" customWidth="1"/>
    <col min="9730" max="9730" width="10.42578125" style="4" customWidth="1"/>
    <col min="9731" max="9731" width="13" style="4" customWidth="1"/>
    <col min="9732" max="9985" width="11.42578125" style="4" customWidth="1"/>
    <col min="9986" max="9986" width="10.42578125" style="4" customWidth="1"/>
    <col min="9987" max="9987" width="13" style="4" customWidth="1"/>
    <col min="9988" max="10241" width="11.42578125" style="4" customWidth="1"/>
    <col min="10242" max="10242" width="10.42578125" style="4" customWidth="1"/>
    <col min="10243" max="10243" width="13" style="4" customWidth="1"/>
    <col min="10244" max="10497" width="11.42578125" style="4" customWidth="1"/>
    <col min="10498" max="10498" width="10.42578125" style="4" customWidth="1"/>
    <col min="10499" max="10499" width="13" style="4" customWidth="1"/>
    <col min="10500" max="10753" width="11.42578125" style="4" customWidth="1"/>
    <col min="10754" max="10754" width="10.42578125" style="4" customWidth="1"/>
    <col min="10755" max="10755" width="13" style="4" customWidth="1"/>
    <col min="10756" max="11009" width="11.42578125" style="4" customWidth="1"/>
    <col min="11010" max="11010" width="10.42578125" style="4" customWidth="1"/>
    <col min="11011" max="11011" width="13" style="4" customWidth="1"/>
    <col min="11012" max="11265" width="11.42578125" style="4" customWidth="1"/>
    <col min="11266" max="11266" width="10.42578125" style="4" customWidth="1"/>
    <col min="11267" max="11267" width="13" style="4" customWidth="1"/>
    <col min="11268" max="11521" width="11.42578125" style="4" customWidth="1"/>
    <col min="11522" max="11522" width="10.42578125" style="4" customWidth="1"/>
    <col min="11523" max="11523" width="13" style="4" customWidth="1"/>
    <col min="11524" max="11777" width="11.42578125" style="4" customWidth="1"/>
    <col min="11778" max="11778" width="10.42578125" style="4" customWidth="1"/>
    <col min="11779" max="11779" width="13" style="4" customWidth="1"/>
    <col min="11780" max="12033" width="11.42578125" style="4" customWidth="1"/>
    <col min="12034" max="12034" width="10.42578125" style="4" customWidth="1"/>
    <col min="12035" max="12035" width="13" style="4" customWidth="1"/>
    <col min="12036" max="12289" width="11.42578125" style="4" customWidth="1"/>
    <col min="12290" max="12290" width="10.42578125" style="4" customWidth="1"/>
    <col min="12291" max="12291" width="13" style="4" customWidth="1"/>
    <col min="12292" max="12545" width="11.42578125" style="4" customWidth="1"/>
    <col min="12546" max="12546" width="10.42578125" style="4" customWidth="1"/>
    <col min="12547" max="12547" width="13" style="4" customWidth="1"/>
    <col min="12548" max="12801" width="11.42578125" style="4" customWidth="1"/>
    <col min="12802" max="12802" width="10.42578125" style="4" customWidth="1"/>
    <col min="12803" max="12803" width="13" style="4" customWidth="1"/>
    <col min="12804" max="13057" width="11.42578125" style="4" customWidth="1"/>
    <col min="13058" max="13058" width="10.42578125" style="4" customWidth="1"/>
    <col min="13059" max="13059" width="13" style="4" customWidth="1"/>
    <col min="13060" max="13313" width="11.42578125" style="4" customWidth="1"/>
    <col min="13314" max="13314" width="10.42578125" style="4" customWidth="1"/>
    <col min="13315" max="13315" width="13" style="4" customWidth="1"/>
    <col min="13316" max="13569" width="11.42578125" style="4" customWidth="1"/>
    <col min="13570" max="13570" width="10.42578125" style="4" customWidth="1"/>
    <col min="13571" max="13571" width="13" style="4" customWidth="1"/>
    <col min="13572" max="13825" width="11.42578125" style="4" customWidth="1"/>
    <col min="13826" max="13826" width="10.42578125" style="4" customWidth="1"/>
    <col min="13827" max="13827" width="13" style="4" customWidth="1"/>
    <col min="13828" max="14081" width="11.42578125" style="4" customWidth="1"/>
    <col min="14082" max="14082" width="10.42578125" style="4" customWidth="1"/>
    <col min="14083" max="14083" width="13" style="4" customWidth="1"/>
    <col min="14084" max="14337" width="11.42578125" style="4" customWidth="1"/>
    <col min="14338" max="14338" width="10.42578125" style="4" customWidth="1"/>
    <col min="14339" max="14339" width="13" style="4" customWidth="1"/>
    <col min="14340" max="14593" width="11.42578125" style="4" customWidth="1"/>
    <col min="14594" max="14594" width="10.42578125" style="4" customWidth="1"/>
    <col min="14595" max="14595" width="13" style="4" customWidth="1"/>
    <col min="14596" max="14849" width="11.42578125" style="4" customWidth="1"/>
    <col min="14850" max="14850" width="10.42578125" style="4" customWidth="1"/>
    <col min="14851" max="14851" width="13" style="4" customWidth="1"/>
    <col min="14852" max="15105" width="11.42578125" style="4" customWidth="1"/>
    <col min="15106" max="15106" width="10.42578125" style="4" customWidth="1"/>
    <col min="15107" max="15107" width="13" style="4" customWidth="1"/>
    <col min="15108" max="15361" width="11.42578125" style="4" customWidth="1"/>
    <col min="15362" max="15362" width="10.42578125" style="4" customWidth="1"/>
    <col min="15363" max="15363" width="13" style="4" customWidth="1"/>
    <col min="15364" max="15617" width="11.42578125" style="4" customWidth="1"/>
    <col min="15618" max="15618" width="10.42578125" style="4" customWidth="1"/>
    <col min="15619" max="15619" width="13" style="4" customWidth="1"/>
    <col min="15620" max="15873" width="11.42578125" style="4" customWidth="1"/>
    <col min="15874" max="15874" width="10.42578125" style="4" customWidth="1"/>
    <col min="15875" max="15875" width="13" style="4" customWidth="1"/>
    <col min="15876" max="16129" width="11.42578125" style="4" customWidth="1"/>
    <col min="16130" max="16130" width="10.42578125" style="4" customWidth="1"/>
    <col min="16131" max="16131" width="13" style="4" customWidth="1"/>
    <col min="16132" max="16384" width="11.42578125" style="4" customWidth="1"/>
  </cols>
  <sheetData>
    <row r="1" spans="1:9" s="56" customFormat="1" ht="15" customHeight="1">
      <c r="A1" s="891" t="s">
        <v>2</v>
      </c>
      <c r="B1" s="892"/>
      <c r="C1" s="892"/>
      <c r="D1" s="892"/>
      <c r="E1" s="892"/>
      <c r="F1" s="892"/>
      <c r="G1" s="892"/>
      <c r="H1" s="893"/>
    </row>
    <row r="2" spans="1:9" s="56" customFormat="1" ht="5.25" customHeight="1" thickBot="1">
      <c r="A2" s="894"/>
      <c r="B2" s="895"/>
      <c r="C2" s="895"/>
      <c r="D2" s="895"/>
      <c r="E2" s="895"/>
      <c r="F2" s="895"/>
      <c r="G2" s="895"/>
      <c r="H2" s="896"/>
    </row>
    <row r="3" spans="1:9" s="56" customFormat="1" ht="56.25" customHeight="1" thickBot="1">
      <c r="A3" s="322"/>
      <c r="B3" s="907" t="s">
        <v>393</v>
      </c>
      <c r="C3" s="908"/>
      <c r="D3" s="908"/>
      <c r="E3" s="908"/>
      <c r="F3" s="908"/>
      <c r="G3" s="908"/>
      <c r="H3" s="909"/>
    </row>
    <row r="4" spans="1:9">
      <c r="A4" s="5"/>
      <c r="B4" s="6"/>
      <c r="C4" s="6"/>
      <c r="D4" s="52"/>
      <c r="E4" s="6"/>
      <c r="F4" s="6"/>
      <c r="G4" s="6"/>
      <c r="H4" s="6"/>
    </row>
    <row r="5" spans="1:9">
      <c r="A5" s="5"/>
      <c r="B5" s="7"/>
      <c r="C5" s="6"/>
      <c r="E5" s="7"/>
      <c r="G5" s="8"/>
      <c r="H5" s="9"/>
    </row>
    <row r="6" spans="1:9">
      <c r="A6" s="57" t="s">
        <v>414</v>
      </c>
      <c r="B6" s="928" t="s">
        <v>361</v>
      </c>
      <c r="C6" s="928"/>
      <c r="D6" s="928"/>
      <c r="E6" s="928"/>
      <c r="F6" s="928"/>
      <c r="G6" s="58" t="s">
        <v>30</v>
      </c>
      <c r="H6" s="61" t="s">
        <v>1</v>
      </c>
    </row>
    <row r="7" spans="1:9">
      <c r="A7" s="7"/>
      <c r="B7" s="7"/>
      <c r="C7" s="6"/>
      <c r="D7" s="26"/>
      <c r="E7" s="7"/>
      <c r="G7" s="7"/>
      <c r="H7" s="6"/>
    </row>
    <row r="8" spans="1:9" ht="13.5" thickBot="1">
      <c r="A8" s="10" t="s">
        <v>3</v>
      </c>
      <c r="B8" s="10"/>
      <c r="C8" s="6"/>
      <c r="D8" s="52"/>
      <c r="E8" s="6"/>
      <c r="F8" s="6"/>
      <c r="G8" s="6"/>
      <c r="H8" s="6"/>
    </row>
    <row r="9" spans="1:9">
      <c r="A9" s="912" t="s">
        <v>4</v>
      </c>
      <c r="B9" s="913"/>
      <c r="C9" s="914"/>
      <c r="D9" s="11" t="s">
        <v>5</v>
      </c>
      <c r="E9" s="12" t="s">
        <v>6</v>
      </c>
      <c r="F9" s="11" t="s">
        <v>7</v>
      </c>
      <c r="G9" s="13" t="s">
        <v>8</v>
      </c>
      <c r="H9" s="14"/>
    </row>
    <row r="10" spans="1:9">
      <c r="A10" s="918" t="str">
        <f>+EQUIPO!B10</f>
        <v>CIZALLA</v>
      </c>
      <c r="B10" s="919"/>
      <c r="C10" s="920"/>
      <c r="D10" s="15"/>
      <c r="E10" s="108">
        <v>1250</v>
      </c>
      <c r="F10" s="16">
        <v>20</v>
      </c>
      <c r="G10" s="17">
        <f>E10/F10</f>
        <v>62.5</v>
      </c>
      <c r="H10" s="18"/>
    </row>
    <row r="11" spans="1:9">
      <c r="A11" s="918" t="s">
        <v>307</v>
      </c>
      <c r="B11" s="919"/>
      <c r="C11" s="920"/>
      <c r="D11" s="15"/>
      <c r="E11" s="16"/>
      <c r="F11" s="16"/>
      <c r="G11" s="17">
        <f>H40*0.1</f>
        <v>89.24760000000002</v>
      </c>
      <c r="H11" s="18"/>
    </row>
    <row r="12" spans="1:9">
      <c r="A12" s="918"/>
      <c r="B12" s="919"/>
      <c r="C12" s="920"/>
      <c r="D12" s="15"/>
      <c r="E12" s="16"/>
      <c r="F12" s="16"/>
      <c r="G12" s="50"/>
      <c r="H12" s="181"/>
    </row>
    <row r="13" spans="1:9" ht="13.5" thickBot="1">
      <c r="A13" s="921"/>
      <c r="B13" s="922"/>
      <c r="C13" s="923"/>
      <c r="D13" s="21"/>
      <c r="E13" s="22"/>
      <c r="F13" s="23"/>
      <c r="G13" s="24"/>
      <c r="H13" s="25"/>
    </row>
    <row r="14" spans="1:9" ht="13.5" thickBot="1">
      <c r="A14" s="6"/>
      <c r="B14" s="6"/>
      <c r="C14" s="6"/>
      <c r="D14" s="52"/>
      <c r="E14" s="6"/>
      <c r="F14" s="6"/>
      <c r="G14" s="26" t="s">
        <v>9</v>
      </c>
      <c r="H14" s="27">
        <f>SUM(G10:G11)</f>
        <v>151.74760000000003</v>
      </c>
      <c r="I14" s="28"/>
    </row>
    <row r="15" spans="1:9" ht="13.5" thickBot="1">
      <c r="A15" s="10" t="s">
        <v>10</v>
      </c>
      <c r="B15" s="10"/>
      <c r="C15" s="6"/>
      <c r="D15" s="52"/>
      <c r="E15" s="6"/>
      <c r="F15" s="6"/>
      <c r="G15" s="6"/>
      <c r="H15" s="6"/>
    </row>
    <row r="16" spans="1:9">
      <c r="A16" s="912" t="s">
        <v>4</v>
      </c>
      <c r="B16" s="913"/>
      <c r="C16" s="914"/>
      <c r="D16" s="11" t="s">
        <v>11</v>
      </c>
      <c r="E16" s="11" t="s">
        <v>12</v>
      </c>
      <c r="F16" s="11" t="s">
        <v>13</v>
      </c>
      <c r="G16" s="13" t="s">
        <v>8</v>
      </c>
      <c r="H16" s="14"/>
    </row>
    <row r="17" spans="1:11" ht="18" customHeight="1">
      <c r="A17" s="915" t="s">
        <v>408</v>
      </c>
      <c r="B17" s="916"/>
      <c r="C17" s="917"/>
      <c r="D17" s="118" t="str">
        <f>+'Despiece de Insumos'!C15</f>
        <v>Kg</v>
      </c>
      <c r="E17" s="133">
        <f>'Despiece de Insumos'!D18</f>
        <v>2490</v>
      </c>
      <c r="F17" s="16">
        <v>1.05</v>
      </c>
      <c r="G17" s="17">
        <f>+E17*F17</f>
        <v>2614.5</v>
      </c>
      <c r="H17" s="18"/>
    </row>
    <row r="18" spans="1:11">
      <c r="A18" s="29" t="str">
        <f>+'Despiece de Insumos'!B14</f>
        <v>ALAMBRE NEGRO</v>
      </c>
      <c r="B18" s="30"/>
      <c r="C18" s="30"/>
      <c r="D18" s="118" t="str">
        <f>+'Despiece de Insumos'!C14</f>
        <v>Kg</v>
      </c>
      <c r="E18" s="133">
        <f>+'Despiece de Insumos'!D14</f>
        <v>3400</v>
      </c>
      <c r="F18" s="34">
        <v>0.03</v>
      </c>
      <c r="G18" s="17">
        <f>E18*F18</f>
        <v>102</v>
      </c>
      <c r="H18" s="18"/>
    </row>
    <row r="19" spans="1:11">
      <c r="A19" s="29"/>
      <c r="B19" s="30"/>
      <c r="C19" s="30"/>
      <c r="D19" s="118"/>
      <c r="E19" s="133"/>
      <c r="F19" s="16"/>
      <c r="G19" s="17"/>
      <c r="H19" s="18"/>
    </row>
    <row r="20" spans="1:11">
      <c r="A20" s="29"/>
      <c r="B20" s="30"/>
      <c r="C20" s="30"/>
      <c r="D20" s="118"/>
      <c r="E20" s="133"/>
      <c r="F20" s="123"/>
      <c r="G20" s="17"/>
      <c r="H20" s="18"/>
    </row>
    <row r="21" spans="1:11">
      <c r="A21" s="35"/>
      <c r="B21" s="30"/>
      <c r="C21" s="31"/>
      <c r="D21" s="19"/>
      <c r="E21" s="20"/>
      <c r="F21" s="36"/>
      <c r="G21" s="17"/>
      <c r="H21" s="18"/>
    </row>
    <row r="22" spans="1:11">
      <c r="A22" s="124"/>
      <c r="B22" s="125"/>
      <c r="C22" s="126"/>
      <c r="D22" s="19"/>
      <c r="E22" s="20"/>
      <c r="F22" s="36"/>
      <c r="G22" s="127"/>
      <c r="H22" s="18"/>
    </row>
    <row r="23" spans="1:11">
      <c r="A23" s="124"/>
      <c r="B23" s="125"/>
      <c r="C23" s="126"/>
      <c r="D23" s="19"/>
      <c r="E23" s="20"/>
      <c r="F23" s="36"/>
      <c r="G23" s="127"/>
      <c r="H23" s="18"/>
    </row>
    <row r="24" spans="1:11" ht="13.5" thickBot="1">
      <c r="A24" s="37"/>
      <c r="B24" s="38"/>
      <c r="C24" s="39"/>
      <c r="D24" s="21"/>
      <c r="E24" s="22"/>
      <c r="F24" s="23"/>
      <c r="G24" s="24"/>
      <c r="H24" s="25"/>
    </row>
    <row r="25" spans="1:11" ht="13.5" thickBot="1">
      <c r="A25" s="6"/>
      <c r="B25" s="6"/>
      <c r="C25" s="6"/>
      <c r="D25" s="52"/>
      <c r="E25" s="6"/>
      <c r="F25" s="6"/>
      <c r="G25" s="26" t="s">
        <v>9</v>
      </c>
      <c r="H25" s="27">
        <f>SUM(G17:G24)</f>
        <v>2716.5</v>
      </c>
      <c r="I25" s="28"/>
    </row>
    <row r="26" spans="1:11" ht="13.5" thickBot="1">
      <c r="A26" s="40" t="s">
        <v>14</v>
      </c>
      <c r="B26" s="40"/>
      <c r="C26" s="41"/>
      <c r="D26" s="52"/>
      <c r="E26" s="6"/>
      <c r="F26" s="6"/>
      <c r="G26" s="6"/>
      <c r="H26" s="6"/>
      <c r="K26" s="42"/>
    </row>
    <row r="27" spans="1:11">
      <c r="A27" s="43" t="s">
        <v>15</v>
      </c>
      <c r="B27" s="44"/>
      <c r="C27" s="45" t="s">
        <v>16</v>
      </c>
      <c r="D27" s="11" t="s">
        <v>17</v>
      </c>
      <c r="E27" s="11" t="s">
        <v>96</v>
      </c>
      <c r="F27" s="11" t="s">
        <v>19</v>
      </c>
      <c r="G27" s="46" t="s">
        <v>8</v>
      </c>
      <c r="H27" s="14"/>
    </row>
    <row r="28" spans="1:11">
      <c r="A28" s="35"/>
      <c r="B28" s="30"/>
      <c r="C28" s="109">
        <v>1.05</v>
      </c>
      <c r="D28" s="110">
        <v>6</v>
      </c>
      <c r="E28" s="171">
        <f>C28*D28</f>
        <v>6.3000000000000007</v>
      </c>
      <c r="F28" s="112">
        <v>7</v>
      </c>
      <c r="G28" s="47">
        <f>E28*F28</f>
        <v>44.100000000000009</v>
      </c>
      <c r="H28" s="18"/>
    </row>
    <row r="29" spans="1:11">
      <c r="A29" s="35"/>
      <c r="B29" s="30"/>
      <c r="C29" s="113"/>
      <c r="D29" s="108"/>
      <c r="E29" s="111"/>
      <c r="F29" s="16"/>
      <c r="G29" s="47"/>
      <c r="H29" s="18"/>
    </row>
    <row r="30" spans="1:11" ht="13.5" thickBot="1">
      <c r="A30" s="37"/>
      <c r="B30" s="39"/>
      <c r="C30" s="21"/>
      <c r="D30" s="21"/>
      <c r="E30" s="23"/>
      <c r="F30" s="24"/>
      <c r="G30" s="21"/>
      <c r="H30" s="18"/>
    </row>
    <row r="31" spans="1:11" ht="13.5" thickBot="1">
      <c r="A31" s="6"/>
      <c r="B31" s="6"/>
      <c r="C31" s="6"/>
      <c r="D31" s="52"/>
      <c r="E31" s="6"/>
      <c r="F31" s="6"/>
      <c r="G31" s="26" t="s">
        <v>9</v>
      </c>
      <c r="H31" s="27">
        <f>SUM(G28:G30)</f>
        <v>44.100000000000009</v>
      </c>
      <c r="I31" s="28"/>
    </row>
    <row r="32" spans="1:11" ht="13.5" thickBot="1">
      <c r="A32" s="40" t="s">
        <v>20</v>
      </c>
      <c r="B32" s="40"/>
      <c r="C32" s="6"/>
      <c r="D32" s="52"/>
      <c r="E32" s="6"/>
      <c r="F32" s="6"/>
      <c r="G32" s="6"/>
      <c r="H32" s="6"/>
    </row>
    <row r="33" spans="1:9">
      <c r="A33" s="43" t="s">
        <v>21</v>
      </c>
      <c r="B33" s="44"/>
      <c r="C33" s="48" t="s">
        <v>22</v>
      </c>
      <c r="D33" s="11" t="s">
        <v>23</v>
      </c>
      <c r="E33" s="12" t="s">
        <v>24</v>
      </c>
      <c r="F33" s="48" t="s">
        <v>7</v>
      </c>
      <c r="G33" s="13" t="s">
        <v>8</v>
      </c>
      <c r="H33" s="14"/>
    </row>
    <row r="34" spans="1:9">
      <c r="A34" s="84"/>
      <c r="B34" s="30"/>
      <c r="C34" s="49"/>
      <c r="D34" s="172"/>
      <c r="E34" s="32"/>
      <c r="F34" s="32"/>
      <c r="G34" s="50"/>
      <c r="H34" s="18"/>
      <c r="I34" s="28"/>
    </row>
    <row r="35" spans="1:9">
      <c r="A35" s="84" t="s">
        <v>38</v>
      </c>
      <c r="B35" s="30">
        <v>1</v>
      </c>
      <c r="C35" s="49">
        <v>42499</v>
      </c>
      <c r="D35" s="172">
        <v>1.8</v>
      </c>
      <c r="E35" s="32">
        <f t="shared" ref="E35" si="0">+D35*C35</f>
        <v>76498.2</v>
      </c>
      <c r="F35" s="32">
        <v>150</v>
      </c>
      <c r="G35" s="50">
        <f t="shared" ref="G35:G36" si="1">+E35/F35</f>
        <v>509.988</v>
      </c>
      <c r="H35" s="18"/>
      <c r="I35" s="28"/>
    </row>
    <row r="36" spans="1:9">
      <c r="A36" s="84" t="s">
        <v>39</v>
      </c>
      <c r="B36" s="30">
        <v>1</v>
      </c>
      <c r="C36" s="49">
        <v>31874</v>
      </c>
      <c r="D36" s="172">
        <v>1.8</v>
      </c>
      <c r="E36" s="32">
        <f>+D36*C36*B36</f>
        <v>57373.200000000004</v>
      </c>
      <c r="F36" s="32">
        <v>150</v>
      </c>
      <c r="G36" s="50">
        <f t="shared" si="1"/>
        <v>382.48800000000006</v>
      </c>
      <c r="H36" s="18"/>
      <c r="I36" s="28"/>
    </row>
    <row r="37" spans="1:9">
      <c r="A37" s="35"/>
      <c r="B37" s="30"/>
      <c r="C37" s="32"/>
      <c r="D37" s="15"/>
      <c r="E37" s="32"/>
      <c r="F37" s="16"/>
      <c r="G37" s="17"/>
      <c r="H37" s="18"/>
    </row>
    <row r="38" spans="1:9">
      <c r="A38" s="35"/>
      <c r="B38" s="30"/>
      <c r="C38" s="32"/>
      <c r="D38" s="15"/>
      <c r="E38" s="32"/>
      <c r="F38" s="16"/>
      <c r="G38" s="17"/>
      <c r="H38" s="18"/>
      <c r="I38" s="28"/>
    </row>
    <row r="39" spans="1:9" ht="13.5" thickBot="1">
      <c r="A39" s="37"/>
      <c r="B39" s="38"/>
      <c r="C39" s="22"/>
      <c r="D39" s="114"/>
      <c r="E39" s="51"/>
      <c r="F39" s="51"/>
      <c r="G39" s="41">
        <v>0</v>
      </c>
      <c r="H39" s="25"/>
    </row>
    <row r="40" spans="1:9" ht="13.5" thickBot="1">
      <c r="A40" s="6"/>
      <c r="B40" s="6"/>
      <c r="C40" s="6"/>
      <c r="D40" s="52"/>
      <c r="E40" s="6"/>
      <c r="F40" s="6"/>
      <c r="G40" s="26" t="s">
        <v>9</v>
      </c>
      <c r="H40" s="27">
        <f>SUM(G35:G36)</f>
        <v>892.47600000000011</v>
      </c>
    </row>
    <row r="41" spans="1:9" ht="13.5" thickBot="1">
      <c r="A41" s="6"/>
      <c r="B41" s="6"/>
      <c r="C41" s="6"/>
      <c r="D41" s="52"/>
      <c r="E41" s="6"/>
      <c r="F41" s="6"/>
      <c r="G41" s="52"/>
      <c r="H41" s="180"/>
      <c r="I41" s="151"/>
    </row>
    <row r="42" spans="1:9" ht="13.5" thickBot="1">
      <c r="A42" s="6"/>
      <c r="B42" s="6"/>
      <c r="C42" s="6"/>
      <c r="D42" s="52"/>
      <c r="E42" s="53" t="s">
        <v>25</v>
      </c>
      <c r="F42" s="54"/>
      <c r="G42" s="54"/>
      <c r="H42" s="27">
        <f>ROUND(H14+H25+H31+H40,0)</f>
        <v>3805</v>
      </c>
      <c r="I42" s="28"/>
    </row>
    <row r="47" spans="1:9" s="194" customFormat="1" ht="14.25">
      <c r="A47" s="195" t="s">
        <v>134</v>
      </c>
      <c r="B47" s="195"/>
      <c r="C47" s="195"/>
      <c r="D47" s="197"/>
      <c r="E47" s="196"/>
      <c r="F47" s="196"/>
    </row>
    <row r="48" spans="1:9" s="194" customFormat="1" ht="14.25">
      <c r="A48" s="195" t="s">
        <v>131</v>
      </c>
      <c r="B48" s="195"/>
      <c r="C48" s="195"/>
      <c r="D48" s="197"/>
      <c r="E48" s="196"/>
      <c r="F48" s="196"/>
    </row>
  </sheetData>
  <mergeCells count="10">
    <mergeCell ref="A12:C12"/>
    <mergeCell ref="A13:C13"/>
    <mergeCell ref="A16:C16"/>
    <mergeCell ref="A17:C17"/>
    <mergeCell ref="A1:H2"/>
    <mergeCell ref="B3:H3"/>
    <mergeCell ref="B6:F6"/>
    <mergeCell ref="A9:C9"/>
    <mergeCell ref="A10:C10"/>
    <mergeCell ref="A11:C11"/>
  </mergeCells>
  <printOptions horizontalCentered="1" verticalCentered="1"/>
  <pageMargins left="1.1811023622047245" right="0.39370078740157483" top="0.75208333333333333" bottom="1.0093749999999999" header="0" footer="0"/>
  <pageSetup orientation="portrait" r:id="rId1"/>
  <headerFooter alignWithMargins="0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rgb="FFFF0000"/>
  </sheetPr>
  <dimension ref="A1:M47"/>
  <sheetViews>
    <sheetView view="pageBreakPreview" topLeftCell="A4" zoomScaleSheetLayoutView="100" workbookViewId="0">
      <selection activeCell="D17" sqref="D17"/>
    </sheetView>
  </sheetViews>
  <sheetFormatPr baseColWidth="10" defaultColWidth="9.28515625" defaultRowHeight="12.75"/>
  <cols>
    <col min="1" max="1" width="11.42578125" style="4" customWidth="1"/>
    <col min="2" max="2" width="10.42578125" style="4" customWidth="1"/>
    <col min="3" max="3" width="13" style="4" customWidth="1"/>
    <col min="4" max="4" width="11.42578125" style="107" customWidth="1"/>
    <col min="5" max="8" width="11.42578125" style="4" customWidth="1"/>
    <col min="9" max="9" width="15.42578125" style="4" customWidth="1"/>
    <col min="10" max="254" width="11.42578125" style="4" customWidth="1"/>
    <col min="255" max="255" width="10.42578125" style="4" customWidth="1"/>
    <col min="256" max="256" width="13" style="4" customWidth="1"/>
    <col min="257" max="510" width="11.42578125" style="4" customWidth="1"/>
    <col min="511" max="511" width="10.42578125" style="4" customWidth="1"/>
    <col min="512" max="512" width="13" style="4" customWidth="1"/>
    <col min="513" max="766" width="11.42578125" style="4" customWidth="1"/>
    <col min="767" max="767" width="10.42578125" style="4" customWidth="1"/>
    <col min="768" max="768" width="13" style="4" customWidth="1"/>
    <col min="769" max="1022" width="11.42578125" style="4" customWidth="1"/>
    <col min="1023" max="1023" width="10.42578125" style="4" customWidth="1"/>
    <col min="1024" max="1024" width="13" style="4" customWidth="1"/>
    <col min="1025" max="1278" width="11.42578125" style="4" customWidth="1"/>
    <col min="1279" max="1279" width="10.42578125" style="4" customWidth="1"/>
    <col min="1280" max="1280" width="13" style="4" customWidth="1"/>
    <col min="1281" max="1534" width="11.42578125" style="4" customWidth="1"/>
    <col min="1535" max="1535" width="10.42578125" style="4" customWidth="1"/>
    <col min="1536" max="1536" width="13" style="4" customWidth="1"/>
    <col min="1537" max="1790" width="11.42578125" style="4" customWidth="1"/>
    <col min="1791" max="1791" width="10.42578125" style="4" customWidth="1"/>
    <col min="1792" max="1792" width="13" style="4" customWidth="1"/>
    <col min="1793" max="2046" width="11.42578125" style="4" customWidth="1"/>
    <col min="2047" max="2047" width="10.42578125" style="4" customWidth="1"/>
    <col min="2048" max="2048" width="13" style="4" customWidth="1"/>
    <col min="2049" max="2302" width="11.42578125" style="4" customWidth="1"/>
    <col min="2303" max="2303" width="10.42578125" style="4" customWidth="1"/>
    <col min="2304" max="2304" width="13" style="4" customWidth="1"/>
    <col min="2305" max="2558" width="11.42578125" style="4" customWidth="1"/>
    <col min="2559" max="2559" width="10.42578125" style="4" customWidth="1"/>
    <col min="2560" max="2560" width="13" style="4" customWidth="1"/>
    <col min="2561" max="2814" width="11.42578125" style="4" customWidth="1"/>
    <col min="2815" max="2815" width="10.42578125" style="4" customWidth="1"/>
    <col min="2816" max="2816" width="13" style="4" customWidth="1"/>
    <col min="2817" max="3070" width="11.42578125" style="4" customWidth="1"/>
    <col min="3071" max="3071" width="10.42578125" style="4" customWidth="1"/>
    <col min="3072" max="3072" width="13" style="4" customWidth="1"/>
    <col min="3073" max="3326" width="11.42578125" style="4" customWidth="1"/>
    <col min="3327" max="3327" width="10.42578125" style="4" customWidth="1"/>
    <col min="3328" max="3328" width="13" style="4" customWidth="1"/>
    <col min="3329" max="3582" width="11.42578125" style="4" customWidth="1"/>
    <col min="3583" max="3583" width="10.42578125" style="4" customWidth="1"/>
    <col min="3584" max="3584" width="13" style="4" customWidth="1"/>
    <col min="3585" max="3838" width="11.42578125" style="4" customWidth="1"/>
    <col min="3839" max="3839" width="10.42578125" style="4" customWidth="1"/>
    <col min="3840" max="3840" width="13" style="4" customWidth="1"/>
    <col min="3841" max="4094" width="11.42578125" style="4" customWidth="1"/>
    <col min="4095" max="4095" width="10.42578125" style="4" customWidth="1"/>
    <col min="4096" max="4096" width="13" style="4" customWidth="1"/>
    <col min="4097" max="4350" width="11.42578125" style="4" customWidth="1"/>
    <col min="4351" max="4351" width="10.42578125" style="4" customWidth="1"/>
    <col min="4352" max="4352" width="13" style="4" customWidth="1"/>
    <col min="4353" max="4606" width="11.42578125" style="4" customWidth="1"/>
    <col min="4607" max="4607" width="10.42578125" style="4" customWidth="1"/>
    <col min="4608" max="4608" width="13" style="4" customWidth="1"/>
    <col min="4609" max="4862" width="11.42578125" style="4" customWidth="1"/>
    <col min="4863" max="4863" width="10.42578125" style="4" customWidth="1"/>
    <col min="4864" max="4864" width="13" style="4" customWidth="1"/>
    <col min="4865" max="5118" width="11.42578125" style="4" customWidth="1"/>
    <col min="5119" max="5119" width="10.42578125" style="4" customWidth="1"/>
    <col min="5120" max="5120" width="13" style="4" customWidth="1"/>
    <col min="5121" max="5374" width="11.42578125" style="4" customWidth="1"/>
    <col min="5375" max="5375" width="10.42578125" style="4" customWidth="1"/>
    <col min="5376" max="5376" width="13" style="4" customWidth="1"/>
    <col min="5377" max="5630" width="11.42578125" style="4" customWidth="1"/>
    <col min="5631" max="5631" width="10.42578125" style="4" customWidth="1"/>
    <col min="5632" max="5632" width="13" style="4" customWidth="1"/>
    <col min="5633" max="5886" width="11.42578125" style="4" customWidth="1"/>
    <col min="5887" max="5887" width="10.42578125" style="4" customWidth="1"/>
    <col min="5888" max="5888" width="13" style="4" customWidth="1"/>
    <col min="5889" max="6142" width="11.42578125" style="4" customWidth="1"/>
    <col min="6143" max="6143" width="10.42578125" style="4" customWidth="1"/>
    <col min="6144" max="6144" width="13" style="4" customWidth="1"/>
    <col min="6145" max="6398" width="11.42578125" style="4" customWidth="1"/>
    <col min="6399" max="6399" width="10.42578125" style="4" customWidth="1"/>
    <col min="6400" max="6400" width="13" style="4" customWidth="1"/>
    <col min="6401" max="6654" width="11.42578125" style="4" customWidth="1"/>
    <col min="6655" max="6655" width="10.42578125" style="4" customWidth="1"/>
    <col min="6656" max="6656" width="13" style="4" customWidth="1"/>
    <col min="6657" max="6910" width="11.42578125" style="4" customWidth="1"/>
    <col min="6911" max="6911" width="10.42578125" style="4" customWidth="1"/>
    <col min="6912" max="6912" width="13" style="4" customWidth="1"/>
    <col min="6913" max="7166" width="11.42578125" style="4" customWidth="1"/>
    <col min="7167" max="7167" width="10.42578125" style="4" customWidth="1"/>
    <col min="7168" max="7168" width="13" style="4" customWidth="1"/>
    <col min="7169" max="7422" width="11.42578125" style="4" customWidth="1"/>
    <col min="7423" max="7423" width="10.42578125" style="4" customWidth="1"/>
    <col min="7424" max="7424" width="13" style="4" customWidth="1"/>
    <col min="7425" max="7678" width="11.42578125" style="4" customWidth="1"/>
    <col min="7679" max="7679" width="10.42578125" style="4" customWidth="1"/>
    <col min="7680" max="7680" width="13" style="4" customWidth="1"/>
    <col min="7681" max="7934" width="11.42578125" style="4" customWidth="1"/>
    <col min="7935" max="7935" width="10.42578125" style="4" customWidth="1"/>
    <col min="7936" max="7936" width="13" style="4" customWidth="1"/>
    <col min="7937" max="8190" width="11.42578125" style="4" customWidth="1"/>
    <col min="8191" max="8191" width="10.42578125" style="4" customWidth="1"/>
    <col min="8192" max="8192" width="13" style="4" customWidth="1"/>
    <col min="8193" max="8446" width="11.42578125" style="4" customWidth="1"/>
    <col min="8447" max="8447" width="10.42578125" style="4" customWidth="1"/>
    <col min="8448" max="8448" width="13" style="4" customWidth="1"/>
    <col min="8449" max="8702" width="11.42578125" style="4" customWidth="1"/>
    <col min="8703" max="8703" width="10.42578125" style="4" customWidth="1"/>
    <col min="8704" max="8704" width="13" style="4" customWidth="1"/>
    <col min="8705" max="8958" width="11.42578125" style="4" customWidth="1"/>
    <col min="8959" max="8959" width="10.42578125" style="4" customWidth="1"/>
    <col min="8960" max="8960" width="13" style="4" customWidth="1"/>
    <col min="8961" max="9214" width="11.42578125" style="4" customWidth="1"/>
    <col min="9215" max="9215" width="10.42578125" style="4" customWidth="1"/>
    <col min="9216" max="9216" width="13" style="4" customWidth="1"/>
    <col min="9217" max="9470" width="11.42578125" style="4" customWidth="1"/>
    <col min="9471" max="9471" width="10.42578125" style="4" customWidth="1"/>
    <col min="9472" max="9472" width="13" style="4" customWidth="1"/>
    <col min="9473" max="9726" width="11.42578125" style="4" customWidth="1"/>
    <col min="9727" max="9727" width="10.42578125" style="4" customWidth="1"/>
    <col min="9728" max="9728" width="13" style="4" customWidth="1"/>
    <col min="9729" max="9982" width="11.42578125" style="4" customWidth="1"/>
    <col min="9983" max="9983" width="10.42578125" style="4" customWidth="1"/>
    <col min="9984" max="9984" width="13" style="4" customWidth="1"/>
    <col min="9985" max="10238" width="11.42578125" style="4" customWidth="1"/>
    <col min="10239" max="10239" width="10.42578125" style="4" customWidth="1"/>
    <col min="10240" max="10240" width="13" style="4" customWidth="1"/>
    <col min="10241" max="10494" width="11.42578125" style="4" customWidth="1"/>
    <col min="10495" max="10495" width="10.42578125" style="4" customWidth="1"/>
    <col min="10496" max="10496" width="13" style="4" customWidth="1"/>
    <col min="10497" max="10750" width="11.42578125" style="4" customWidth="1"/>
    <col min="10751" max="10751" width="10.42578125" style="4" customWidth="1"/>
    <col min="10752" max="10752" width="13" style="4" customWidth="1"/>
    <col min="10753" max="11006" width="11.42578125" style="4" customWidth="1"/>
    <col min="11007" max="11007" width="10.42578125" style="4" customWidth="1"/>
    <col min="11008" max="11008" width="13" style="4" customWidth="1"/>
    <col min="11009" max="11262" width="11.42578125" style="4" customWidth="1"/>
    <col min="11263" max="11263" width="10.42578125" style="4" customWidth="1"/>
    <col min="11264" max="11264" width="13" style="4" customWidth="1"/>
    <col min="11265" max="11518" width="11.42578125" style="4" customWidth="1"/>
    <col min="11519" max="11519" width="10.42578125" style="4" customWidth="1"/>
    <col min="11520" max="11520" width="13" style="4" customWidth="1"/>
    <col min="11521" max="11774" width="11.42578125" style="4" customWidth="1"/>
    <col min="11775" max="11775" width="10.42578125" style="4" customWidth="1"/>
    <col min="11776" max="11776" width="13" style="4" customWidth="1"/>
    <col min="11777" max="12030" width="11.42578125" style="4" customWidth="1"/>
    <col min="12031" max="12031" width="10.42578125" style="4" customWidth="1"/>
    <col min="12032" max="12032" width="13" style="4" customWidth="1"/>
    <col min="12033" max="12286" width="11.42578125" style="4" customWidth="1"/>
    <col min="12287" max="12287" width="10.42578125" style="4" customWidth="1"/>
    <col min="12288" max="12288" width="13" style="4" customWidth="1"/>
    <col min="12289" max="12542" width="11.42578125" style="4" customWidth="1"/>
    <col min="12543" max="12543" width="10.42578125" style="4" customWidth="1"/>
    <col min="12544" max="12544" width="13" style="4" customWidth="1"/>
    <col min="12545" max="12798" width="11.42578125" style="4" customWidth="1"/>
    <col min="12799" max="12799" width="10.42578125" style="4" customWidth="1"/>
    <col min="12800" max="12800" width="13" style="4" customWidth="1"/>
    <col min="12801" max="13054" width="11.42578125" style="4" customWidth="1"/>
    <col min="13055" max="13055" width="10.42578125" style="4" customWidth="1"/>
    <col min="13056" max="13056" width="13" style="4" customWidth="1"/>
    <col min="13057" max="13310" width="11.42578125" style="4" customWidth="1"/>
    <col min="13311" max="13311" width="10.42578125" style="4" customWidth="1"/>
    <col min="13312" max="13312" width="13" style="4" customWidth="1"/>
    <col min="13313" max="13566" width="11.42578125" style="4" customWidth="1"/>
    <col min="13567" max="13567" width="10.42578125" style="4" customWidth="1"/>
    <col min="13568" max="13568" width="13" style="4" customWidth="1"/>
    <col min="13569" max="13822" width="11.42578125" style="4" customWidth="1"/>
    <col min="13823" max="13823" width="10.42578125" style="4" customWidth="1"/>
    <col min="13824" max="13824" width="13" style="4" customWidth="1"/>
    <col min="13825" max="14078" width="11.42578125" style="4" customWidth="1"/>
    <col min="14079" max="14079" width="10.42578125" style="4" customWidth="1"/>
    <col min="14080" max="14080" width="13" style="4" customWidth="1"/>
    <col min="14081" max="14334" width="11.42578125" style="4" customWidth="1"/>
    <col min="14335" max="14335" width="10.42578125" style="4" customWidth="1"/>
    <col min="14336" max="14336" width="13" style="4" customWidth="1"/>
    <col min="14337" max="14590" width="11.42578125" style="4" customWidth="1"/>
    <col min="14591" max="14591" width="10.42578125" style="4" customWidth="1"/>
    <col min="14592" max="14592" width="13" style="4" customWidth="1"/>
    <col min="14593" max="14846" width="11.42578125" style="4" customWidth="1"/>
    <col min="14847" max="14847" width="10.42578125" style="4" customWidth="1"/>
    <col min="14848" max="14848" width="13" style="4" customWidth="1"/>
    <col min="14849" max="15102" width="11.42578125" style="4" customWidth="1"/>
    <col min="15103" max="15103" width="10.42578125" style="4" customWidth="1"/>
    <col min="15104" max="15104" width="13" style="4" customWidth="1"/>
    <col min="15105" max="15358" width="11.42578125" style="4" customWidth="1"/>
    <col min="15359" max="15359" width="10.42578125" style="4" customWidth="1"/>
    <col min="15360" max="15360" width="13" style="4" customWidth="1"/>
    <col min="15361" max="15614" width="11.42578125" style="4" customWidth="1"/>
    <col min="15615" max="15615" width="10.42578125" style="4" customWidth="1"/>
    <col min="15616" max="15616" width="13" style="4" customWidth="1"/>
    <col min="15617" max="15870" width="11.42578125" style="4" customWidth="1"/>
    <col min="15871" max="15871" width="10.42578125" style="4" customWidth="1"/>
    <col min="15872" max="15872" width="13" style="4" customWidth="1"/>
    <col min="15873" max="16126" width="11.42578125" style="4" customWidth="1"/>
    <col min="16127" max="16127" width="10.42578125" style="4" customWidth="1"/>
    <col min="16128" max="16128" width="13" style="4" customWidth="1"/>
    <col min="16129" max="16384" width="11.42578125" style="4" customWidth="1"/>
  </cols>
  <sheetData>
    <row r="1" spans="1:9" s="56" customFormat="1" ht="15" customHeight="1">
      <c r="A1" s="891" t="s">
        <v>2</v>
      </c>
      <c r="B1" s="892"/>
      <c r="C1" s="892"/>
      <c r="D1" s="892"/>
      <c r="E1" s="892"/>
      <c r="F1" s="892"/>
      <c r="G1" s="892"/>
      <c r="H1" s="893"/>
    </row>
    <row r="2" spans="1:9" s="56" customFormat="1" ht="5.25" customHeight="1" thickBot="1">
      <c r="A2" s="894"/>
      <c r="B2" s="895"/>
      <c r="C2" s="895"/>
      <c r="D2" s="895"/>
      <c r="E2" s="895"/>
      <c r="F2" s="895"/>
      <c r="G2" s="895"/>
      <c r="H2" s="896"/>
    </row>
    <row r="3" spans="1:9" s="56" customFormat="1" ht="56.25" customHeight="1" thickBot="1">
      <c r="A3" s="322"/>
      <c r="B3" s="907" t="s">
        <v>393</v>
      </c>
      <c r="C3" s="908"/>
      <c r="D3" s="908"/>
      <c r="E3" s="908"/>
      <c r="F3" s="908"/>
      <c r="G3" s="908"/>
      <c r="H3" s="909"/>
    </row>
    <row r="5" spans="1:9">
      <c r="A5" s="5"/>
      <c r="B5" s="7"/>
      <c r="C5" s="6"/>
      <c r="E5" s="7"/>
      <c r="G5" s="8"/>
      <c r="H5" s="9"/>
    </row>
    <row r="6" spans="1:9">
      <c r="A6" s="57" t="s">
        <v>415</v>
      </c>
      <c r="B6" s="906" t="s">
        <v>362</v>
      </c>
      <c r="C6" s="906"/>
      <c r="D6" s="906"/>
      <c r="E6" s="906"/>
      <c r="F6" s="906"/>
      <c r="G6" s="58" t="s">
        <v>30</v>
      </c>
      <c r="H6" s="61" t="s">
        <v>0</v>
      </c>
    </row>
    <row r="7" spans="1:9">
      <c r="A7" s="58"/>
      <c r="B7" s="906"/>
      <c r="C7" s="906"/>
      <c r="D7" s="906"/>
      <c r="E7" s="906"/>
      <c r="F7" s="906"/>
      <c r="G7" s="58"/>
      <c r="H7" s="56"/>
    </row>
    <row r="8" spans="1:9" ht="13.5" thickBot="1">
      <c r="A8" s="10" t="s">
        <v>3</v>
      </c>
      <c r="B8" s="10"/>
      <c r="C8" s="6"/>
      <c r="D8" s="52"/>
      <c r="E8" s="6"/>
      <c r="F8" s="6"/>
      <c r="G8" s="6"/>
      <c r="H8" s="6"/>
    </row>
    <row r="9" spans="1:9">
      <c r="A9" s="912" t="s">
        <v>4</v>
      </c>
      <c r="B9" s="913"/>
      <c r="C9" s="914"/>
      <c r="D9" s="11" t="s">
        <v>5</v>
      </c>
      <c r="E9" s="12" t="s">
        <v>6</v>
      </c>
      <c r="F9" s="11" t="s">
        <v>7</v>
      </c>
      <c r="G9" s="13" t="s">
        <v>8</v>
      </c>
      <c r="H9" s="14"/>
    </row>
    <row r="10" spans="1:9">
      <c r="A10" s="918" t="s">
        <v>305</v>
      </c>
      <c r="B10" s="919"/>
      <c r="C10" s="920"/>
      <c r="D10" s="15"/>
      <c r="E10" s="67"/>
      <c r="F10" s="67"/>
      <c r="G10" s="68">
        <f>H38*0.1</f>
        <v>573.73200000000008</v>
      </c>
      <c r="H10" s="18"/>
    </row>
    <row r="11" spans="1:9">
      <c r="A11" s="918" t="str">
        <f>EQUIPO!B6</f>
        <v>COMPACTADOR MANUAL (RANA)</v>
      </c>
      <c r="B11" s="919"/>
      <c r="C11" s="920"/>
      <c r="D11" s="15" t="str">
        <f>EQUIPO!C6</f>
        <v>Hora</v>
      </c>
      <c r="E11" s="193">
        <f>EQUIPO!D6</f>
        <v>7000</v>
      </c>
      <c r="F11" s="67">
        <v>1.25</v>
      </c>
      <c r="G11" s="68">
        <f>E11/F11</f>
        <v>5600</v>
      </c>
      <c r="H11" s="18"/>
    </row>
    <row r="12" spans="1:9">
      <c r="A12" s="918"/>
      <c r="B12" s="919"/>
      <c r="C12" s="920"/>
      <c r="D12" s="15"/>
      <c r="E12" s="108"/>
      <c r="F12" s="16"/>
      <c r="G12" s="17"/>
      <c r="H12" s="18"/>
    </row>
    <row r="13" spans="1:9" ht="13.5" thickBot="1">
      <c r="A13" s="921"/>
      <c r="B13" s="922"/>
      <c r="C13" s="923"/>
      <c r="D13" s="21"/>
      <c r="E13" s="149"/>
      <c r="F13" s="23"/>
      <c r="G13" s="121"/>
      <c r="H13" s="25"/>
    </row>
    <row r="14" spans="1:9" ht="13.5" thickBot="1">
      <c r="A14" s="6"/>
      <c r="B14" s="6"/>
      <c r="C14" s="6"/>
      <c r="D14" s="52"/>
      <c r="E14" s="6"/>
      <c r="F14" s="6"/>
      <c r="G14" s="26" t="s">
        <v>9</v>
      </c>
      <c r="H14" s="77">
        <f>SUM(G10:G13)</f>
        <v>6173.732</v>
      </c>
      <c r="I14" s="28"/>
    </row>
    <row r="15" spans="1:9" ht="13.5" thickBot="1">
      <c r="A15" s="10" t="s">
        <v>10</v>
      </c>
      <c r="B15" s="10"/>
      <c r="C15" s="6"/>
      <c r="D15" s="52"/>
      <c r="E15" s="6"/>
      <c r="F15" s="6"/>
      <c r="G15" s="6"/>
      <c r="H15" s="6"/>
    </row>
    <row r="16" spans="1:9">
      <c r="A16" s="912" t="s">
        <v>4</v>
      </c>
      <c r="B16" s="913"/>
      <c r="C16" s="914"/>
      <c r="D16" s="11" t="s">
        <v>11</v>
      </c>
      <c r="E16" s="11" t="s">
        <v>12</v>
      </c>
      <c r="F16" s="11" t="s">
        <v>13</v>
      </c>
      <c r="G16" s="13" t="s">
        <v>8</v>
      </c>
      <c r="H16" s="14"/>
    </row>
    <row r="17" spans="1:13">
      <c r="A17" s="929" t="str">
        <f>'Despiece de Insumos'!B21</f>
        <v>RECEBO COMUN IP&lt;=9 INCLUYE IVA</v>
      </c>
      <c r="B17" s="930"/>
      <c r="C17" s="931"/>
      <c r="D17" s="66" t="s">
        <v>0</v>
      </c>
      <c r="E17" s="82">
        <f>'Despiece de Insumos'!D21</f>
        <v>14000</v>
      </c>
      <c r="F17" s="99">
        <v>1.3</v>
      </c>
      <c r="G17" s="68">
        <f>E17*F17</f>
        <v>18200</v>
      </c>
      <c r="H17" s="18"/>
      <c r="K17" s="151"/>
      <c r="M17" s="10"/>
    </row>
    <row r="18" spans="1:13">
      <c r="A18" s="84"/>
      <c r="B18" s="80"/>
      <c r="C18" s="81"/>
      <c r="D18" s="66"/>
      <c r="E18" s="82"/>
      <c r="F18" s="83"/>
      <c r="G18" s="68"/>
      <c r="H18" s="18"/>
      <c r="M18" s="10"/>
    </row>
    <row r="19" spans="1:13">
      <c r="A19" s="29"/>
      <c r="B19" s="30"/>
      <c r="C19" s="30"/>
      <c r="D19" s="118"/>
      <c r="E19" s="144"/>
      <c r="F19" s="33"/>
      <c r="G19" s="188"/>
      <c r="H19" s="18"/>
    </row>
    <row r="20" spans="1:13">
      <c r="A20" s="29"/>
      <c r="B20" s="30"/>
      <c r="C20" s="30"/>
      <c r="D20" s="15"/>
      <c r="E20" s="145"/>
      <c r="F20" s="33"/>
      <c r="G20" s="188"/>
      <c r="H20" s="18"/>
    </row>
    <row r="21" spans="1:13">
      <c r="A21" s="29"/>
      <c r="B21" s="30"/>
      <c r="C21" s="30"/>
      <c r="D21" s="19"/>
      <c r="E21" s="147"/>
      <c r="F21" s="36"/>
      <c r="G21" s="188"/>
      <c r="H21" s="18"/>
    </row>
    <row r="22" spans="1:13">
      <c r="A22" s="160"/>
      <c r="B22" s="125"/>
      <c r="C22" s="125"/>
      <c r="D22" s="19"/>
      <c r="E22" s="162"/>
      <c r="F22" s="20"/>
      <c r="G22" s="189"/>
      <c r="H22" s="18"/>
    </row>
    <row r="23" spans="1:13" ht="13.5" thickBot="1">
      <c r="A23" s="37"/>
      <c r="B23" s="38"/>
      <c r="C23" s="38"/>
      <c r="D23" s="21"/>
      <c r="E23" s="146"/>
      <c r="F23" s="23"/>
      <c r="G23" s="190"/>
      <c r="H23" s="25"/>
    </row>
    <row r="24" spans="1:13" ht="13.5" thickBot="1">
      <c r="A24" s="6"/>
      <c r="B24" s="6"/>
      <c r="C24" s="6"/>
      <c r="D24" s="52"/>
      <c r="E24" s="6"/>
      <c r="F24" s="6"/>
      <c r="G24" s="26" t="s">
        <v>9</v>
      </c>
      <c r="H24" s="165">
        <f>SUM(G17:G23)</f>
        <v>18200</v>
      </c>
      <c r="I24" s="28"/>
    </row>
    <row r="25" spans="1:13" ht="13.5" thickBot="1">
      <c r="A25" s="40" t="s">
        <v>14</v>
      </c>
      <c r="B25" s="40"/>
      <c r="C25" s="41"/>
      <c r="D25" s="52"/>
      <c r="E25" s="6"/>
      <c r="F25" s="6"/>
      <c r="G25" s="6"/>
      <c r="H25" s="6"/>
    </row>
    <row r="26" spans="1:13">
      <c r="A26" s="43" t="s">
        <v>15</v>
      </c>
      <c r="B26" s="44"/>
      <c r="C26" s="45" t="s">
        <v>16</v>
      </c>
      <c r="D26" s="11" t="s">
        <v>17</v>
      </c>
      <c r="E26" s="11" t="s">
        <v>18</v>
      </c>
      <c r="F26" s="11" t="s">
        <v>19</v>
      </c>
      <c r="G26" s="46" t="s">
        <v>8</v>
      </c>
      <c r="H26" s="14"/>
    </row>
    <row r="27" spans="1:13" s="185" customFormat="1">
      <c r="A27" s="84" t="s">
        <v>89</v>
      </c>
      <c r="B27" s="80"/>
      <c r="C27" s="93">
        <v>1.3</v>
      </c>
      <c r="D27" s="94">
        <v>22</v>
      </c>
      <c r="E27" s="96">
        <f>C27*D27</f>
        <v>28.6</v>
      </c>
      <c r="F27" s="170">
        <v>1500</v>
      </c>
      <c r="G27" s="97">
        <f>E27*F27</f>
        <v>42900</v>
      </c>
      <c r="H27" s="184"/>
    </row>
    <row r="28" spans="1:13">
      <c r="A28" s="35"/>
      <c r="B28" s="30"/>
      <c r="C28" s="113"/>
      <c r="D28" s="108"/>
      <c r="E28" s="111"/>
      <c r="F28" s="16"/>
      <c r="G28" s="47"/>
      <c r="H28" s="18"/>
    </row>
    <row r="29" spans="1:13" ht="13.5" thickBot="1">
      <c r="A29" s="37"/>
      <c r="B29" s="39"/>
      <c r="C29" s="21"/>
      <c r="D29" s="21"/>
      <c r="E29" s="23"/>
      <c r="F29" s="24"/>
      <c r="G29" s="21"/>
      <c r="H29" s="18"/>
    </row>
    <row r="30" spans="1:13" ht="13.5" thickBot="1">
      <c r="A30" s="6"/>
      <c r="B30" s="6"/>
      <c r="C30" s="6"/>
      <c r="D30" s="52"/>
      <c r="E30" s="6"/>
      <c r="F30" s="6"/>
      <c r="G30" s="26" t="s">
        <v>9</v>
      </c>
      <c r="H30" s="77">
        <f>SUM(G27:G29)</f>
        <v>42900</v>
      </c>
      <c r="I30" s="28"/>
    </row>
    <row r="31" spans="1:13" ht="13.5" thickBot="1">
      <c r="A31" s="40" t="s">
        <v>20</v>
      </c>
      <c r="B31" s="40"/>
      <c r="C31" s="6"/>
      <c r="D31" s="52"/>
      <c r="E31" s="6"/>
      <c r="F31" s="6"/>
      <c r="G31" s="6"/>
      <c r="H31" s="6"/>
    </row>
    <row r="32" spans="1:13">
      <c r="A32" s="43" t="s">
        <v>21</v>
      </c>
      <c r="B32" s="44"/>
      <c r="C32" s="48" t="s">
        <v>22</v>
      </c>
      <c r="D32" s="11" t="s">
        <v>23</v>
      </c>
      <c r="E32" s="12" t="s">
        <v>24</v>
      </c>
      <c r="F32" s="48" t="s">
        <v>7</v>
      </c>
      <c r="G32" s="13" t="s">
        <v>8</v>
      </c>
      <c r="H32" s="14"/>
    </row>
    <row r="33" spans="1:9">
      <c r="A33" s="35"/>
      <c r="B33" s="30"/>
      <c r="C33" s="135"/>
      <c r="D33" s="172"/>
      <c r="E33" s="32"/>
      <c r="F33" s="16"/>
      <c r="G33" s="141"/>
      <c r="H33" s="18"/>
      <c r="I33" s="28"/>
    </row>
    <row r="34" spans="1:9">
      <c r="A34" s="35" t="s">
        <v>54</v>
      </c>
      <c r="B34" s="30">
        <v>1</v>
      </c>
      <c r="C34" s="135">
        <v>31874</v>
      </c>
      <c r="D34" s="172">
        <v>1.8</v>
      </c>
      <c r="E34" s="32">
        <f>+D34*C34*B34</f>
        <v>57373.200000000004</v>
      </c>
      <c r="F34" s="16">
        <v>10</v>
      </c>
      <c r="G34" s="141">
        <f t="shared" ref="G34" si="0">+E34/F34</f>
        <v>5737.3200000000006</v>
      </c>
      <c r="H34" s="18"/>
      <c r="I34" s="28"/>
    </row>
    <row r="35" spans="1:9">
      <c r="A35" s="35"/>
      <c r="B35" s="30"/>
      <c r="C35" s="32"/>
      <c r="D35" s="173"/>
      <c r="E35" s="32"/>
      <c r="F35" s="16"/>
      <c r="G35" s="17"/>
      <c r="H35" s="18"/>
    </row>
    <row r="36" spans="1:9">
      <c r="A36" s="35"/>
      <c r="B36" s="30"/>
      <c r="C36" s="32"/>
      <c r="D36" s="15"/>
      <c r="E36" s="32"/>
      <c r="F36" s="16"/>
      <c r="G36" s="17"/>
      <c r="H36" s="18"/>
      <c r="I36" s="28"/>
    </row>
    <row r="37" spans="1:9" ht="13.5" thickBot="1">
      <c r="A37" s="37"/>
      <c r="B37" s="38"/>
      <c r="C37" s="22"/>
      <c r="D37" s="114"/>
      <c r="E37" s="51"/>
      <c r="F37" s="51"/>
      <c r="G37" s="41"/>
      <c r="H37" s="25"/>
    </row>
    <row r="38" spans="1:9" ht="13.5" thickBot="1">
      <c r="A38" s="6"/>
      <c r="B38" s="6"/>
      <c r="C38" s="6"/>
      <c r="D38" s="52"/>
      <c r="E38" s="6"/>
      <c r="F38" s="6"/>
      <c r="G38" s="26" t="s">
        <v>9</v>
      </c>
      <c r="H38" s="77">
        <f>SUM(G33:G37)</f>
        <v>5737.3200000000006</v>
      </c>
    </row>
    <row r="39" spans="1:9" ht="13.5" thickBot="1">
      <c r="A39" s="6"/>
      <c r="B39" s="6"/>
      <c r="C39" s="6"/>
      <c r="D39" s="52"/>
      <c r="E39" s="6"/>
      <c r="F39" s="6"/>
      <c r="G39" s="52"/>
      <c r="H39" s="6"/>
    </row>
    <row r="40" spans="1:9" ht="13.5" thickBot="1">
      <c r="A40" s="6"/>
      <c r="B40" s="6"/>
      <c r="C40" s="6"/>
      <c r="D40" s="52"/>
      <c r="E40" s="53" t="s">
        <v>25</v>
      </c>
      <c r="F40" s="54"/>
      <c r="G40" s="54"/>
      <c r="H40" s="27">
        <f>ROUND(H14+H24+H30+H38,0)</f>
        <v>73011</v>
      </c>
      <c r="I40" s="28"/>
    </row>
    <row r="45" spans="1:9" s="194" customFormat="1" ht="14.25">
      <c r="A45" s="195" t="s">
        <v>134</v>
      </c>
      <c r="B45" s="195"/>
      <c r="C45" s="195"/>
      <c r="D45" s="197"/>
      <c r="E45" s="196"/>
      <c r="F45" s="196"/>
    </row>
    <row r="46" spans="1:9" s="194" customFormat="1" ht="14.25">
      <c r="A46" s="195" t="s">
        <v>131</v>
      </c>
      <c r="B46" s="195"/>
      <c r="C46" s="195"/>
      <c r="D46" s="197"/>
      <c r="E46" s="196"/>
      <c r="F46" s="196"/>
    </row>
    <row r="47" spans="1:9" hidden="1"/>
  </sheetData>
  <mergeCells count="10">
    <mergeCell ref="A12:C12"/>
    <mergeCell ref="A13:C13"/>
    <mergeCell ref="A16:C16"/>
    <mergeCell ref="A17:C17"/>
    <mergeCell ref="A1:H2"/>
    <mergeCell ref="B3:H3"/>
    <mergeCell ref="B6:F7"/>
    <mergeCell ref="A9:C9"/>
    <mergeCell ref="A10:C10"/>
    <mergeCell ref="A11:C11"/>
  </mergeCells>
  <pageMargins left="0.82677165354330717" right="3.937007874015748E-2" top="0.9375" bottom="1.25" header="0.31496062992125984" footer="0.31496062992125984"/>
  <pageSetup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rgb="FFFF0000"/>
  </sheetPr>
  <dimension ref="A1:K45"/>
  <sheetViews>
    <sheetView view="pageBreakPreview" topLeftCell="A16" zoomScale="117" zoomScaleSheetLayoutView="117" workbookViewId="0">
      <selection activeCell="D17" sqref="D17"/>
    </sheetView>
  </sheetViews>
  <sheetFormatPr baseColWidth="10" defaultColWidth="9.28515625" defaultRowHeight="12.75"/>
  <cols>
    <col min="1" max="2" width="11.42578125" style="4" customWidth="1"/>
    <col min="3" max="3" width="13" style="4" customWidth="1"/>
    <col min="4" max="4" width="11.42578125" style="107" customWidth="1"/>
    <col min="5" max="8" width="11.42578125" style="4" customWidth="1"/>
    <col min="9" max="9" width="15.42578125" style="4" customWidth="1"/>
    <col min="10" max="257" width="11.42578125" style="4" customWidth="1"/>
    <col min="258" max="258" width="10.42578125" style="4" customWidth="1"/>
    <col min="259" max="259" width="13" style="4" customWidth="1"/>
    <col min="260" max="513" width="11.42578125" style="4" customWidth="1"/>
    <col min="514" max="514" width="10.42578125" style="4" customWidth="1"/>
    <col min="515" max="515" width="13" style="4" customWidth="1"/>
    <col min="516" max="769" width="11.42578125" style="4" customWidth="1"/>
    <col min="770" max="770" width="10.42578125" style="4" customWidth="1"/>
    <col min="771" max="771" width="13" style="4" customWidth="1"/>
    <col min="772" max="1025" width="11.42578125" style="4" customWidth="1"/>
    <col min="1026" max="1026" width="10.42578125" style="4" customWidth="1"/>
    <col min="1027" max="1027" width="13" style="4" customWidth="1"/>
    <col min="1028" max="1281" width="11.42578125" style="4" customWidth="1"/>
    <col min="1282" max="1282" width="10.42578125" style="4" customWidth="1"/>
    <col min="1283" max="1283" width="13" style="4" customWidth="1"/>
    <col min="1284" max="1537" width="11.42578125" style="4" customWidth="1"/>
    <col min="1538" max="1538" width="10.42578125" style="4" customWidth="1"/>
    <col min="1539" max="1539" width="13" style="4" customWidth="1"/>
    <col min="1540" max="1793" width="11.42578125" style="4" customWidth="1"/>
    <col min="1794" max="1794" width="10.42578125" style="4" customWidth="1"/>
    <col min="1795" max="1795" width="13" style="4" customWidth="1"/>
    <col min="1796" max="2049" width="11.42578125" style="4" customWidth="1"/>
    <col min="2050" max="2050" width="10.42578125" style="4" customWidth="1"/>
    <col min="2051" max="2051" width="13" style="4" customWidth="1"/>
    <col min="2052" max="2305" width="11.42578125" style="4" customWidth="1"/>
    <col min="2306" max="2306" width="10.42578125" style="4" customWidth="1"/>
    <col min="2307" max="2307" width="13" style="4" customWidth="1"/>
    <col min="2308" max="2561" width="11.42578125" style="4" customWidth="1"/>
    <col min="2562" max="2562" width="10.42578125" style="4" customWidth="1"/>
    <col min="2563" max="2563" width="13" style="4" customWidth="1"/>
    <col min="2564" max="2817" width="11.42578125" style="4" customWidth="1"/>
    <col min="2818" max="2818" width="10.42578125" style="4" customWidth="1"/>
    <col min="2819" max="2819" width="13" style="4" customWidth="1"/>
    <col min="2820" max="3073" width="11.42578125" style="4" customWidth="1"/>
    <col min="3074" max="3074" width="10.42578125" style="4" customWidth="1"/>
    <col min="3075" max="3075" width="13" style="4" customWidth="1"/>
    <col min="3076" max="3329" width="11.42578125" style="4" customWidth="1"/>
    <col min="3330" max="3330" width="10.42578125" style="4" customWidth="1"/>
    <col min="3331" max="3331" width="13" style="4" customWidth="1"/>
    <col min="3332" max="3585" width="11.42578125" style="4" customWidth="1"/>
    <col min="3586" max="3586" width="10.42578125" style="4" customWidth="1"/>
    <col min="3587" max="3587" width="13" style="4" customWidth="1"/>
    <col min="3588" max="3841" width="11.42578125" style="4" customWidth="1"/>
    <col min="3842" max="3842" width="10.42578125" style="4" customWidth="1"/>
    <col min="3843" max="3843" width="13" style="4" customWidth="1"/>
    <col min="3844" max="4097" width="11.42578125" style="4" customWidth="1"/>
    <col min="4098" max="4098" width="10.42578125" style="4" customWidth="1"/>
    <col min="4099" max="4099" width="13" style="4" customWidth="1"/>
    <col min="4100" max="4353" width="11.42578125" style="4" customWidth="1"/>
    <col min="4354" max="4354" width="10.42578125" style="4" customWidth="1"/>
    <col min="4355" max="4355" width="13" style="4" customWidth="1"/>
    <col min="4356" max="4609" width="11.42578125" style="4" customWidth="1"/>
    <col min="4610" max="4610" width="10.42578125" style="4" customWidth="1"/>
    <col min="4611" max="4611" width="13" style="4" customWidth="1"/>
    <col min="4612" max="4865" width="11.42578125" style="4" customWidth="1"/>
    <col min="4866" max="4866" width="10.42578125" style="4" customWidth="1"/>
    <col min="4867" max="4867" width="13" style="4" customWidth="1"/>
    <col min="4868" max="5121" width="11.42578125" style="4" customWidth="1"/>
    <col min="5122" max="5122" width="10.42578125" style="4" customWidth="1"/>
    <col min="5123" max="5123" width="13" style="4" customWidth="1"/>
    <col min="5124" max="5377" width="11.42578125" style="4" customWidth="1"/>
    <col min="5378" max="5378" width="10.42578125" style="4" customWidth="1"/>
    <col min="5379" max="5379" width="13" style="4" customWidth="1"/>
    <col min="5380" max="5633" width="11.42578125" style="4" customWidth="1"/>
    <col min="5634" max="5634" width="10.42578125" style="4" customWidth="1"/>
    <col min="5635" max="5635" width="13" style="4" customWidth="1"/>
    <col min="5636" max="5889" width="11.42578125" style="4" customWidth="1"/>
    <col min="5890" max="5890" width="10.42578125" style="4" customWidth="1"/>
    <col min="5891" max="5891" width="13" style="4" customWidth="1"/>
    <col min="5892" max="6145" width="11.42578125" style="4" customWidth="1"/>
    <col min="6146" max="6146" width="10.42578125" style="4" customWidth="1"/>
    <col min="6147" max="6147" width="13" style="4" customWidth="1"/>
    <col min="6148" max="6401" width="11.42578125" style="4" customWidth="1"/>
    <col min="6402" max="6402" width="10.42578125" style="4" customWidth="1"/>
    <col min="6403" max="6403" width="13" style="4" customWidth="1"/>
    <col min="6404" max="6657" width="11.42578125" style="4" customWidth="1"/>
    <col min="6658" max="6658" width="10.42578125" style="4" customWidth="1"/>
    <col min="6659" max="6659" width="13" style="4" customWidth="1"/>
    <col min="6660" max="6913" width="11.42578125" style="4" customWidth="1"/>
    <col min="6914" max="6914" width="10.42578125" style="4" customWidth="1"/>
    <col min="6915" max="6915" width="13" style="4" customWidth="1"/>
    <col min="6916" max="7169" width="11.42578125" style="4" customWidth="1"/>
    <col min="7170" max="7170" width="10.42578125" style="4" customWidth="1"/>
    <col min="7171" max="7171" width="13" style="4" customWidth="1"/>
    <col min="7172" max="7425" width="11.42578125" style="4" customWidth="1"/>
    <col min="7426" max="7426" width="10.42578125" style="4" customWidth="1"/>
    <col min="7427" max="7427" width="13" style="4" customWidth="1"/>
    <col min="7428" max="7681" width="11.42578125" style="4" customWidth="1"/>
    <col min="7682" max="7682" width="10.42578125" style="4" customWidth="1"/>
    <col min="7683" max="7683" width="13" style="4" customWidth="1"/>
    <col min="7684" max="7937" width="11.42578125" style="4" customWidth="1"/>
    <col min="7938" max="7938" width="10.42578125" style="4" customWidth="1"/>
    <col min="7939" max="7939" width="13" style="4" customWidth="1"/>
    <col min="7940" max="8193" width="11.42578125" style="4" customWidth="1"/>
    <col min="8194" max="8194" width="10.42578125" style="4" customWidth="1"/>
    <col min="8195" max="8195" width="13" style="4" customWidth="1"/>
    <col min="8196" max="8449" width="11.42578125" style="4" customWidth="1"/>
    <col min="8450" max="8450" width="10.42578125" style="4" customWidth="1"/>
    <col min="8451" max="8451" width="13" style="4" customWidth="1"/>
    <col min="8452" max="8705" width="11.42578125" style="4" customWidth="1"/>
    <col min="8706" max="8706" width="10.42578125" style="4" customWidth="1"/>
    <col min="8707" max="8707" width="13" style="4" customWidth="1"/>
    <col min="8708" max="8961" width="11.42578125" style="4" customWidth="1"/>
    <col min="8962" max="8962" width="10.42578125" style="4" customWidth="1"/>
    <col min="8963" max="8963" width="13" style="4" customWidth="1"/>
    <col min="8964" max="9217" width="11.42578125" style="4" customWidth="1"/>
    <col min="9218" max="9218" width="10.42578125" style="4" customWidth="1"/>
    <col min="9219" max="9219" width="13" style="4" customWidth="1"/>
    <col min="9220" max="9473" width="11.42578125" style="4" customWidth="1"/>
    <col min="9474" max="9474" width="10.42578125" style="4" customWidth="1"/>
    <col min="9475" max="9475" width="13" style="4" customWidth="1"/>
    <col min="9476" max="9729" width="11.42578125" style="4" customWidth="1"/>
    <col min="9730" max="9730" width="10.42578125" style="4" customWidth="1"/>
    <col min="9731" max="9731" width="13" style="4" customWidth="1"/>
    <col min="9732" max="9985" width="11.42578125" style="4" customWidth="1"/>
    <col min="9986" max="9986" width="10.42578125" style="4" customWidth="1"/>
    <col min="9987" max="9987" width="13" style="4" customWidth="1"/>
    <col min="9988" max="10241" width="11.42578125" style="4" customWidth="1"/>
    <col min="10242" max="10242" width="10.42578125" style="4" customWidth="1"/>
    <col min="10243" max="10243" width="13" style="4" customWidth="1"/>
    <col min="10244" max="10497" width="11.42578125" style="4" customWidth="1"/>
    <col min="10498" max="10498" width="10.42578125" style="4" customWidth="1"/>
    <col min="10499" max="10499" width="13" style="4" customWidth="1"/>
    <col min="10500" max="10753" width="11.42578125" style="4" customWidth="1"/>
    <col min="10754" max="10754" width="10.42578125" style="4" customWidth="1"/>
    <col min="10755" max="10755" width="13" style="4" customWidth="1"/>
    <col min="10756" max="11009" width="11.42578125" style="4" customWidth="1"/>
    <col min="11010" max="11010" width="10.42578125" style="4" customWidth="1"/>
    <col min="11011" max="11011" width="13" style="4" customWidth="1"/>
    <col min="11012" max="11265" width="11.42578125" style="4" customWidth="1"/>
    <col min="11266" max="11266" width="10.42578125" style="4" customWidth="1"/>
    <col min="11267" max="11267" width="13" style="4" customWidth="1"/>
    <col min="11268" max="11521" width="11.42578125" style="4" customWidth="1"/>
    <col min="11522" max="11522" width="10.42578125" style="4" customWidth="1"/>
    <col min="11523" max="11523" width="13" style="4" customWidth="1"/>
    <col min="11524" max="11777" width="11.42578125" style="4" customWidth="1"/>
    <col min="11778" max="11778" width="10.42578125" style="4" customWidth="1"/>
    <col min="11779" max="11779" width="13" style="4" customWidth="1"/>
    <col min="11780" max="12033" width="11.42578125" style="4" customWidth="1"/>
    <col min="12034" max="12034" width="10.42578125" style="4" customWidth="1"/>
    <col min="12035" max="12035" width="13" style="4" customWidth="1"/>
    <col min="12036" max="12289" width="11.42578125" style="4" customWidth="1"/>
    <col min="12290" max="12290" width="10.42578125" style="4" customWidth="1"/>
    <col min="12291" max="12291" width="13" style="4" customWidth="1"/>
    <col min="12292" max="12545" width="11.42578125" style="4" customWidth="1"/>
    <col min="12546" max="12546" width="10.42578125" style="4" customWidth="1"/>
    <col min="12547" max="12547" width="13" style="4" customWidth="1"/>
    <col min="12548" max="12801" width="11.42578125" style="4" customWidth="1"/>
    <col min="12802" max="12802" width="10.42578125" style="4" customWidth="1"/>
    <col min="12803" max="12803" width="13" style="4" customWidth="1"/>
    <col min="12804" max="13057" width="11.42578125" style="4" customWidth="1"/>
    <col min="13058" max="13058" width="10.42578125" style="4" customWidth="1"/>
    <col min="13059" max="13059" width="13" style="4" customWidth="1"/>
    <col min="13060" max="13313" width="11.42578125" style="4" customWidth="1"/>
    <col min="13314" max="13314" width="10.42578125" style="4" customWidth="1"/>
    <col min="13315" max="13315" width="13" style="4" customWidth="1"/>
    <col min="13316" max="13569" width="11.42578125" style="4" customWidth="1"/>
    <col min="13570" max="13570" width="10.42578125" style="4" customWidth="1"/>
    <col min="13571" max="13571" width="13" style="4" customWidth="1"/>
    <col min="13572" max="13825" width="11.42578125" style="4" customWidth="1"/>
    <col min="13826" max="13826" width="10.42578125" style="4" customWidth="1"/>
    <col min="13827" max="13827" width="13" style="4" customWidth="1"/>
    <col min="13828" max="14081" width="11.42578125" style="4" customWidth="1"/>
    <col min="14082" max="14082" width="10.42578125" style="4" customWidth="1"/>
    <col min="14083" max="14083" width="13" style="4" customWidth="1"/>
    <col min="14084" max="14337" width="11.42578125" style="4" customWidth="1"/>
    <col min="14338" max="14338" width="10.42578125" style="4" customWidth="1"/>
    <col min="14339" max="14339" width="13" style="4" customWidth="1"/>
    <col min="14340" max="14593" width="11.42578125" style="4" customWidth="1"/>
    <col min="14594" max="14594" width="10.42578125" style="4" customWidth="1"/>
    <col min="14595" max="14595" width="13" style="4" customWidth="1"/>
    <col min="14596" max="14849" width="11.42578125" style="4" customWidth="1"/>
    <col min="14850" max="14850" width="10.42578125" style="4" customWidth="1"/>
    <col min="14851" max="14851" width="13" style="4" customWidth="1"/>
    <col min="14852" max="15105" width="11.42578125" style="4" customWidth="1"/>
    <col min="15106" max="15106" width="10.42578125" style="4" customWidth="1"/>
    <col min="15107" max="15107" width="13" style="4" customWidth="1"/>
    <col min="15108" max="15361" width="11.42578125" style="4" customWidth="1"/>
    <col min="15362" max="15362" width="10.42578125" style="4" customWidth="1"/>
    <col min="15363" max="15363" width="13" style="4" customWidth="1"/>
    <col min="15364" max="15617" width="11.42578125" style="4" customWidth="1"/>
    <col min="15618" max="15618" width="10.42578125" style="4" customWidth="1"/>
    <col min="15619" max="15619" width="13" style="4" customWidth="1"/>
    <col min="15620" max="15873" width="11.42578125" style="4" customWidth="1"/>
    <col min="15874" max="15874" width="10.42578125" style="4" customWidth="1"/>
    <col min="15875" max="15875" width="13" style="4" customWidth="1"/>
    <col min="15876" max="16129" width="11.42578125" style="4" customWidth="1"/>
    <col min="16130" max="16130" width="10.42578125" style="4" customWidth="1"/>
    <col min="16131" max="16131" width="13" style="4" customWidth="1"/>
    <col min="16132" max="16384" width="11.42578125" style="4" customWidth="1"/>
  </cols>
  <sheetData>
    <row r="1" spans="1:9" s="56" customFormat="1" ht="15" customHeight="1">
      <c r="A1" s="891" t="s">
        <v>2</v>
      </c>
      <c r="B1" s="892"/>
      <c r="C1" s="892"/>
      <c r="D1" s="892"/>
      <c r="E1" s="892"/>
      <c r="F1" s="892"/>
      <c r="G1" s="892"/>
      <c r="H1" s="893"/>
    </row>
    <row r="2" spans="1:9" s="56" customFormat="1" ht="5.25" customHeight="1" thickBot="1">
      <c r="A2" s="894"/>
      <c r="B2" s="895"/>
      <c r="C2" s="895"/>
      <c r="D2" s="895"/>
      <c r="E2" s="895"/>
      <c r="F2" s="895"/>
      <c r="G2" s="895"/>
      <c r="H2" s="896"/>
    </row>
    <row r="3" spans="1:9" s="56" customFormat="1" ht="56.25" customHeight="1" thickBot="1">
      <c r="A3" s="322"/>
      <c r="B3" s="907" t="s">
        <v>393</v>
      </c>
      <c r="C3" s="908"/>
      <c r="D3" s="908"/>
      <c r="E3" s="908"/>
      <c r="F3" s="908"/>
      <c r="G3" s="908"/>
      <c r="H3" s="909"/>
    </row>
    <row r="5" spans="1:9">
      <c r="A5" s="5"/>
      <c r="B5" s="7"/>
      <c r="C5" s="6"/>
      <c r="E5" s="7"/>
      <c r="G5" s="8"/>
      <c r="H5" s="9"/>
    </row>
    <row r="6" spans="1:9">
      <c r="A6" s="911" t="s">
        <v>308</v>
      </c>
      <c r="B6" s="906" t="s">
        <v>311</v>
      </c>
      <c r="C6" s="906"/>
      <c r="D6" s="906"/>
      <c r="E6" s="906"/>
      <c r="F6" s="906"/>
      <c r="G6" s="58" t="s">
        <v>30</v>
      </c>
      <c r="H6" s="61" t="s">
        <v>0</v>
      </c>
    </row>
    <row r="7" spans="1:9">
      <c r="A7" s="911"/>
      <c r="B7" s="906"/>
      <c r="C7" s="906"/>
      <c r="D7" s="906"/>
      <c r="E7" s="906"/>
      <c r="F7" s="906"/>
      <c r="G7" s="58"/>
      <c r="H7" s="56"/>
    </row>
    <row r="8" spans="1:9" ht="13.5" thickBot="1">
      <c r="A8" s="10" t="s">
        <v>3</v>
      </c>
      <c r="B8" s="10"/>
      <c r="C8" s="6"/>
      <c r="D8" s="52"/>
      <c r="E8" s="6"/>
      <c r="F8" s="6"/>
      <c r="G8" s="6"/>
      <c r="H8" s="6"/>
    </row>
    <row r="9" spans="1:9">
      <c r="A9" s="912" t="s">
        <v>4</v>
      </c>
      <c r="B9" s="913"/>
      <c r="C9" s="914"/>
      <c r="D9" s="11" t="s">
        <v>5</v>
      </c>
      <c r="E9" s="12" t="s">
        <v>6</v>
      </c>
      <c r="F9" s="11" t="s">
        <v>7</v>
      </c>
      <c r="G9" s="13" t="s">
        <v>8</v>
      </c>
      <c r="H9" s="14"/>
    </row>
    <row r="10" spans="1:9">
      <c r="A10" s="918" t="str">
        <f>+EQUIPO!B7</f>
        <v>MEZCLADORA DE CONCRETO (1 BULTO)</v>
      </c>
      <c r="B10" s="919"/>
      <c r="C10" s="920"/>
      <c r="D10" s="15" t="str">
        <f>+EQUIPO!C7</f>
        <v>Hora</v>
      </c>
      <c r="E10" s="108">
        <f>+EQUIPO!D7</f>
        <v>8750</v>
      </c>
      <c r="F10" s="16">
        <v>1</v>
      </c>
      <c r="G10" s="17">
        <f>+E10/F10</f>
        <v>8750</v>
      </c>
      <c r="H10" s="18"/>
    </row>
    <row r="11" spans="1:9">
      <c r="A11" s="918" t="s">
        <v>305</v>
      </c>
      <c r="B11" s="919"/>
      <c r="C11" s="920"/>
      <c r="D11" s="15"/>
      <c r="E11" s="108"/>
      <c r="F11" s="16"/>
      <c r="G11" s="17">
        <f>H37*0.1</f>
        <v>10854.437837837839</v>
      </c>
      <c r="H11" s="18"/>
      <c r="I11" s="151"/>
    </row>
    <row r="12" spans="1:9">
      <c r="A12" s="331"/>
      <c r="B12" s="333"/>
      <c r="C12" s="332"/>
      <c r="D12" s="15"/>
      <c r="E12" s="108"/>
      <c r="F12" s="16"/>
      <c r="G12" s="17"/>
      <c r="H12" s="18"/>
      <c r="I12" s="151"/>
    </row>
    <row r="13" spans="1:9">
      <c r="A13" s="918"/>
      <c r="B13" s="919"/>
      <c r="C13" s="920"/>
      <c r="D13" s="15"/>
      <c r="E13" s="108"/>
      <c r="F13" s="16"/>
      <c r="G13" s="17"/>
      <c r="H13" s="18"/>
    </row>
    <row r="14" spans="1:9" ht="13.5" thickBot="1">
      <c r="A14" s="921"/>
      <c r="B14" s="922"/>
      <c r="C14" s="923"/>
      <c r="D14" s="21"/>
      <c r="E14" s="22"/>
      <c r="F14" s="23"/>
      <c r="G14" s="121"/>
      <c r="H14" s="25"/>
    </row>
    <row r="15" spans="1:9" ht="13.5" thickBot="1">
      <c r="A15" s="6"/>
      <c r="B15" s="6"/>
      <c r="C15" s="6"/>
      <c r="D15" s="52"/>
      <c r="E15" s="6"/>
      <c r="F15" s="6"/>
      <c r="G15" s="26" t="s">
        <v>9</v>
      </c>
      <c r="H15" s="27">
        <f>SUM(G10:G14)</f>
        <v>19604.437837837839</v>
      </c>
      <c r="I15" s="28"/>
    </row>
    <row r="16" spans="1:9" ht="13.5" thickBot="1">
      <c r="A16" s="10" t="s">
        <v>10</v>
      </c>
      <c r="B16" s="10"/>
      <c r="C16" s="6"/>
      <c r="D16" s="52"/>
      <c r="E16" s="6"/>
      <c r="F16" s="6"/>
      <c r="G16" s="6"/>
      <c r="H16" s="6"/>
    </row>
    <row r="17" spans="1:11">
      <c r="A17" s="912" t="s">
        <v>4</v>
      </c>
      <c r="B17" s="913"/>
      <c r="C17" s="914"/>
      <c r="D17" s="11" t="s">
        <v>11</v>
      </c>
      <c r="E17" s="11" t="s">
        <v>12</v>
      </c>
      <c r="F17" s="11" t="s">
        <v>13</v>
      </c>
      <c r="G17" s="46" t="s">
        <v>8</v>
      </c>
      <c r="H17" s="120"/>
    </row>
    <row r="18" spans="1:11" ht="24.75" customHeight="1">
      <c r="A18" s="938" t="str">
        <f>+'Despiece de Insumos'!B10</f>
        <v xml:space="preserve">AGREGADO PARA CONCRETO HIDRAULICO GRAVILLA 3/4" </v>
      </c>
      <c r="B18" s="939"/>
      <c r="C18" s="940"/>
      <c r="D18" s="118" t="str">
        <f>+'Despiece de Insumos'!C10</f>
        <v>M3</v>
      </c>
      <c r="E18" s="119">
        <f>'Despiece de Insumos'!D10</f>
        <v>89250</v>
      </c>
      <c r="F18" s="16">
        <v>0.84</v>
      </c>
      <c r="G18" s="50">
        <f>+E18*F18</f>
        <v>74970</v>
      </c>
      <c r="H18" s="116"/>
    </row>
    <row r="19" spans="1:11" ht="13.5" customHeight="1">
      <c r="A19" s="915" t="str">
        <f>'Despiece de Insumos'!B23</f>
        <v>ARENA DE PLANTA</v>
      </c>
      <c r="B19" s="916"/>
      <c r="C19" s="917"/>
      <c r="D19" s="118"/>
      <c r="E19" s="119">
        <f>'Despiece de Insumos'!D23</f>
        <v>35700</v>
      </c>
      <c r="F19" s="16">
        <v>0.56000000000000005</v>
      </c>
      <c r="G19" s="50">
        <f>+E19*F19</f>
        <v>19992.000000000004</v>
      </c>
      <c r="H19" s="116"/>
    </row>
    <row r="20" spans="1:11">
      <c r="A20" s="29" t="str">
        <f>+'Despiece de Insumos'!B12</f>
        <v xml:space="preserve">CEMENTO GRIS PORTLHAND TIPO I  </v>
      </c>
      <c r="B20" s="30"/>
      <c r="C20" s="30"/>
      <c r="D20" s="118" t="str">
        <f>+'Despiece de Insumos'!C12</f>
        <v>Kg</v>
      </c>
      <c r="E20" s="119">
        <f>'Despiece de Insumos'!D12</f>
        <v>440</v>
      </c>
      <c r="F20" s="32">
        <v>350</v>
      </c>
      <c r="G20" s="50">
        <f t="shared" ref="G20:G21" si="0">+E20*F20</f>
        <v>154000</v>
      </c>
      <c r="H20" s="116"/>
    </row>
    <row r="21" spans="1:11">
      <c r="A21" s="29" t="str">
        <f>+'Despiece de Insumos'!B9</f>
        <v>AGUA</v>
      </c>
      <c r="B21" s="30"/>
      <c r="C21" s="30"/>
      <c r="D21" s="118" t="str">
        <f>+'Despiece de Insumos'!C9</f>
        <v>Litro</v>
      </c>
      <c r="E21" s="119">
        <f>+'Despiece de Insumos'!D9</f>
        <v>15</v>
      </c>
      <c r="F21" s="32">
        <v>180</v>
      </c>
      <c r="G21" s="50">
        <f t="shared" si="0"/>
        <v>2700</v>
      </c>
      <c r="H21" s="116"/>
    </row>
    <row r="22" spans="1:11" ht="13.5" thickBot="1">
      <c r="A22" s="37" t="s">
        <v>110</v>
      </c>
      <c r="B22" s="179">
        <v>0.03</v>
      </c>
      <c r="C22" s="38"/>
      <c r="D22" s="21"/>
      <c r="E22" s="22"/>
      <c r="F22" s="23"/>
      <c r="G22" s="121">
        <f>(G18+G19+G20+G21)*B22</f>
        <v>7549.86</v>
      </c>
      <c r="H22" s="117"/>
    </row>
    <row r="23" spans="1:11" ht="13.5" thickBot="1">
      <c r="A23" s="6"/>
      <c r="B23" s="6"/>
      <c r="C23" s="6"/>
      <c r="D23" s="52"/>
      <c r="E23" s="6"/>
      <c r="F23" s="6"/>
      <c r="G23" s="26" t="s">
        <v>9</v>
      </c>
      <c r="H23" s="27">
        <f>SUM(G18:G22)</f>
        <v>259211.86</v>
      </c>
      <c r="I23" s="28"/>
    </row>
    <row r="24" spans="1:11" ht="13.5" thickBot="1">
      <c r="A24" s="40" t="s">
        <v>14</v>
      </c>
      <c r="B24" s="40"/>
      <c r="C24" s="41"/>
      <c r="D24" s="52"/>
      <c r="E24" s="6"/>
      <c r="F24" s="6"/>
      <c r="G24" s="6"/>
      <c r="H24" s="6"/>
      <c r="K24" s="42"/>
    </row>
    <row r="25" spans="1:11">
      <c r="A25" s="43" t="s">
        <v>15</v>
      </c>
      <c r="B25" s="44"/>
      <c r="C25" s="45" t="s">
        <v>16</v>
      </c>
      <c r="D25" s="11" t="s">
        <v>17</v>
      </c>
      <c r="E25" s="11" t="s">
        <v>18</v>
      </c>
      <c r="F25" s="11" t="s">
        <v>19</v>
      </c>
      <c r="G25" s="46" t="s">
        <v>8</v>
      </c>
      <c r="H25" s="14"/>
    </row>
    <row r="26" spans="1:11">
      <c r="A26" s="35" t="s">
        <v>126</v>
      </c>
      <c r="B26" s="30"/>
      <c r="C26" s="113">
        <f>F18+F19</f>
        <v>1.4</v>
      </c>
      <c r="D26" s="110">
        <v>22</v>
      </c>
      <c r="E26" s="112">
        <f>C26*D26</f>
        <v>30.799999999999997</v>
      </c>
      <c r="F26" s="16">
        <f>TRANSPORTE!H33</f>
        <v>1500</v>
      </c>
      <c r="G26" s="47">
        <f>E26*F26</f>
        <v>46199.999999999993</v>
      </c>
      <c r="H26" s="18"/>
    </row>
    <row r="27" spans="1:11" ht="13.5" thickBot="1">
      <c r="A27" s="37"/>
      <c r="B27" s="39"/>
      <c r="C27" s="21"/>
      <c r="D27" s="21"/>
      <c r="E27" s="23"/>
      <c r="F27" s="24"/>
      <c r="G27" s="21"/>
      <c r="H27" s="18"/>
    </row>
    <row r="28" spans="1:11" ht="13.5" thickBot="1">
      <c r="A28" s="6"/>
      <c r="B28" s="6"/>
      <c r="C28" s="6"/>
      <c r="D28" s="52"/>
      <c r="E28" s="6"/>
      <c r="F28" s="6"/>
      <c r="G28" s="26" t="s">
        <v>9</v>
      </c>
      <c r="H28" s="27">
        <f>SUM(G26:G27)</f>
        <v>46199.999999999993</v>
      </c>
      <c r="I28" s="28"/>
    </row>
    <row r="29" spans="1:11" ht="13.5" thickBot="1">
      <c r="A29" s="40" t="s">
        <v>20</v>
      </c>
      <c r="B29" s="40"/>
      <c r="C29" s="6"/>
      <c r="D29" s="52"/>
      <c r="E29" s="6"/>
      <c r="F29" s="6"/>
      <c r="G29" s="6"/>
      <c r="H29" s="6"/>
    </row>
    <row r="30" spans="1:11">
      <c r="A30" s="43" t="s">
        <v>21</v>
      </c>
      <c r="B30" s="44"/>
      <c r="C30" s="48" t="s">
        <v>22</v>
      </c>
      <c r="D30" s="11" t="s">
        <v>23</v>
      </c>
      <c r="E30" s="12" t="s">
        <v>24</v>
      </c>
      <c r="F30" s="48" t="s">
        <v>7</v>
      </c>
      <c r="G30" s="13" t="s">
        <v>8</v>
      </c>
      <c r="H30" s="14"/>
    </row>
    <row r="31" spans="1:11">
      <c r="A31" s="35" t="s">
        <v>53</v>
      </c>
      <c r="B31" s="30"/>
      <c r="C31" s="135">
        <v>53124</v>
      </c>
      <c r="D31" s="172">
        <v>1.8</v>
      </c>
      <c r="E31" s="32">
        <f>+D31*C31</f>
        <v>95623.2</v>
      </c>
      <c r="F31" s="16">
        <v>3.7</v>
      </c>
      <c r="G31" s="141">
        <f>+E31/F31</f>
        <v>25844.108108108107</v>
      </c>
      <c r="H31" s="18"/>
      <c r="I31" s="28"/>
    </row>
    <row r="32" spans="1:11">
      <c r="A32" s="35" t="s">
        <v>31</v>
      </c>
      <c r="B32" s="30"/>
      <c r="C32" s="135">
        <v>42499</v>
      </c>
      <c r="D32" s="172">
        <v>1.8</v>
      </c>
      <c r="E32" s="32">
        <f t="shared" ref="E32" si="1">+D32*C32</f>
        <v>76498.2</v>
      </c>
      <c r="F32" s="16">
        <v>3.7</v>
      </c>
      <c r="G32" s="141">
        <f t="shared" ref="G32:G33" si="2">+E32/F32</f>
        <v>20675.189189189186</v>
      </c>
      <c r="H32" s="18"/>
      <c r="I32" s="28"/>
    </row>
    <row r="33" spans="1:9">
      <c r="A33" s="35" t="s">
        <v>54</v>
      </c>
      <c r="B33" s="115">
        <v>4</v>
      </c>
      <c r="C33" s="135">
        <v>31874</v>
      </c>
      <c r="D33" s="172">
        <v>1.8</v>
      </c>
      <c r="E33" s="32">
        <f>+D33*C33*B33</f>
        <v>229492.80000000002</v>
      </c>
      <c r="F33" s="16">
        <v>3.7</v>
      </c>
      <c r="G33" s="141">
        <f t="shared" si="2"/>
        <v>62025.08108108108</v>
      </c>
      <c r="H33" s="18"/>
      <c r="I33" s="28"/>
    </row>
    <row r="34" spans="1:9">
      <c r="A34" s="35"/>
      <c r="B34" s="30"/>
      <c r="C34" s="32"/>
      <c r="D34" s="15"/>
      <c r="E34" s="32"/>
      <c r="F34" s="16"/>
      <c r="G34" s="17"/>
      <c r="H34" s="18"/>
    </row>
    <row r="35" spans="1:9">
      <c r="A35" s="35"/>
      <c r="B35" s="30"/>
      <c r="C35" s="32"/>
      <c r="D35" s="15"/>
      <c r="E35" s="32"/>
      <c r="F35" s="16"/>
      <c r="G35" s="17"/>
      <c r="H35" s="18"/>
      <c r="I35" s="28"/>
    </row>
    <row r="36" spans="1:9" ht="13.5" thickBot="1">
      <c r="A36" s="37"/>
      <c r="B36" s="38"/>
      <c r="C36" s="22"/>
      <c r="D36" s="114"/>
      <c r="E36" s="51"/>
      <c r="F36" s="51"/>
      <c r="G36" s="41"/>
      <c r="H36" s="25"/>
    </row>
    <row r="37" spans="1:9" ht="13.5" thickBot="1">
      <c r="A37" s="6"/>
      <c r="B37" s="6"/>
      <c r="C37" s="6"/>
      <c r="D37" s="52"/>
      <c r="E37" s="6"/>
      <c r="F37" s="6"/>
      <c r="G37" s="26" t="s">
        <v>9</v>
      </c>
      <c r="H37" s="27">
        <f>SUM(G31:G36)</f>
        <v>108544.37837837837</v>
      </c>
    </row>
    <row r="38" spans="1:9" ht="13.5" thickBot="1">
      <c r="A38" s="6"/>
      <c r="B38" s="6"/>
      <c r="C38" s="6"/>
      <c r="D38" s="52"/>
      <c r="E38" s="6"/>
      <c r="F38" s="6"/>
      <c r="G38" s="52"/>
      <c r="H38" s="6"/>
    </row>
    <row r="39" spans="1:9" ht="13.5" thickBot="1">
      <c r="A39" s="6"/>
      <c r="B39" s="6"/>
      <c r="C39" s="6"/>
      <c r="D39" s="52"/>
      <c r="E39" s="53" t="s">
        <v>25</v>
      </c>
      <c r="F39" s="54"/>
      <c r="G39" s="54"/>
      <c r="H39" s="27">
        <f>ROUND(H15+H23+H28+H37,0)</f>
        <v>433561</v>
      </c>
      <c r="I39" s="28"/>
    </row>
    <row r="44" spans="1:9" s="194" customFormat="1" ht="14.25">
      <c r="A44" s="195" t="s">
        <v>134</v>
      </c>
      <c r="B44" s="195"/>
      <c r="C44" s="195"/>
      <c r="D44" s="197"/>
      <c r="E44" s="196"/>
      <c r="F44" s="196"/>
    </row>
    <row r="45" spans="1:9" s="194" customFormat="1" ht="14.25">
      <c r="A45" s="195" t="s">
        <v>131</v>
      </c>
      <c r="B45" s="195"/>
      <c r="C45" s="195"/>
      <c r="D45" s="197"/>
      <c r="E45" s="196"/>
      <c r="F45" s="196"/>
    </row>
  </sheetData>
  <mergeCells count="12">
    <mergeCell ref="A13:C13"/>
    <mergeCell ref="A14:C14"/>
    <mergeCell ref="A17:C17"/>
    <mergeCell ref="A18:C18"/>
    <mergeCell ref="A19:C19"/>
    <mergeCell ref="A11:C11"/>
    <mergeCell ref="A6:A7"/>
    <mergeCell ref="A1:H2"/>
    <mergeCell ref="B3:H3"/>
    <mergeCell ref="B6:F7"/>
    <mergeCell ref="A9:C9"/>
    <mergeCell ref="A10:C10"/>
  </mergeCells>
  <pageMargins left="0.82677165354330717" right="0.23622047244094491" top="1.03125" bottom="1.2395833333333333" header="0.31496062992125984" footer="0.31496062992125984"/>
  <pageSetup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Hoja21">
    <tabColor rgb="FFFF0000"/>
  </sheetPr>
  <dimension ref="A1:K48"/>
  <sheetViews>
    <sheetView view="pageBreakPreview" topLeftCell="A25" zoomScale="136" zoomScaleSheetLayoutView="136" workbookViewId="0">
      <selection activeCell="D17" sqref="D17"/>
    </sheetView>
  </sheetViews>
  <sheetFormatPr baseColWidth="10" defaultColWidth="9.28515625" defaultRowHeight="12.75"/>
  <cols>
    <col min="1" max="1" width="11.42578125" style="4" customWidth="1"/>
    <col min="2" max="2" width="10.42578125" style="4" customWidth="1"/>
    <col min="3" max="3" width="13" style="4" customWidth="1"/>
    <col min="4" max="4" width="11.42578125" style="107" customWidth="1"/>
    <col min="5" max="8" width="11.42578125" style="4" customWidth="1"/>
    <col min="9" max="9" width="15.42578125" style="4" customWidth="1"/>
    <col min="10" max="257" width="11.42578125" style="4" customWidth="1"/>
    <col min="258" max="258" width="10.42578125" style="4" customWidth="1"/>
    <col min="259" max="259" width="13" style="4" customWidth="1"/>
    <col min="260" max="513" width="11.42578125" style="4" customWidth="1"/>
    <col min="514" max="514" width="10.42578125" style="4" customWidth="1"/>
    <col min="515" max="515" width="13" style="4" customWidth="1"/>
    <col min="516" max="769" width="11.42578125" style="4" customWidth="1"/>
    <col min="770" max="770" width="10.42578125" style="4" customWidth="1"/>
    <col min="771" max="771" width="13" style="4" customWidth="1"/>
    <col min="772" max="1025" width="11.42578125" style="4" customWidth="1"/>
    <col min="1026" max="1026" width="10.42578125" style="4" customWidth="1"/>
    <col min="1027" max="1027" width="13" style="4" customWidth="1"/>
    <col min="1028" max="1281" width="11.42578125" style="4" customWidth="1"/>
    <col min="1282" max="1282" width="10.42578125" style="4" customWidth="1"/>
    <col min="1283" max="1283" width="13" style="4" customWidth="1"/>
    <col min="1284" max="1537" width="11.42578125" style="4" customWidth="1"/>
    <col min="1538" max="1538" width="10.42578125" style="4" customWidth="1"/>
    <col min="1539" max="1539" width="13" style="4" customWidth="1"/>
    <col min="1540" max="1793" width="11.42578125" style="4" customWidth="1"/>
    <col min="1794" max="1794" width="10.42578125" style="4" customWidth="1"/>
    <col min="1795" max="1795" width="13" style="4" customWidth="1"/>
    <col min="1796" max="2049" width="11.42578125" style="4" customWidth="1"/>
    <col min="2050" max="2050" width="10.42578125" style="4" customWidth="1"/>
    <col min="2051" max="2051" width="13" style="4" customWidth="1"/>
    <col min="2052" max="2305" width="11.42578125" style="4" customWidth="1"/>
    <col min="2306" max="2306" width="10.42578125" style="4" customWidth="1"/>
    <col min="2307" max="2307" width="13" style="4" customWidth="1"/>
    <col min="2308" max="2561" width="11.42578125" style="4" customWidth="1"/>
    <col min="2562" max="2562" width="10.42578125" style="4" customWidth="1"/>
    <col min="2563" max="2563" width="13" style="4" customWidth="1"/>
    <col min="2564" max="2817" width="11.42578125" style="4" customWidth="1"/>
    <col min="2818" max="2818" width="10.42578125" style="4" customWidth="1"/>
    <col min="2819" max="2819" width="13" style="4" customWidth="1"/>
    <col min="2820" max="3073" width="11.42578125" style="4" customWidth="1"/>
    <col min="3074" max="3074" width="10.42578125" style="4" customWidth="1"/>
    <col min="3075" max="3075" width="13" style="4" customWidth="1"/>
    <col min="3076" max="3329" width="11.42578125" style="4" customWidth="1"/>
    <col min="3330" max="3330" width="10.42578125" style="4" customWidth="1"/>
    <col min="3331" max="3331" width="13" style="4" customWidth="1"/>
    <col min="3332" max="3585" width="11.42578125" style="4" customWidth="1"/>
    <col min="3586" max="3586" width="10.42578125" style="4" customWidth="1"/>
    <col min="3587" max="3587" width="13" style="4" customWidth="1"/>
    <col min="3588" max="3841" width="11.42578125" style="4" customWidth="1"/>
    <col min="3842" max="3842" width="10.42578125" style="4" customWidth="1"/>
    <col min="3843" max="3843" width="13" style="4" customWidth="1"/>
    <col min="3844" max="4097" width="11.42578125" style="4" customWidth="1"/>
    <col min="4098" max="4098" width="10.42578125" style="4" customWidth="1"/>
    <col min="4099" max="4099" width="13" style="4" customWidth="1"/>
    <col min="4100" max="4353" width="11.42578125" style="4" customWidth="1"/>
    <col min="4354" max="4354" width="10.42578125" style="4" customWidth="1"/>
    <col min="4355" max="4355" width="13" style="4" customWidth="1"/>
    <col min="4356" max="4609" width="11.42578125" style="4" customWidth="1"/>
    <col min="4610" max="4610" width="10.42578125" style="4" customWidth="1"/>
    <col min="4611" max="4611" width="13" style="4" customWidth="1"/>
    <col min="4612" max="4865" width="11.42578125" style="4" customWidth="1"/>
    <col min="4866" max="4866" width="10.42578125" style="4" customWidth="1"/>
    <col min="4867" max="4867" width="13" style="4" customWidth="1"/>
    <col min="4868" max="5121" width="11.42578125" style="4" customWidth="1"/>
    <col min="5122" max="5122" width="10.42578125" style="4" customWidth="1"/>
    <col min="5123" max="5123" width="13" style="4" customWidth="1"/>
    <col min="5124" max="5377" width="11.42578125" style="4" customWidth="1"/>
    <col min="5378" max="5378" width="10.42578125" style="4" customWidth="1"/>
    <col min="5379" max="5379" width="13" style="4" customWidth="1"/>
    <col min="5380" max="5633" width="11.42578125" style="4" customWidth="1"/>
    <col min="5634" max="5634" width="10.42578125" style="4" customWidth="1"/>
    <col min="5635" max="5635" width="13" style="4" customWidth="1"/>
    <col min="5636" max="5889" width="11.42578125" style="4" customWidth="1"/>
    <col min="5890" max="5890" width="10.42578125" style="4" customWidth="1"/>
    <col min="5891" max="5891" width="13" style="4" customWidth="1"/>
    <col min="5892" max="6145" width="11.42578125" style="4" customWidth="1"/>
    <col min="6146" max="6146" width="10.42578125" style="4" customWidth="1"/>
    <col min="6147" max="6147" width="13" style="4" customWidth="1"/>
    <col min="6148" max="6401" width="11.42578125" style="4" customWidth="1"/>
    <col min="6402" max="6402" width="10.42578125" style="4" customWidth="1"/>
    <col min="6403" max="6403" width="13" style="4" customWidth="1"/>
    <col min="6404" max="6657" width="11.42578125" style="4" customWidth="1"/>
    <col min="6658" max="6658" width="10.42578125" style="4" customWidth="1"/>
    <col min="6659" max="6659" width="13" style="4" customWidth="1"/>
    <col min="6660" max="6913" width="11.42578125" style="4" customWidth="1"/>
    <col min="6914" max="6914" width="10.42578125" style="4" customWidth="1"/>
    <col min="6915" max="6915" width="13" style="4" customWidth="1"/>
    <col min="6916" max="7169" width="11.42578125" style="4" customWidth="1"/>
    <col min="7170" max="7170" width="10.42578125" style="4" customWidth="1"/>
    <col min="7171" max="7171" width="13" style="4" customWidth="1"/>
    <col min="7172" max="7425" width="11.42578125" style="4" customWidth="1"/>
    <col min="7426" max="7426" width="10.42578125" style="4" customWidth="1"/>
    <col min="7427" max="7427" width="13" style="4" customWidth="1"/>
    <col min="7428" max="7681" width="11.42578125" style="4" customWidth="1"/>
    <col min="7682" max="7682" width="10.42578125" style="4" customWidth="1"/>
    <col min="7683" max="7683" width="13" style="4" customWidth="1"/>
    <col min="7684" max="7937" width="11.42578125" style="4" customWidth="1"/>
    <col min="7938" max="7938" width="10.42578125" style="4" customWidth="1"/>
    <col min="7939" max="7939" width="13" style="4" customWidth="1"/>
    <col min="7940" max="8193" width="11.42578125" style="4" customWidth="1"/>
    <col min="8194" max="8194" width="10.42578125" style="4" customWidth="1"/>
    <col min="8195" max="8195" width="13" style="4" customWidth="1"/>
    <col min="8196" max="8449" width="11.42578125" style="4" customWidth="1"/>
    <col min="8450" max="8450" width="10.42578125" style="4" customWidth="1"/>
    <col min="8451" max="8451" width="13" style="4" customWidth="1"/>
    <col min="8452" max="8705" width="11.42578125" style="4" customWidth="1"/>
    <col min="8706" max="8706" width="10.42578125" style="4" customWidth="1"/>
    <col min="8707" max="8707" width="13" style="4" customWidth="1"/>
    <col min="8708" max="8961" width="11.42578125" style="4" customWidth="1"/>
    <col min="8962" max="8962" width="10.42578125" style="4" customWidth="1"/>
    <col min="8963" max="8963" width="13" style="4" customWidth="1"/>
    <col min="8964" max="9217" width="11.42578125" style="4" customWidth="1"/>
    <col min="9218" max="9218" width="10.42578125" style="4" customWidth="1"/>
    <col min="9219" max="9219" width="13" style="4" customWidth="1"/>
    <col min="9220" max="9473" width="11.42578125" style="4" customWidth="1"/>
    <col min="9474" max="9474" width="10.42578125" style="4" customWidth="1"/>
    <col min="9475" max="9475" width="13" style="4" customWidth="1"/>
    <col min="9476" max="9729" width="11.42578125" style="4" customWidth="1"/>
    <col min="9730" max="9730" width="10.42578125" style="4" customWidth="1"/>
    <col min="9731" max="9731" width="13" style="4" customWidth="1"/>
    <col min="9732" max="9985" width="11.42578125" style="4" customWidth="1"/>
    <col min="9986" max="9986" width="10.42578125" style="4" customWidth="1"/>
    <col min="9987" max="9987" width="13" style="4" customWidth="1"/>
    <col min="9988" max="10241" width="11.42578125" style="4" customWidth="1"/>
    <col min="10242" max="10242" width="10.42578125" style="4" customWidth="1"/>
    <col min="10243" max="10243" width="13" style="4" customWidth="1"/>
    <col min="10244" max="10497" width="11.42578125" style="4" customWidth="1"/>
    <col min="10498" max="10498" width="10.42578125" style="4" customWidth="1"/>
    <col min="10499" max="10499" width="13" style="4" customWidth="1"/>
    <col min="10500" max="10753" width="11.42578125" style="4" customWidth="1"/>
    <col min="10754" max="10754" width="10.42578125" style="4" customWidth="1"/>
    <col min="10755" max="10755" width="13" style="4" customWidth="1"/>
    <col min="10756" max="11009" width="11.42578125" style="4" customWidth="1"/>
    <col min="11010" max="11010" width="10.42578125" style="4" customWidth="1"/>
    <col min="11011" max="11011" width="13" style="4" customWidth="1"/>
    <col min="11012" max="11265" width="11.42578125" style="4" customWidth="1"/>
    <col min="11266" max="11266" width="10.42578125" style="4" customWidth="1"/>
    <col min="11267" max="11267" width="13" style="4" customWidth="1"/>
    <col min="11268" max="11521" width="11.42578125" style="4" customWidth="1"/>
    <col min="11522" max="11522" width="10.42578125" style="4" customWidth="1"/>
    <col min="11523" max="11523" width="13" style="4" customWidth="1"/>
    <col min="11524" max="11777" width="11.42578125" style="4" customWidth="1"/>
    <col min="11778" max="11778" width="10.42578125" style="4" customWidth="1"/>
    <col min="11779" max="11779" width="13" style="4" customWidth="1"/>
    <col min="11780" max="12033" width="11.42578125" style="4" customWidth="1"/>
    <col min="12034" max="12034" width="10.42578125" style="4" customWidth="1"/>
    <col min="12035" max="12035" width="13" style="4" customWidth="1"/>
    <col min="12036" max="12289" width="11.42578125" style="4" customWidth="1"/>
    <col min="12290" max="12290" width="10.42578125" style="4" customWidth="1"/>
    <col min="12291" max="12291" width="13" style="4" customWidth="1"/>
    <col min="12292" max="12545" width="11.42578125" style="4" customWidth="1"/>
    <col min="12546" max="12546" width="10.42578125" style="4" customWidth="1"/>
    <col min="12547" max="12547" width="13" style="4" customWidth="1"/>
    <col min="12548" max="12801" width="11.42578125" style="4" customWidth="1"/>
    <col min="12802" max="12802" width="10.42578125" style="4" customWidth="1"/>
    <col min="12803" max="12803" width="13" style="4" customWidth="1"/>
    <col min="12804" max="13057" width="11.42578125" style="4" customWidth="1"/>
    <col min="13058" max="13058" width="10.42578125" style="4" customWidth="1"/>
    <col min="13059" max="13059" width="13" style="4" customWidth="1"/>
    <col min="13060" max="13313" width="11.42578125" style="4" customWidth="1"/>
    <col min="13314" max="13314" width="10.42578125" style="4" customWidth="1"/>
    <col min="13315" max="13315" width="13" style="4" customWidth="1"/>
    <col min="13316" max="13569" width="11.42578125" style="4" customWidth="1"/>
    <col min="13570" max="13570" width="10.42578125" style="4" customWidth="1"/>
    <col min="13571" max="13571" width="13" style="4" customWidth="1"/>
    <col min="13572" max="13825" width="11.42578125" style="4" customWidth="1"/>
    <col min="13826" max="13826" width="10.42578125" style="4" customWidth="1"/>
    <col min="13827" max="13827" width="13" style="4" customWidth="1"/>
    <col min="13828" max="14081" width="11.42578125" style="4" customWidth="1"/>
    <col min="14082" max="14082" width="10.42578125" style="4" customWidth="1"/>
    <col min="14083" max="14083" width="13" style="4" customWidth="1"/>
    <col min="14084" max="14337" width="11.42578125" style="4" customWidth="1"/>
    <col min="14338" max="14338" width="10.42578125" style="4" customWidth="1"/>
    <col min="14339" max="14339" width="13" style="4" customWidth="1"/>
    <col min="14340" max="14593" width="11.42578125" style="4" customWidth="1"/>
    <col min="14594" max="14594" width="10.42578125" style="4" customWidth="1"/>
    <col min="14595" max="14595" width="13" style="4" customWidth="1"/>
    <col min="14596" max="14849" width="11.42578125" style="4" customWidth="1"/>
    <col min="14850" max="14850" width="10.42578125" style="4" customWidth="1"/>
    <col min="14851" max="14851" width="13" style="4" customWidth="1"/>
    <col min="14852" max="15105" width="11.42578125" style="4" customWidth="1"/>
    <col min="15106" max="15106" width="10.42578125" style="4" customWidth="1"/>
    <col min="15107" max="15107" width="13" style="4" customWidth="1"/>
    <col min="15108" max="15361" width="11.42578125" style="4" customWidth="1"/>
    <col min="15362" max="15362" width="10.42578125" style="4" customWidth="1"/>
    <col min="15363" max="15363" width="13" style="4" customWidth="1"/>
    <col min="15364" max="15617" width="11.42578125" style="4" customWidth="1"/>
    <col min="15618" max="15618" width="10.42578125" style="4" customWidth="1"/>
    <col min="15619" max="15619" width="13" style="4" customWidth="1"/>
    <col min="15620" max="15873" width="11.42578125" style="4" customWidth="1"/>
    <col min="15874" max="15874" width="10.42578125" style="4" customWidth="1"/>
    <col min="15875" max="15875" width="13" style="4" customWidth="1"/>
    <col min="15876" max="16129" width="11.42578125" style="4" customWidth="1"/>
    <col min="16130" max="16130" width="10.42578125" style="4" customWidth="1"/>
    <col min="16131" max="16131" width="13" style="4" customWidth="1"/>
    <col min="16132" max="16384" width="11.42578125" style="4" customWidth="1"/>
  </cols>
  <sheetData>
    <row r="1" spans="1:9" s="56" customFormat="1" ht="15" customHeight="1">
      <c r="A1" s="891" t="s">
        <v>2</v>
      </c>
      <c r="B1" s="892"/>
      <c r="C1" s="892"/>
      <c r="D1" s="892"/>
      <c r="E1" s="892"/>
      <c r="F1" s="892"/>
      <c r="G1" s="892"/>
      <c r="H1" s="893"/>
    </row>
    <row r="2" spans="1:9" s="56" customFormat="1" ht="5.25" customHeight="1" thickBot="1">
      <c r="A2" s="894"/>
      <c r="B2" s="895"/>
      <c r="C2" s="895"/>
      <c r="D2" s="895"/>
      <c r="E2" s="895"/>
      <c r="F2" s="895"/>
      <c r="G2" s="895"/>
      <c r="H2" s="896"/>
    </row>
    <row r="3" spans="1:9" s="56" customFormat="1" ht="56.25" customHeight="1" thickBot="1">
      <c r="A3" s="322"/>
      <c r="B3" s="907" t="s">
        <v>393</v>
      </c>
      <c r="C3" s="908"/>
      <c r="D3" s="908"/>
      <c r="E3" s="908"/>
      <c r="F3" s="908"/>
      <c r="G3" s="908"/>
      <c r="H3" s="909"/>
    </row>
    <row r="4" spans="1:9">
      <c r="A4" s="5"/>
      <c r="B4" s="6"/>
      <c r="C4" s="6"/>
      <c r="D4" s="52"/>
      <c r="E4" s="6"/>
      <c r="F4" s="6"/>
      <c r="G4" s="6"/>
      <c r="H4" s="6"/>
    </row>
    <row r="5" spans="1:9">
      <c r="A5" s="5"/>
      <c r="B5" s="7"/>
      <c r="C5" s="6"/>
      <c r="E5" s="7"/>
      <c r="G5" s="8"/>
      <c r="H5" s="122"/>
    </row>
    <row r="6" spans="1:9">
      <c r="A6" s="57" t="s">
        <v>26</v>
      </c>
      <c r="B6" s="58" t="s">
        <v>47</v>
      </c>
      <c r="C6" s="56"/>
      <c r="D6" s="61"/>
      <c r="E6" s="58"/>
      <c r="F6" s="58"/>
      <c r="G6" s="58" t="s">
        <v>30</v>
      </c>
      <c r="H6" s="61" t="s">
        <v>0</v>
      </c>
    </row>
    <row r="7" spans="1:9">
      <c r="A7" s="7"/>
      <c r="B7" s="7"/>
      <c r="C7" s="6"/>
      <c r="D7" s="26"/>
      <c r="E7" s="7"/>
      <c r="G7" s="7"/>
      <c r="H7" s="6"/>
    </row>
    <row r="8" spans="1:9" ht="13.5" thickBot="1">
      <c r="A8" s="10" t="s">
        <v>3</v>
      </c>
      <c r="B8" s="10"/>
      <c r="C8" s="6"/>
      <c r="D8" s="52"/>
      <c r="E8" s="6"/>
      <c r="F8" s="6"/>
      <c r="G8" s="6"/>
      <c r="H8" s="6"/>
    </row>
    <row r="9" spans="1:9">
      <c r="A9" s="912" t="s">
        <v>4</v>
      </c>
      <c r="B9" s="913"/>
      <c r="C9" s="914"/>
      <c r="D9" s="11" t="s">
        <v>5</v>
      </c>
      <c r="E9" s="12" t="s">
        <v>6</v>
      </c>
      <c r="F9" s="11" t="s">
        <v>7</v>
      </c>
      <c r="G9" s="13" t="s">
        <v>8</v>
      </c>
      <c r="H9" s="14"/>
    </row>
    <row r="10" spans="1:9">
      <c r="A10" s="918" t="str">
        <f>+EQUIPO!B7</f>
        <v>MEZCLADORA DE CONCRETO (1 BULTO)</v>
      </c>
      <c r="B10" s="919"/>
      <c r="C10" s="920"/>
      <c r="D10" s="15" t="str">
        <f>+EQUIPO!C7</f>
        <v>Hora</v>
      </c>
      <c r="E10" s="108">
        <f>+EQUIPO!D7</f>
        <v>8750</v>
      </c>
      <c r="F10" s="16">
        <v>1</v>
      </c>
      <c r="G10" s="148">
        <f>+E10/F10</f>
        <v>8750</v>
      </c>
      <c r="H10" s="18"/>
    </row>
    <row r="11" spans="1:9">
      <c r="A11" s="918" t="s">
        <v>305</v>
      </c>
      <c r="B11" s="919"/>
      <c r="C11" s="920"/>
      <c r="D11" s="15"/>
      <c r="E11" s="108"/>
      <c r="F11" s="16"/>
      <c r="G11" s="148">
        <f>H37*0.1</f>
        <v>10040.355000000001</v>
      </c>
      <c r="H11" s="18"/>
      <c r="I11" s="42"/>
    </row>
    <row r="12" spans="1:9">
      <c r="A12" s="918"/>
      <c r="B12" s="919"/>
      <c r="C12" s="920"/>
      <c r="D12" s="15"/>
      <c r="E12" s="108"/>
      <c r="F12" s="16"/>
      <c r="G12" s="50"/>
      <c r="H12" s="181"/>
    </row>
    <row r="13" spans="1:9" ht="13.5" thickBot="1">
      <c r="A13" s="921"/>
      <c r="B13" s="922"/>
      <c r="C13" s="923"/>
      <c r="D13" s="21"/>
      <c r="E13" s="22"/>
      <c r="F13" s="23"/>
      <c r="G13" s="24"/>
      <c r="H13" s="25"/>
    </row>
    <row r="14" spans="1:9" ht="13.5" thickBot="1">
      <c r="A14" s="6"/>
      <c r="B14" s="6"/>
      <c r="C14" s="6"/>
      <c r="D14" s="52"/>
      <c r="E14" s="6"/>
      <c r="F14" s="6"/>
      <c r="G14" s="26" t="s">
        <v>9</v>
      </c>
      <c r="H14" s="27">
        <f>SUM(G10:G13)</f>
        <v>18790.355000000003</v>
      </c>
    </row>
    <row r="15" spans="1:9" ht="13.5" thickBot="1">
      <c r="A15" s="10" t="s">
        <v>10</v>
      </c>
      <c r="B15" s="10"/>
      <c r="C15" s="6"/>
      <c r="D15" s="52"/>
      <c r="E15" s="6"/>
      <c r="F15" s="6"/>
      <c r="G15" s="6"/>
      <c r="H15" s="6"/>
    </row>
    <row r="16" spans="1:9">
      <c r="A16" s="912" t="s">
        <v>4</v>
      </c>
      <c r="B16" s="913"/>
      <c r="C16" s="913"/>
      <c r="D16" s="48" t="s">
        <v>11</v>
      </c>
      <c r="E16" s="48" t="s">
        <v>12</v>
      </c>
      <c r="F16" s="48" t="s">
        <v>13</v>
      </c>
      <c r="G16" s="134" t="s">
        <v>8</v>
      </c>
      <c r="H16" s="14"/>
    </row>
    <row r="17" spans="1:11" ht="27.75" customHeight="1">
      <c r="A17" s="938" t="str">
        <f>+'Despiece de Insumos'!B10</f>
        <v xml:space="preserve">AGREGADO PARA CONCRETO HIDRAULICO GRAVILLA 3/4" </v>
      </c>
      <c r="B17" s="939"/>
      <c r="C17" s="940"/>
      <c r="D17" s="118" t="str">
        <f>+'Despiece de Insumos'!C10</f>
        <v>M3</v>
      </c>
      <c r="E17" s="119">
        <f>+'Despiece de Insumos'!D10</f>
        <v>89250</v>
      </c>
      <c r="F17" s="16">
        <v>0.95</v>
      </c>
      <c r="G17" s="17">
        <f>+E17*F17</f>
        <v>84787.5</v>
      </c>
      <c r="H17" s="18"/>
    </row>
    <row r="18" spans="1:11" ht="15" customHeight="1">
      <c r="A18" s="915" t="str">
        <f>'Despiece de Insumos'!B23</f>
        <v>ARENA DE PLANTA</v>
      </c>
      <c r="B18" s="916"/>
      <c r="C18" s="917"/>
      <c r="D18" s="118" t="str">
        <f>'Despiece de Insumos'!C23</f>
        <v>M3</v>
      </c>
      <c r="E18" s="119">
        <f>'Despiece de Insumos'!D23</f>
        <v>35700</v>
      </c>
      <c r="F18" s="16">
        <v>0.48</v>
      </c>
      <c r="G18" s="17">
        <f>+E18*F18</f>
        <v>17136</v>
      </c>
      <c r="H18" s="18"/>
    </row>
    <row r="19" spans="1:11">
      <c r="A19" s="29" t="str">
        <f>+'Despiece de Insumos'!B12</f>
        <v xml:space="preserve">CEMENTO GRIS PORTLHAND TIPO I  </v>
      </c>
      <c r="B19" s="30"/>
      <c r="C19" s="30"/>
      <c r="D19" s="118" t="str">
        <f>+'Despiece de Insumos'!C12</f>
        <v>Kg</v>
      </c>
      <c r="E19" s="119">
        <f>'Despiece de Insumos'!D12</f>
        <v>440</v>
      </c>
      <c r="F19" s="16">
        <v>300</v>
      </c>
      <c r="G19" s="17">
        <f>+E19*F19</f>
        <v>132000</v>
      </c>
      <c r="H19" s="18"/>
    </row>
    <row r="20" spans="1:11">
      <c r="A20" s="29" t="str">
        <f>+'Despiece de Insumos'!B9</f>
        <v>AGUA</v>
      </c>
      <c r="B20" s="30"/>
      <c r="C20" s="30"/>
      <c r="D20" s="118" t="str">
        <f>+'Despiece de Insumos'!C9</f>
        <v>Litro</v>
      </c>
      <c r="E20" s="119">
        <f>+'Despiece de Insumos'!D9</f>
        <v>15</v>
      </c>
      <c r="F20" s="16">
        <v>170</v>
      </c>
      <c r="G20" s="17">
        <f t="shared" ref="G20" si="0">+E20*F20</f>
        <v>2550</v>
      </c>
      <c r="H20" s="18"/>
    </row>
    <row r="21" spans="1:11" ht="13.5" thickBot="1">
      <c r="A21" s="37" t="s">
        <v>110</v>
      </c>
      <c r="B21" s="179">
        <v>0.03</v>
      </c>
      <c r="C21" s="38"/>
      <c r="D21" s="21"/>
      <c r="E21" s="22"/>
      <c r="F21" s="23"/>
      <c r="G21" s="121">
        <f>(G17+G18+G19+G20)*B21</f>
        <v>7094.2049999999999</v>
      </c>
      <c r="H21" s="25"/>
    </row>
    <row r="22" spans="1:11" ht="13.5" thickBot="1">
      <c r="A22" s="6"/>
      <c r="B22" s="6"/>
      <c r="C22" s="6"/>
      <c r="D22" s="52"/>
      <c r="E22" s="6"/>
      <c r="F22" s="6"/>
      <c r="G22" s="26" t="s">
        <v>9</v>
      </c>
      <c r="H22" s="55">
        <f>SUM(G17:G21)</f>
        <v>243567.70499999999</v>
      </c>
    </row>
    <row r="23" spans="1:11" ht="13.5" thickBot="1">
      <c r="A23" s="40" t="s">
        <v>14</v>
      </c>
      <c r="B23" s="40"/>
      <c r="C23" s="41"/>
      <c r="D23" s="52"/>
      <c r="E23" s="6"/>
      <c r="F23" s="6"/>
      <c r="G23" s="6"/>
      <c r="H23" s="6"/>
      <c r="K23" s="42"/>
    </row>
    <row r="24" spans="1:11">
      <c r="A24" s="43" t="s">
        <v>15</v>
      </c>
      <c r="B24" s="44"/>
      <c r="C24" s="45" t="s">
        <v>16</v>
      </c>
      <c r="D24" s="11" t="s">
        <v>17</v>
      </c>
      <c r="E24" s="11" t="s">
        <v>18</v>
      </c>
      <c r="F24" s="11" t="s">
        <v>19</v>
      </c>
      <c r="G24" s="46" t="s">
        <v>8</v>
      </c>
      <c r="H24" s="14"/>
    </row>
    <row r="25" spans="1:11">
      <c r="A25" s="35"/>
      <c r="B25" s="30"/>
      <c r="C25" s="109">
        <f>F17+F18</f>
        <v>1.43</v>
      </c>
      <c r="D25" s="110">
        <v>22</v>
      </c>
      <c r="E25" s="112">
        <f>C25*D25</f>
        <v>31.459999999999997</v>
      </c>
      <c r="F25" s="112">
        <f>TRANSPORTE!H33</f>
        <v>1500</v>
      </c>
      <c r="G25" s="47">
        <f>E25*F25</f>
        <v>47189.999999999993</v>
      </c>
      <c r="H25" s="18"/>
    </row>
    <row r="26" spans="1:11">
      <c r="A26" s="35"/>
      <c r="B26" s="30"/>
      <c r="C26" s="113"/>
      <c r="D26" s="110"/>
      <c r="E26" s="111"/>
      <c r="F26" s="112"/>
      <c r="G26" s="47"/>
      <c r="H26" s="18"/>
    </row>
    <row r="27" spans="1:11" ht="13.5" thickBot="1">
      <c r="A27" s="37"/>
      <c r="B27" s="39"/>
      <c r="C27" s="21"/>
      <c r="D27" s="21"/>
      <c r="E27" s="23"/>
      <c r="F27" s="24"/>
      <c r="G27" s="21"/>
      <c r="H27" s="18"/>
    </row>
    <row r="28" spans="1:11" ht="13.5" thickBot="1">
      <c r="A28" s="6"/>
      <c r="B28" s="6"/>
      <c r="C28" s="6"/>
      <c r="D28" s="52"/>
      <c r="E28" s="6"/>
      <c r="F28" s="6"/>
      <c r="G28" s="26" t="s">
        <v>9</v>
      </c>
      <c r="H28" s="27">
        <f>SUM(G25:G27)</f>
        <v>47189.999999999993</v>
      </c>
    </row>
    <row r="29" spans="1:11" ht="13.5" thickBot="1">
      <c r="A29" s="40" t="s">
        <v>20</v>
      </c>
      <c r="B29" s="40"/>
      <c r="C29" s="6"/>
      <c r="D29" s="52"/>
      <c r="E29" s="6"/>
      <c r="F29" s="6"/>
      <c r="G29" s="6"/>
      <c r="H29" s="6"/>
    </row>
    <row r="30" spans="1:11">
      <c r="A30" s="43" t="s">
        <v>21</v>
      </c>
      <c r="B30" s="44"/>
      <c r="C30" s="48" t="s">
        <v>22</v>
      </c>
      <c r="D30" s="11" t="s">
        <v>23</v>
      </c>
      <c r="E30" s="12" t="s">
        <v>24</v>
      </c>
      <c r="F30" s="48" t="s">
        <v>7</v>
      </c>
      <c r="G30" s="13" t="s">
        <v>8</v>
      </c>
      <c r="H30" s="14"/>
    </row>
    <row r="31" spans="1:11">
      <c r="A31" s="136" t="str">
        <f>+'MANO DE OBRA'!B34</f>
        <v>Maestro</v>
      </c>
      <c r="B31" s="30"/>
      <c r="C31" s="135">
        <v>53124</v>
      </c>
      <c r="D31" s="174">
        <v>1.8</v>
      </c>
      <c r="E31" s="32">
        <f>+D31*C31</f>
        <v>95623.2</v>
      </c>
      <c r="F31" s="137">
        <v>4</v>
      </c>
      <c r="G31" s="141">
        <f>+E31/F31</f>
        <v>23905.8</v>
      </c>
      <c r="H31" s="18"/>
      <c r="I31" s="28"/>
    </row>
    <row r="32" spans="1:11">
      <c r="A32" s="136" t="str">
        <f>+'MANO DE OBRA'!B35</f>
        <v>Oficial</v>
      </c>
      <c r="B32" s="30"/>
      <c r="C32" s="135">
        <v>42499</v>
      </c>
      <c r="D32" s="174">
        <v>1.8</v>
      </c>
      <c r="E32" s="32">
        <f t="shared" ref="E32" si="1">+D32*C32</f>
        <v>76498.2</v>
      </c>
      <c r="F32" s="137">
        <v>4</v>
      </c>
      <c r="G32" s="141">
        <f t="shared" ref="G32:G33" si="2">+E32/F32</f>
        <v>19124.55</v>
      </c>
      <c r="H32" s="18"/>
      <c r="I32" s="28"/>
    </row>
    <row r="33" spans="1:9">
      <c r="A33" s="136" t="str">
        <f>+'MANO DE OBRA'!B36</f>
        <v>Obrero</v>
      </c>
      <c r="B33" s="115">
        <v>4</v>
      </c>
      <c r="C33" s="135">
        <v>31874</v>
      </c>
      <c r="D33" s="174">
        <v>1.8</v>
      </c>
      <c r="E33" s="32">
        <f>+D33*C33*B33</f>
        <v>229492.80000000002</v>
      </c>
      <c r="F33" s="137">
        <v>4</v>
      </c>
      <c r="G33" s="141">
        <f t="shared" si="2"/>
        <v>57373.200000000004</v>
      </c>
      <c r="H33" s="18"/>
      <c r="I33" s="28"/>
    </row>
    <row r="34" spans="1:9">
      <c r="A34" s="35"/>
      <c r="B34" s="30"/>
      <c r="C34" s="32"/>
      <c r="D34" s="15"/>
      <c r="E34" s="32"/>
      <c r="F34" s="16"/>
      <c r="G34" s="17"/>
      <c r="H34" s="18"/>
    </row>
    <row r="35" spans="1:9">
      <c r="A35" s="35"/>
      <c r="B35" s="30"/>
      <c r="C35" s="32"/>
      <c r="D35" s="15"/>
      <c r="E35" s="32"/>
      <c r="F35" s="16"/>
      <c r="G35" s="17"/>
      <c r="H35" s="18"/>
      <c r="I35" s="28"/>
    </row>
    <row r="36" spans="1:9" ht="13.5" thickBot="1">
      <c r="A36" s="37"/>
      <c r="B36" s="38"/>
      <c r="C36" s="22"/>
      <c r="D36" s="114"/>
      <c r="E36" s="51"/>
      <c r="F36" s="51"/>
      <c r="G36" s="41"/>
      <c r="H36" s="25"/>
    </row>
    <row r="37" spans="1:9" ht="13.5" thickBot="1">
      <c r="A37" s="6"/>
      <c r="B37" s="6"/>
      <c r="C37" s="6"/>
      <c r="D37" s="52"/>
      <c r="E37" s="6"/>
      <c r="F37" s="6"/>
      <c r="G37" s="26" t="s">
        <v>9</v>
      </c>
      <c r="H37" s="27">
        <f>SUM(G31:G36)</f>
        <v>100403.55</v>
      </c>
    </row>
    <row r="38" spans="1:9" ht="13.5" thickBot="1">
      <c r="A38" s="6"/>
      <c r="B38" s="6"/>
      <c r="C38" s="6"/>
      <c r="D38" s="52"/>
      <c r="E38" s="6"/>
      <c r="F38" s="6"/>
      <c r="G38" s="52"/>
      <c r="H38" s="6"/>
    </row>
    <row r="39" spans="1:9" ht="13.5" thickBot="1">
      <c r="A39" s="6"/>
      <c r="B39" s="6"/>
      <c r="C39" s="6"/>
      <c r="D39" s="52"/>
      <c r="E39" s="53" t="s">
        <v>25</v>
      </c>
      <c r="F39" s="54"/>
      <c r="G39" s="54"/>
      <c r="H39" s="27">
        <f>ROUND(H14+H22+H28+H37,0)</f>
        <v>409952</v>
      </c>
      <c r="I39" s="28"/>
    </row>
    <row r="44" spans="1:9" s="194" customFormat="1" ht="14.25">
      <c r="A44" s="195" t="s">
        <v>134</v>
      </c>
      <c r="B44" s="195"/>
      <c r="C44" s="195"/>
      <c r="D44" s="197"/>
      <c r="E44" s="196"/>
      <c r="F44" s="196"/>
    </row>
    <row r="45" spans="1:9" s="194" customFormat="1" ht="14.25">
      <c r="A45" s="195" t="s">
        <v>131</v>
      </c>
      <c r="B45" s="195"/>
      <c r="C45" s="195"/>
      <c r="D45" s="197"/>
      <c r="E45" s="196"/>
      <c r="F45" s="196"/>
    </row>
    <row r="48" spans="1:9" ht="23.25" customHeight="1"/>
  </sheetData>
  <mergeCells count="10">
    <mergeCell ref="A1:H2"/>
    <mergeCell ref="B3:H3"/>
    <mergeCell ref="A18:C18"/>
    <mergeCell ref="A17:C17"/>
    <mergeCell ref="A16:C16"/>
    <mergeCell ref="A9:C9"/>
    <mergeCell ref="A10:C10"/>
    <mergeCell ref="A12:C12"/>
    <mergeCell ref="A13:C13"/>
    <mergeCell ref="A11:C11"/>
  </mergeCells>
  <printOptions horizontalCentered="1" verticalCentered="1"/>
  <pageMargins left="1.1811023622047245" right="0.39370078740157483" top="0.84114583333333337" bottom="1.1811023622047245" header="0" footer="0"/>
  <pageSetup orientation="portrait" r:id="rId1"/>
  <headerFooter alignWithMargins="0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rgb="FFFF0000"/>
  </sheetPr>
  <dimension ref="A1:K46"/>
  <sheetViews>
    <sheetView view="pageBreakPreview" topLeftCell="A19" zoomScale="118" zoomScaleSheetLayoutView="118" workbookViewId="0">
      <selection activeCell="D17" sqref="D17"/>
    </sheetView>
  </sheetViews>
  <sheetFormatPr baseColWidth="10" defaultColWidth="9.28515625" defaultRowHeight="12.75"/>
  <cols>
    <col min="1" max="1" width="11.42578125" style="4" customWidth="1"/>
    <col min="2" max="2" width="11.28515625" style="4" customWidth="1"/>
    <col min="3" max="3" width="13" style="4" customWidth="1"/>
    <col min="4" max="4" width="11.42578125" style="107" customWidth="1"/>
    <col min="5" max="8" width="11.42578125" style="4" customWidth="1"/>
    <col min="9" max="9" width="15.42578125" style="4" customWidth="1"/>
    <col min="10" max="257" width="11.42578125" style="4" customWidth="1"/>
    <col min="258" max="258" width="10.42578125" style="4" customWidth="1"/>
    <col min="259" max="259" width="13" style="4" customWidth="1"/>
    <col min="260" max="513" width="11.42578125" style="4" customWidth="1"/>
    <col min="514" max="514" width="10.42578125" style="4" customWidth="1"/>
    <col min="515" max="515" width="13" style="4" customWidth="1"/>
    <col min="516" max="769" width="11.42578125" style="4" customWidth="1"/>
    <col min="770" max="770" width="10.42578125" style="4" customWidth="1"/>
    <col min="771" max="771" width="13" style="4" customWidth="1"/>
    <col min="772" max="1025" width="11.42578125" style="4" customWidth="1"/>
    <col min="1026" max="1026" width="10.42578125" style="4" customWidth="1"/>
    <col min="1027" max="1027" width="13" style="4" customWidth="1"/>
    <col min="1028" max="1281" width="11.42578125" style="4" customWidth="1"/>
    <col min="1282" max="1282" width="10.42578125" style="4" customWidth="1"/>
    <col min="1283" max="1283" width="13" style="4" customWidth="1"/>
    <col min="1284" max="1537" width="11.42578125" style="4" customWidth="1"/>
    <col min="1538" max="1538" width="10.42578125" style="4" customWidth="1"/>
    <col min="1539" max="1539" width="13" style="4" customWidth="1"/>
    <col min="1540" max="1793" width="11.42578125" style="4" customWidth="1"/>
    <col min="1794" max="1794" width="10.42578125" style="4" customWidth="1"/>
    <col min="1795" max="1795" width="13" style="4" customWidth="1"/>
    <col min="1796" max="2049" width="11.42578125" style="4" customWidth="1"/>
    <col min="2050" max="2050" width="10.42578125" style="4" customWidth="1"/>
    <col min="2051" max="2051" width="13" style="4" customWidth="1"/>
    <col min="2052" max="2305" width="11.42578125" style="4" customWidth="1"/>
    <col min="2306" max="2306" width="10.42578125" style="4" customWidth="1"/>
    <col min="2307" max="2307" width="13" style="4" customWidth="1"/>
    <col min="2308" max="2561" width="11.42578125" style="4" customWidth="1"/>
    <col min="2562" max="2562" width="10.42578125" style="4" customWidth="1"/>
    <col min="2563" max="2563" width="13" style="4" customWidth="1"/>
    <col min="2564" max="2817" width="11.42578125" style="4" customWidth="1"/>
    <col min="2818" max="2818" width="10.42578125" style="4" customWidth="1"/>
    <col min="2819" max="2819" width="13" style="4" customWidth="1"/>
    <col min="2820" max="3073" width="11.42578125" style="4" customWidth="1"/>
    <col min="3074" max="3074" width="10.42578125" style="4" customWidth="1"/>
    <col min="3075" max="3075" width="13" style="4" customWidth="1"/>
    <col min="3076" max="3329" width="11.42578125" style="4" customWidth="1"/>
    <col min="3330" max="3330" width="10.42578125" style="4" customWidth="1"/>
    <col min="3331" max="3331" width="13" style="4" customWidth="1"/>
    <col min="3332" max="3585" width="11.42578125" style="4" customWidth="1"/>
    <col min="3586" max="3586" width="10.42578125" style="4" customWidth="1"/>
    <col min="3587" max="3587" width="13" style="4" customWidth="1"/>
    <col min="3588" max="3841" width="11.42578125" style="4" customWidth="1"/>
    <col min="3842" max="3842" width="10.42578125" style="4" customWidth="1"/>
    <col min="3843" max="3843" width="13" style="4" customWidth="1"/>
    <col min="3844" max="4097" width="11.42578125" style="4" customWidth="1"/>
    <col min="4098" max="4098" width="10.42578125" style="4" customWidth="1"/>
    <col min="4099" max="4099" width="13" style="4" customWidth="1"/>
    <col min="4100" max="4353" width="11.42578125" style="4" customWidth="1"/>
    <col min="4354" max="4354" width="10.42578125" style="4" customWidth="1"/>
    <col min="4355" max="4355" width="13" style="4" customWidth="1"/>
    <col min="4356" max="4609" width="11.42578125" style="4" customWidth="1"/>
    <col min="4610" max="4610" width="10.42578125" style="4" customWidth="1"/>
    <col min="4611" max="4611" width="13" style="4" customWidth="1"/>
    <col min="4612" max="4865" width="11.42578125" style="4" customWidth="1"/>
    <col min="4866" max="4866" width="10.42578125" style="4" customWidth="1"/>
    <col min="4867" max="4867" width="13" style="4" customWidth="1"/>
    <col min="4868" max="5121" width="11.42578125" style="4" customWidth="1"/>
    <col min="5122" max="5122" width="10.42578125" style="4" customWidth="1"/>
    <col min="5123" max="5123" width="13" style="4" customWidth="1"/>
    <col min="5124" max="5377" width="11.42578125" style="4" customWidth="1"/>
    <col min="5378" max="5378" width="10.42578125" style="4" customWidth="1"/>
    <col min="5379" max="5379" width="13" style="4" customWidth="1"/>
    <col min="5380" max="5633" width="11.42578125" style="4" customWidth="1"/>
    <col min="5634" max="5634" width="10.42578125" style="4" customWidth="1"/>
    <col min="5635" max="5635" width="13" style="4" customWidth="1"/>
    <col min="5636" max="5889" width="11.42578125" style="4" customWidth="1"/>
    <col min="5890" max="5890" width="10.42578125" style="4" customWidth="1"/>
    <col min="5891" max="5891" width="13" style="4" customWidth="1"/>
    <col min="5892" max="6145" width="11.42578125" style="4" customWidth="1"/>
    <col min="6146" max="6146" width="10.42578125" style="4" customWidth="1"/>
    <col min="6147" max="6147" width="13" style="4" customWidth="1"/>
    <col min="6148" max="6401" width="11.42578125" style="4" customWidth="1"/>
    <col min="6402" max="6402" width="10.42578125" style="4" customWidth="1"/>
    <col min="6403" max="6403" width="13" style="4" customWidth="1"/>
    <col min="6404" max="6657" width="11.42578125" style="4" customWidth="1"/>
    <col min="6658" max="6658" width="10.42578125" style="4" customWidth="1"/>
    <col min="6659" max="6659" width="13" style="4" customWidth="1"/>
    <col min="6660" max="6913" width="11.42578125" style="4" customWidth="1"/>
    <col min="6914" max="6914" width="10.42578125" style="4" customWidth="1"/>
    <col min="6915" max="6915" width="13" style="4" customWidth="1"/>
    <col min="6916" max="7169" width="11.42578125" style="4" customWidth="1"/>
    <col min="7170" max="7170" width="10.42578125" style="4" customWidth="1"/>
    <col min="7171" max="7171" width="13" style="4" customWidth="1"/>
    <col min="7172" max="7425" width="11.42578125" style="4" customWidth="1"/>
    <col min="7426" max="7426" width="10.42578125" style="4" customWidth="1"/>
    <col min="7427" max="7427" width="13" style="4" customWidth="1"/>
    <col min="7428" max="7681" width="11.42578125" style="4" customWidth="1"/>
    <col min="7682" max="7682" width="10.42578125" style="4" customWidth="1"/>
    <col min="7683" max="7683" width="13" style="4" customWidth="1"/>
    <col min="7684" max="7937" width="11.42578125" style="4" customWidth="1"/>
    <col min="7938" max="7938" width="10.42578125" style="4" customWidth="1"/>
    <col min="7939" max="7939" width="13" style="4" customWidth="1"/>
    <col min="7940" max="8193" width="11.42578125" style="4" customWidth="1"/>
    <col min="8194" max="8194" width="10.42578125" style="4" customWidth="1"/>
    <col min="8195" max="8195" width="13" style="4" customWidth="1"/>
    <col min="8196" max="8449" width="11.42578125" style="4" customWidth="1"/>
    <col min="8450" max="8450" width="10.42578125" style="4" customWidth="1"/>
    <col min="8451" max="8451" width="13" style="4" customWidth="1"/>
    <col min="8452" max="8705" width="11.42578125" style="4" customWidth="1"/>
    <col min="8706" max="8706" width="10.42578125" style="4" customWidth="1"/>
    <col min="8707" max="8707" width="13" style="4" customWidth="1"/>
    <col min="8708" max="8961" width="11.42578125" style="4" customWidth="1"/>
    <col min="8962" max="8962" width="10.42578125" style="4" customWidth="1"/>
    <col min="8963" max="8963" width="13" style="4" customWidth="1"/>
    <col min="8964" max="9217" width="11.42578125" style="4" customWidth="1"/>
    <col min="9218" max="9218" width="10.42578125" style="4" customWidth="1"/>
    <col min="9219" max="9219" width="13" style="4" customWidth="1"/>
    <col min="9220" max="9473" width="11.42578125" style="4" customWidth="1"/>
    <col min="9474" max="9474" width="10.42578125" style="4" customWidth="1"/>
    <col min="9475" max="9475" width="13" style="4" customWidth="1"/>
    <col min="9476" max="9729" width="11.42578125" style="4" customWidth="1"/>
    <col min="9730" max="9730" width="10.42578125" style="4" customWidth="1"/>
    <col min="9731" max="9731" width="13" style="4" customWidth="1"/>
    <col min="9732" max="9985" width="11.42578125" style="4" customWidth="1"/>
    <col min="9986" max="9986" width="10.42578125" style="4" customWidth="1"/>
    <col min="9987" max="9987" width="13" style="4" customWidth="1"/>
    <col min="9988" max="10241" width="11.42578125" style="4" customWidth="1"/>
    <col min="10242" max="10242" width="10.42578125" style="4" customWidth="1"/>
    <col min="10243" max="10243" width="13" style="4" customWidth="1"/>
    <col min="10244" max="10497" width="11.42578125" style="4" customWidth="1"/>
    <col min="10498" max="10498" width="10.42578125" style="4" customWidth="1"/>
    <col min="10499" max="10499" width="13" style="4" customWidth="1"/>
    <col min="10500" max="10753" width="11.42578125" style="4" customWidth="1"/>
    <col min="10754" max="10754" width="10.42578125" style="4" customWidth="1"/>
    <col min="10755" max="10755" width="13" style="4" customWidth="1"/>
    <col min="10756" max="11009" width="11.42578125" style="4" customWidth="1"/>
    <col min="11010" max="11010" width="10.42578125" style="4" customWidth="1"/>
    <col min="11011" max="11011" width="13" style="4" customWidth="1"/>
    <col min="11012" max="11265" width="11.42578125" style="4" customWidth="1"/>
    <col min="11266" max="11266" width="10.42578125" style="4" customWidth="1"/>
    <col min="11267" max="11267" width="13" style="4" customWidth="1"/>
    <col min="11268" max="11521" width="11.42578125" style="4" customWidth="1"/>
    <col min="11522" max="11522" width="10.42578125" style="4" customWidth="1"/>
    <col min="11523" max="11523" width="13" style="4" customWidth="1"/>
    <col min="11524" max="11777" width="11.42578125" style="4" customWidth="1"/>
    <col min="11778" max="11778" width="10.42578125" style="4" customWidth="1"/>
    <col min="11779" max="11779" width="13" style="4" customWidth="1"/>
    <col min="11780" max="12033" width="11.42578125" style="4" customWidth="1"/>
    <col min="12034" max="12034" width="10.42578125" style="4" customWidth="1"/>
    <col min="12035" max="12035" width="13" style="4" customWidth="1"/>
    <col min="12036" max="12289" width="11.42578125" style="4" customWidth="1"/>
    <col min="12290" max="12290" width="10.42578125" style="4" customWidth="1"/>
    <col min="12291" max="12291" width="13" style="4" customWidth="1"/>
    <col min="12292" max="12545" width="11.42578125" style="4" customWidth="1"/>
    <col min="12546" max="12546" width="10.42578125" style="4" customWidth="1"/>
    <col min="12547" max="12547" width="13" style="4" customWidth="1"/>
    <col min="12548" max="12801" width="11.42578125" style="4" customWidth="1"/>
    <col min="12802" max="12802" width="10.42578125" style="4" customWidth="1"/>
    <col min="12803" max="12803" width="13" style="4" customWidth="1"/>
    <col min="12804" max="13057" width="11.42578125" style="4" customWidth="1"/>
    <col min="13058" max="13058" width="10.42578125" style="4" customWidth="1"/>
    <col min="13059" max="13059" width="13" style="4" customWidth="1"/>
    <col min="13060" max="13313" width="11.42578125" style="4" customWidth="1"/>
    <col min="13314" max="13314" width="10.42578125" style="4" customWidth="1"/>
    <col min="13315" max="13315" width="13" style="4" customWidth="1"/>
    <col min="13316" max="13569" width="11.42578125" style="4" customWidth="1"/>
    <col min="13570" max="13570" width="10.42578125" style="4" customWidth="1"/>
    <col min="13571" max="13571" width="13" style="4" customWidth="1"/>
    <col min="13572" max="13825" width="11.42578125" style="4" customWidth="1"/>
    <col min="13826" max="13826" width="10.42578125" style="4" customWidth="1"/>
    <col min="13827" max="13827" width="13" style="4" customWidth="1"/>
    <col min="13828" max="14081" width="11.42578125" style="4" customWidth="1"/>
    <col min="14082" max="14082" width="10.42578125" style="4" customWidth="1"/>
    <col min="14083" max="14083" width="13" style="4" customWidth="1"/>
    <col min="14084" max="14337" width="11.42578125" style="4" customWidth="1"/>
    <col min="14338" max="14338" width="10.42578125" style="4" customWidth="1"/>
    <col min="14339" max="14339" width="13" style="4" customWidth="1"/>
    <col min="14340" max="14593" width="11.42578125" style="4" customWidth="1"/>
    <col min="14594" max="14594" width="10.42578125" style="4" customWidth="1"/>
    <col min="14595" max="14595" width="13" style="4" customWidth="1"/>
    <col min="14596" max="14849" width="11.42578125" style="4" customWidth="1"/>
    <col min="14850" max="14850" width="10.42578125" style="4" customWidth="1"/>
    <col min="14851" max="14851" width="13" style="4" customWidth="1"/>
    <col min="14852" max="15105" width="11.42578125" style="4" customWidth="1"/>
    <col min="15106" max="15106" width="10.42578125" style="4" customWidth="1"/>
    <col min="15107" max="15107" width="13" style="4" customWidth="1"/>
    <col min="15108" max="15361" width="11.42578125" style="4" customWidth="1"/>
    <col min="15362" max="15362" width="10.42578125" style="4" customWidth="1"/>
    <col min="15363" max="15363" width="13" style="4" customWidth="1"/>
    <col min="15364" max="15617" width="11.42578125" style="4" customWidth="1"/>
    <col min="15618" max="15618" width="10.42578125" style="4" customWidth="1"/>
    <col min="15619" max="15619" width="13" style="4" customWidth="1"/>
    <col min="15620" max="15873" width="11.42578125" style="4" customWidth="1"/>
    <col min="15874" max="15874" width="10.42578125" style="4" customWidth="1"/>
    <col min="15875" max="15875" width="13" style="4" customWidth="1"/>
    <col min="15876" max="16129" width="11.42578125" style="4" customWidth="1"/>
    <col min="16130" max="16130" width="10.42578125" style="4" customWidth="1"/>
    <col min="16131" max="16131" width="13" style="4" customWidth="1"/>
    <col min="16132" max="16384" width="11.42578125" style="4" customWidth="1"/>
  </cols>
  <sheetData>
    <row r="1" spans="1:8" s="56" customFormat="1" ht="15" customHeight="1">
      <c r="A1" s="891" t="s">
        <v>2</v>
      </c>
      <c r="B1" s="892"/>
      <c r="C1" s="892"/>
      <c r="D1" s="892"/>
      <c r="E1" s="892"/>
      <c r="F1" s="892"/>
      <c r="G1" s="892"/>
      <c r="H1" s="893"/>
    </row>
    <row r="2" spans="1:8" s="56" customFormat="1" ht="5.25" customHeight="1" thickBot="1">
      <c r="A2" s="894"/>
      <c r="B2" s="895"/>
      <c r="C2" s="895"/>
      <c r="D2" s="895"/>
      <c r="E2" s="895"/>
      <c r="F2" s="895"/>
      <c r="G2" s="895"/>
      <c r="H2" s="896"/>
    </row>
    <row r="3" spans="1:8" s="56" customFormat="1" ht="56.25" customHeight="1" thickBot="1">
      <c r="A3" s="322"/>
      <c r="B3" s="907" t="s">
        <v>393</v>
      </c>
      <c r="C3" s="908"/>
      <c r="D3" s="908"/>
      <c r="E3" s="908"/>
      <c r="F3" s="908"/>
      <c r="G3" s="908"/>
      <c r="H3" s="909"/>
    </row>
    <row r="5" spans="1:8">
      <c r="A5" s="5"/>
      <c r="B5" s="6"/>
      <c r="C5" s="6"/>
      <c r="D5" s="52"/>
      <c r="E5" s="6"/>
      <c r="F5" s="6"/>
      <c r="G5" s="6"/>
      <c r="H5" s="6"/>
    </row>
    <row r="6" spans="1:8">
      <c r="A6" s="5"/>
      <c r="B6" s="7"/>
      <c r="C6" s="6"/>
      <c r="E6" s="7"/>
      <c r="G6" s="8"/>
      <c r="H6" s="122"/>
    </row>
    <row r="7" spans="1:8">
      <c r="A7" s="911" t="s">
        <v>308</v>
      </c>
      <c r="B7" s="906" t="s">
        <v>309</v>
      </c>
      <c r="C7" s="906"/>
      <c r="D7" s="906"/>
      <c r="E7" s="906"/>
      <c r="F7" s="906"/>
      <c r="G7" s="58" t="s">
        <v>30</v>
      </c>
      <c r="H7" s="61" t="s">
        <v>0</v>
      </c>
    </row>
    <row r="8" spans="1:8">
      <c r="A8" s="911"/>
      <c r="B8" s="906"/>
      <c r="C8" s="906"/>
      <c r="D8" s="906"/>
      <c r="E8" s="906"/>
      <c r="F8" s="906"/>
      <c r="G8" s="58"/>
      <c r="H8" s="56"/>
    </row>
    <row r="9" spans="1:8" ht="13.5" thickBot="1">
      <c r="A9" s="10" t="s">
        <v>3</v>
      </c>
      <c r="B9" s="10"/>
      <c r="C9" s="6"/>
      <c r="D9" s="52"/>
      <c r="E9" s="6"/>
      <c r="F9" s="6"/>
      <c r="G9" s="6"/>
      <c r="H9" s="6"/>
    </row>
    <row r="10" spans="1:8">
      <c r="A10" s="912" t="s">
        <v>4</v>
      </c>
      <c r="B10" s="913"/>
      <c r="C10" s="914"/>
      <c r="D10" s="11" t="s">
        <v>5</v>
      </c>
      <c r="E10" s="12" t="s">
        <v>6</v>
      </c>
      <c r="F10" s="11" t="s">
        <v>7</v>
      </c>
      <c r="G10" s="13" t="s">
        <v>8</v>
      </c>
      <c r="H10" s="14"/>
    </row>
    <row r="11" spans="1:8">
      <c r="A11" s="918" t="str">
        <f>+EQUIPO!B7</f>
        <v>MEZCLADORA DE CONCRETO (1 BULTO)</v>
      </c>
      <c r="B11" s="919"/>
      <c r="C11" s="920"/>
      <c r="D11" s="15" t="str">
        <f>+EQUIPO!C7</f>
        <v>Hora</v>
      </c>
      <c r="E11" s="108">
        <f>+EQUIPO!D7</f>
        <v>8750</v>
      </c>
      <c r="F11" s="16">
        <v>1</v>
      </c>
      <c r="G11" s="148">
        <f>+E11/F11</f>
        <v>8750</v>
      </c>
      <c r="H11" s="18"/>
    </row>
    <row r="12" spans="1:8">
      <c r="A12" s="918" t="s">
        <v>305</v>
      </c>
      <c r="B12" s="919"/>
      <c r="C12" s="920"/>
      <c r="D12" s="15"/>
      <c r="E12" s="108"/>
      <c r="F12" s="16"/>
      <c r="G12" s="148">
        <f>H38*0.1</f>
        <v>10040.355000000001</v>
      </c>
      <c r="H12" s="18"/>
    </row>
    <row r="13" spans="1:8">
      <c r="A13" s="918"/>
      <c r="B13" s="919"/>
      <c r="C13" s="920"/>
      <c r="D13" s="15"/>
      <c r="E13" s="108"/>
      <c r="F13" s="16"/>
      <c r="G13" s="50"/>
      <c r="H13" s="181"/>
    </row>
    <row r="14" spans="1:8" ht="13.5" thickBot="1">
      <c r="A14" s="921"/>
      <c r="B14" s="922"/>
      <c r="C14" s="923"/>
      <c r="D14" s="21"/>
      <c r="E14" s="22"/>
      <c r="F14" s="23"/>
      <c r="G14" s="24"/>
      <c r="H14" s="25"/>
    </row>
    <row r="15" spans="1:8" ht="13.5" thickBot="1">
      <c r="A15" s="6"/>
      <c r="B15" s="6"/>
      <c r="C15" s="6"/>
      <c r="D15" s="52"/>
      <c r="E15" s="6"/>
      <c r="F15" s="6"/>
      <c r="G15" s="26" t="s">
        <v>9</v>
      </c>
      <c r="H15" s="27">
        <f>SUM(G11:G14)</f>
        <v>18790.355000000003</v>
      </c>
    </row>
    <row r="16" spans="1:8" ht="13.5" thickBot="1">
      <c r="A16" s="10" t="s">
        <v>10</v>
      </c>
      <c r="B16" s="10"/>
      <c r="C16" s="6"/>
      <c r="D16" s="52"/>
      <c r="E16" s="6"/>
      <c r="F16" s="6"/>
      <c r="G16" s="6"/>
      <c r="H16" s="6"/>
    </row>
    <row r="17" spans="1:11">
      <c r="A17" s="912" t="s">
        <v>4</v>
      </c>
      <c r="B17" s="913"/>
      <c r="C17" s="913"/>
      <c r="D17" s="48" t="s">
        <v>11</v>
      </c>
      <c r="E17" s="48" t="s">
        <v>12</v>
      </c>
      <c r="F17" s="48" t="s">
        <v>13</v>
      </c>
      <c r="G17" s="134" t="s">
        <v>8</v>
      </c>
      <c r="H17" s="14"/>
    </row>
    <row r="18" spans="1:11" ht="27.75" customHeight="1">
      <c r="A18" s="938" t="str">
        <f>+'Despiece de Insumos'!B10</f>
        <v xml:space="preserve">AGREGADO PARA CONCRETO HIDRAULICO GRAVILLA 3/4" </v>
      </c>
      <c r="B18" s="939"/>
      <c r="C18" s="940"/>
      <c r="D18" s="118" t="str">
        <f>+'Despiece de Insumos'!C10</f>
        <v>M3</v>
      </c>
      <c r="E18" s="119">
        <f>+'Despiece de Insumos'!D10</f>
        <v>89250</v>
      </c>
      <c r="F18" s="16">
        <f>0.84</f>
        <v>0.84</v>
      </c>
      <c r="G18" s="17">
        <f>+E18*F18</f>
        <v>74970</v>
      </c>
      <c r="H18" s="18"/>
    </row>
    <row r="19" spans="1:11" ht="15" customHeight="1">
      <c r="A19" s="915" t="str">
        <f>'Despiece de Insumos'!B23</f>
        <v>ARENA DE PLANTA</v>
      </c>
      <c r="B19" s="916"/>
      <c r="C19" s="917"/>
      <c r="D19" s="118" t="str">
        <f>'Despiece de Insumos'!C23</f>
        <v>M3</v>
      </c>
      <c r="E19" s="119">
        <f>'Despiece de Insumos'!D23</f>
        <v>35700</v>
      </c>
      <c r="F19" s="16">
        <v>0.63</v>
      </c>
      <c r="G19" s="17">
        <f>+E19*F19</f>
        <v>22491</v>
      </c>
      <c r="H19" s="18"/>
    </row>
    <row r="20" spans="1:11">
      <c r="A20" s="29" t="str">
        <f>+'Despiece de Insumos'!B12</f>
        <v xml:space="preserve">CEMENTO GRIS PORTLHAND TIPO I  </v>
      </c>
      <c r="B20" s="30"/>
      <c r="C20" s="30"/>
      <c r="D20" s="118" t="str">
        <f>+'Despiece de Insumos'!C12</f>
        <v>Kg</v>
      </c>
      <c r="E20" s="119">
        <f>'Despiece de Insumos'!D12</f>
        <v>440</v>
      </c>
      <c r="F20" s="16">
        <v>260</v>
      </c>
      <c r="G20" s="17">
        <f t="shared" ref="G20:G21" si="0">+E20*F20</f>
        <v>114400</v>
      </c>
      <c r="H20" s="18"/>
    </row>
    <row r="21" spans="1:11">
      <c r="A21" s="29" t="str">
        <f>+'Despiece de Insumos'!B9</f>
        <v>AGUA</v>
      </c>
      <c r="B21" s="30"/>
      <c r="C21" s="30"/>
      <c r="D21" s="118" t="str">
        <f>+'Despiece de Insumos'!C9</f>
        <v>Litro</v>
      </c>
      <c r="E21" s="119">
        <f>+'Despiece de Insumos'!D9</f>
        <v>15</v>
      </c>
      <c r="F21" s="16">
        <v>170</v>
      </c>
      <c r="G21" s="17">
        <f t="shared" si="0"/>
        <v>2550</v>
      </c>
      <c r="H21" s="18"/>
    </row>
    <row r="22" spans="1:11" ht="13.5" thickBot="1">
      <c r="A22" s="37" t="s">
        <v>110</v>
      </c>
      <c r="B22" s="179">
        <v>0.03</v>
      </c>
      <c r="C22" s="38"/>
      <c r="D22" s="21"/>
      <c r="E22" s="22"/>
      <c r="F22" s="23"/>
      <c r="G22" s="121">
        <f>(G18+G19+G20+G21)*B22</f>
        <v>6432.33</v>
      </c>
      <c r="H22" s="25"/>
    </row>
    <row r="23" spans="1:11" ht="13.5" thickBot="1">
      <c r="A23" s="6"/>
      <c r="B23" s="6"/>
      <c r="C23" s="6"/>
      <c r="D23" s="52"/>
      <c r="E23" s="6"/>
      <c r="F23" s="6"/>
      <c r="G23" s="26" t="s">
        <v>9</v>
      </c>
      <c r="H23" s="55">
        <f>SUM(G18:G22)</f>
        <v>220843.33</v>
      </c>
    </row>
    <row r="24" spans="1:11" ht="13.5" thickBot="1">
      <c r="A24" s="40" t="s">
        <v>14</v>
      </c>
      <c r="B24" s="40"/>
      <c r="C24" s="41"/>
      <c r="D24" s="52"/>
      <c r="E24" s="6"/>
      <c r="F24" s="6"/>
      <c r="G24" s="6"/>
      <c r="H24" s="6"/>
      <c r="K24" s="42"/>
    </row>
    <row r="25" spans="1:11">
      <c r="A25" s="43" t="s">
        <v>15</v>
      </c>
      <c r="B25" s="44"/>
      <c r="C25" s="45" t="s">
        <v>16</v>
      </c>
      <c r="D25" s="11" t="s">
        <v>17</v>
      </c>
      <c r="E25" s="11" t="s">
        <v>18</v>
      </c>
      <c r="F25" s="11" t="s">
        <v>19</v>
      </c>
      <c r="G25" s="46" t="s">
        <v>8</v>
      </c>
      <c r="H25" s="14"/>
    </row>
    <row r="26" spans="1:11">
      <c r="A26" s="35" t="s">
        <v>126</v>
      </c>
      <c r="B26" s="30"/>
      <c r="C26" s="109">
        <f>F18+F19</f>
        <v>1.47</v>
      </c>
      <c r="D26" s="110">
        <v>22</v>
      </c>
      <c r="E26" s="112">
        <f>C26*D26</f>
        <v>32.339999999999996</v>
      </c>
      <c r="F26" s="112">
        <f>TRANSPORTE!H33</f>
        <v>1500</v>
      </c>
      <c r="G26" s="47">
        <f>E26*F26</f>
        <v>48509.999999999993</v>
      </c>
      <c r="H26" s="18"/>
    </row>
    <row r="27" spans="1:11">
      <c r="A27" s="35"/>
      <c r="B27" s="30"/>
      <c r="C27" s="113"/>
      <c r="D27" s="110"/>
      <c r="E27" s="111"/>
      <c r="F27" s="112"/>
      <c r="G27" s="47"/>
      <c r="H27" s="18"/>
    </row>
    <row r="28" spans="1:11" ht="13.5" thickBot="1">
      <c r="A28" s="37"/>
      <c r="B28" s="39"/>
      <c r="C28" s="21"/>
      <c r="D28" s="21"/>
      <c r="E28" s="23"/>
      <c r="F28" s="24"/>
      <c r="G28" s="21"/>
      <c r="H28" s="18"/>
    </row>
    <row r="29" spans="1:11" ht="13.5" thickBot="1">
      <c r="A29" s="6"/>
      <c r="B29" s="6"/>
      <c r="C29" s="6"/>
      <c r="D29" s="52"/>
      <c r="E29" s="6"/>
      <c r="F29" s="6"/>
      <c r="G29" s="26" t="s">
        <v>9</v>
      </c>
      <c r="H29" s="27">
        <f>SUM(G26:G28)</f>
        <v>48509.999999999993</v>
      </c>
    </row>
    <row r="30" spans="1:11" ht="13.5" thickBot="1">
      <c r="A30" s="40" t="s">
        <v>20</v>
      </c>
      <c r="B30" s="40"/>
      <c r="C30" s="6"/>
      <c r="D30" s="52"/>
      <c r="E30" s="6"/>
      <c r="F30" s="6"/>
      <c r="G30" s="6"/>
      <c r="H30" s="6"/>
    </row>
    <row r="31" spans="1:11">
      <c r="A31" s="43" t="s">
        <v>21</v>
      </c>
      <c r="B31" s="44"/>
      <c r="C31" s="48" t="s">
        <v>22</v>
      </c>
      <c r="D31" s="11" t="s">
        <v>23</v>
      </c>
      <c r="E31" s="12" t="s">
        <v>24</v>
      </c>
      <c r="F31" s="48" t="s">
        <v>7</v>
      </c>
      <c r="G31" s="13" t="s">
        <v>8</v>
      </c>
      <c r="H31" s="14"/>
    </row>
    <row r="32" spans="1:11">
      <c r="A32" s="136" t="str">
        <f>+'MANO DE OBRA'!B34</f>
        <v>Maestro</v>
      </c>
      <c r="B32" s="30"/>
      <c r="C32" s="135">
        <v>53124</v>
      </c>
      <c r="D32" s="174">
        <v>1.8</v>
      </c>
      <c r="E32" s="32">
        <f>+D32*C32</f>
        <v>95623.2</v>
      </c>
      <c r="F32" s="137">
        <v>4</v>
      </c>
      <c r="G32" s="141">
        <f>+E32/F32</f>
        <v>23905.8</v>
      </c>
      <c r="H32" s="18"/>
      <c r="I32" s="28"/>
    </row>
    <row r="33" spans="1:9">
      <c r="A33" s="136" t="str">
        <f>+'MANO DE OBRA'!B35</f>
        <v>Oficial</v>
      </c>
      <c r="B33" s="30"/>
      <c r="C33" s="135">
        <v>42499</v>
      </c>
      <c r="D33" s="174">
        <v>1.8</v>
      </c>
      <c r="E33" s="32">
        <f t="shared" ref="E33" si="1">+D33*C33</f>
        <v>76498.2</v>
      </c>
      <c r="F33" s="137">
        <v>4</v>
      </c>
      <c r="G33" s="141">
        <f t="shared" ref="G33:G34" si="2">+E33/F33</f>
        <v>19124.55</v>
      </c>
      <c r="H33" s="18"/>
      <c r="I33" s="28"/>
    </row>
    <row r="34" spans="1:9">
      <c r="A34" s="136" t="str">
        <f>+'MANO DE OBRA'!B36</f>
        <v>Obrero</v>
      </c>
      <c r="B34" s="115">
        <v>4</v>
      </c>
      <c r="C34" s="135">
        <v>31874</v>
      </c>
      <c r="D34" s="174">
        <v>1.8</v>
      </c>
      <c r="E34" s="32">
        <f>+D34*C34*B34</f>
        <v>229492.80000000002</v>
      </c>
      <c r="F34" s="137">
        <v>4</v>
      </c>
      <c r="G34" s="141">
        <f t="shared" si="2"/>
        <v>57373.200000000004</v>
      </c>
      <c r="H34" s="18"/>
      <c r="I34" s="28"/>
    </row>
    <row r="35" spans="1:9">
      <c r="A35" s="35"/>
      <c r="B35" s="30"/>
      <c r="C35" s="32"/>
      <c r="D35" s="15"/>
      <c r="E35" s="32"/>
      <c r="F35" s="16"/>
      <c r="G35" s="17"/>
      <c r="H35" s="18"/>
    </row>
    <row r="36" spans="1:9">
      <c r="A36" s="35"/>
      <c r="B36" s="30"/>
      <c r="C36" s="32"/>
      <c r="D36" s="15"/>
      <c r="E36" s="32"/>
      <c r="F36" s="16"/>
      <c r="G36" s="17"/>
      <c r="H36" s="18"/>
      <c r="I36" s="28"/>
    </row>
    <row r="37" spans="1:9" ht="13.5" thickBot="1">
      <c r="A37" s="37"/>
      <c r="B37" s="38"/>
      <c r="C37" s="22"/>
      <c r="D37" s="114"/>
      <c r="E37" s="51"/>
      <c r="F37" s="51"/>
      <c r="G37" s="41"/>
      <c r="H37" s="25"/>
    </row>
    <row r="38" spans="1:9" ht="13.5" thickBot="1">
      <c r="A38" s="6"/>
      <c r="B38" s="6"/>
      <c r="C38" s="6"/>
      <c r="D38" s="52"/>
      <c r="E38" s="6"/>
      <c r="F38" s="6"/>
      <c r="G38" s="26" t="s">
        <v>9</v>
      </c>
      <c r="H38" s="27">
        <f>SUM(G32:G37)</f>
        <v>100403.55</v>
      </c>
    </row>
    <row r="39" spans="1:9" ht="13.5" thickBot="1">
      <c r="A39" s="6"/>
      <c r="B39" s="6"/>
      <c r="C39" s="6"/>
      <c r="D39" s="52"/>
      <c r="E39" s="6"/>
      <c r="F39" s="6"/>
      <c r="G39" s="52"/>
      <c r="H39" s="6"/>
    </row>
    <row r="40" spans="1:9" ht="13.5" thickBot="1">
      <c r="A40" s="6"/>
      <c r="B40" s="6"/>
      <c r="C40" s="6"/>
      <c r="D40" s="52"/>
      <c r="E40" s="53" t="s">
        <v>25</v>
      </c>
      <c r="F40" s="54"/>
      <c r="G40" s="54"/>
      <c r="H40" s="27">
        <f>ROUND(H15+H23+H29+H38,0)</f>
        <v>388547</v>
      </c>
      <c r="I40" s="28"/>
    </row>
    <row r="45" spans="1:9" s="194" customFormat="1" ht="14.25">
      <c r="A45" s="195" t="s">
        <v>134</v>
      </c>
      <c r="B45" s="195"/>
      <c r="C45" s="195"/>
      <c r="D45" s="197"/>
      <c r="E45" s="196"/>
      <c r="F45" s="196"/>
    </row>
    <row r="46" spans="1:9" s="194" customFormat="1" ht="14.25">
      <c r="A46" s="195" t="s">
        <v>131</v>
      </c>
      <c r="B46" s="195"/>
      <c r="C46" s="195"/>
      <c r="D46" s="197"/>
      <c r="E46" s="196"/>
      <c r="F46" s="196"/>
    </row>
  </sheetData>
  <mergeCells count="12">
    <mergeCell ref="A13:C13"/>
    <mergeCell ref="A14:C14"/>
    <mergeCell ref="A17:C17"/>
    <mergeCell ref="A18:C18"/>
    <mergeCell ref="A19:C19"/>
    <mergeCell ref="A12:C12"/>
    <mergeCell ref="A7:A8"/>
    <mergeCell ref="A1:H2"/>
    <mergeCell ref="B3:H3"/>
    <mergeCell ref="B7:F8"/>
    <mergeCell ref="A10:C10"/>
    <mergeCell ref="A11:C11"/>
  </mergeCells>
  <pageMargins left="0.82677165354330717" right="0.23622047244094491" top="0.9375" bottom="1.2395833333333333" header="0.31496062992125984" footer="0.31496062992125984"/>
  <pageSetup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Hoja22">
    <tabColor rgb="FFFF0000"/>
  </sheetPr>
  <dimension ref="A1:H48"/>
  <sheetViews>
    <sheetView view="pageBreakPreview" topLeftCell="A7" zoomScaleSheetLayoutView="100" workbookViewId="0">
      <selection activeCell="D17" sqref="D17"/>
    </sheetView>
  </sheetViews>
  <sheetFormatPr baseColWidth="10" defaultColWidth="9.28515625" defaultRowHeight="12"/>
  <cols>
    <col min="1" max="1" width="11.42578125" style="56" customWidth="1"/>
    <col min="2" max="2" width="10.42578125" style="56" customWidth="1"/>
    <col min="3" max="3" width="13" style="56" customWidth="1"/>
    <col min="4" max="6" width="10.42578125" style="56" customWidth="1"/>
    <col min="7" max="7" width="12.7109375" style="56" customWidth="1"/>
    <col min="8" max="8" width="13.7109375" style="56" bestFit="1" customWidth="1"/>
    <col min="9" max="248" width="11.42578125" style="56" customWidth="1"/>
    <col min="249" max="249" width="10.42578125" style="56" customWidth="1"/>
    <col min="250" max="250" width="13" style="56" customWidth="1"/>
    <col min="251" max="504" width="11.42578125" style="56" customWidth="1"/>
    <col min="505" max="505" width="10.42578125" style="56" customWidth="1"/>
    <col min="506" max="506" width="13" style="56" customWidth="1"/>
    <col min="507" max="760" width="11.42578125" style="56" customWidth="1"/>
    <col min="761" max="761" width="10.42578125" style="56" customWidth="1"/>
    <col min="762" max="762" width="13" style="56" customWidth="1"/>
    <col min="763" max="1016" width="11.42578125" style="56" customWidth="1"/>
    <col min="1017" max="1017" width="10.42578125" style="56" customWidth="1"/>
    <col min="1018" max="1018" width="13" style="56" customWidth="1"/>
    <col min="1019" max="1272" width="11.42578125" style="56" customWidth="1"/>
    <col min="1273" max="1273" width="10.42578125" style="56" customWidth="1"/>
    <col min="1274" max="1274" width="13" style="56" customWidth="1"/>
    <col min="1275" max="1528" width="11.42578125" style="56" customWidth="1"/>
    <col min="1529" max="1529" width="10.42578125" style="56" customWidth="1"/>
    <col min="1530" max="1530" width="13" style="56" customWidth="1"/>
    <col min="1531" max="1784" width="11.42578125" style="56" customWidth="1"/>
    <col min="1785" max="1785" width="10.42578125" style="56" customWidth="1"/>
    <col min="1786" max="1786" width="13" style="56" customWidth="1"/>
    <col min="1787" max="2040" width="11.42578125" style="56" customWidth="1"/>
    <col min="2041" max="2041" width="10.42578125" style="56" customWidth="1"/>
    <col min="2042" max="2042" width="13" style="56" customWidth="1"/>
    <col min="2043" max="2296" width="11.42578125" style="56" customWidth="1"/>
    <col min="2297" max="2297" width="10.42578125" style="56" customWidth="1"/>
    <col min="2298" max="2298" width="13" style="56" customWidth="1"/>
    <col min="2299" max="2552" width="11.42578125" style="56" customWidth="1"/>
    <col min="2553" max="2553" width="10.42578125" style="56" customWidth="1"/>
    <col min="2554" max="2554" width="13" style="56" customWidth="1"/>
    <col min="2555" max="2808" width="11.42578125" style="56" customWidth="1"/>
    <col min="2809" max="2809" width="10.42578125" style="56" customWidth="1"/>
    <col min="2810" max="2810" width="13" style="56" customWidth="1"/>
    <col min="2811" max="3064" width="11.42578125" style="56" customWidth="1"/>
    <col min="3065" max="3065" width="10.42578125" style="56" customWidth="1"/>
    <col min="3066" max="3066" width="13" style="56" customWidth="1"/>
    <col min="3067" max="3320" width="11.42578125" style="56" customWidth="1"/>
    <col min="3321" max="3321" width="10.42578125" style="56" customWidth="1"/>
    <col min="3322" max="3322" width="13" style="56" customWidth="1"/>
    <col min="3323" max="3576" width="11.42578125" style="56" customWidth="1"/>
    <col min="3577" max="3577" width="10.42578125" style="56" customWidth="1"/>
    <col min="3578" max="3578" width="13" style="56" customWidth="1"/>
    <col min="3579" max="3832" width="11.42578125" style="56" customWidth="1"/>
    <col min="3833" max="3833" width="10.42578125" style="56" customWidth="1"/>
    <col min="3834" max="3834" width="13" style="56" customWidth="1"/>
    <col min="3835" max="4088" width="11.42578125" style="56" customWidth="1"/>
    <col min="4089" max="4089" width="10.42578125" style="56" customWidth="1"/>
    <col min="4090" max="4090" width="13" style="56" customWidth="1"/>
    <col min="4091" max="4344" width="11.42578125" style="56" customWidth="1"/>
    <col min="4345" max="4345" width="10.42578125" style="56" customWidth="1"/>
    <col min="4346" max="4346" width="13" style="56" customWidth="1"/>
    <col min="4347" max="4600" width="11.42578125" style="56" customWidth="1"/>
    <col min="4601" max="4601" width="10.42578125" style="56" customWidth="1"/>
    <col min="4602" max="4602" width="13" style="56" customWidth="1"/>
    <col min="4603" max="4856" width="11.42578125" style="56" customWidth="1"/>
    <col min="4857" max="4857" width="10.42578125" style="56" customWidth="1"/>
    <col min="4858" max="4858" width="13" style="56" customWidth="1"/>
    <col min="4859" max="5112" width="11.42578125" style="56" customWidth="1"/>
    <col min="5113" max="5113" width="10.42578125" style="56" customWidth="1"/>
    <col min="5114" max="5114" width="13" style="56" customWidth="1"/>
    <col min="5115" max="5368" width="11.42578125" style="56" customWidth="1"/>
    <col min="5369" max="5369" width="10.42578125" style="56" customWidth="1"/>
    <col min="5370" max="5370" width="13" style="56" customWidth="1"/>
    <col min="5371" max="5624" width="11.42578125" style="56" customWidth="1"/>
    <col min="5625" max="5625" width="10.42578125" style="56" customWidth="1"/>
    <col min="5626" max="5626" width="13" style="56" customWidth="1"/>
    <col min="5627" max="5880" width="11.42578125" style="56" customWidth="1"/>
    <col min="5881" max="5881" width="10.42578125" style="56" customWidth="1"/>
    <col min="5882" max="5882" width="13" style="56" customWidth="1"/>
    <col min="5883" max="6136" width="11.42578125" style="56" customWidth="1"/>
    <col min="6137" max="6137" width="10.42578125" style="56" customWidth="1"/>
    <col min="6138" max="6138" width="13" style="56" customWidth="1"/>
    <col min="6139" max="6392" width="11.42578125" style="56" customWidth="1"/>
    <col min="6393" max="6393" width="10.42578125" style="56" customWidth="1"/>
    <col min="6394" max="6394" width="13" style="56" customWidth="1"/>
    <col min="6395" max="6648" width="11.42578125" style="56" customWidth="1"/>
    <col min="6649" max="6649" width="10.42578125" style="56" customWidth="1"/>
    <col min="6650" max="6650" width="13" style="56" customWidth="1"/>
    <col min="6651" max="6904" width="11.42578125" style="56" customWidth="1"/>
    <col min="6905" max="6905" width="10.42578125" style="56" customWidth="1"/>
    <col min="6906" max="6906" width="13" style="56" customWidth="1"/>
    <col min="6907" max="7160" width="11.42578125" style="56" customWidth="1"/>
    <col min="7161" max="7161" width="10.42578125" style="56" customWidth="1"/>
    <col min="7162" max="7162" width="13" style="56" customWidth="1"/>
    <col min="7163" max="7416" width="11.42578125" style="56" customWidth="1"/>
    <col min="7417" max="7417" width="10.42578125" style="56" customWidth="1"/>
    <col min="7418" max="7418" width="13" style="56" customWidth="1"/>
    <col min="7419" max="7672" width="11.42578125" style="56" customWidth="1"/>
    <col min="7673" max="7673" width="10.42578125" style="56" customWidth="1"/>
    <col min="7674" max="7674" width="13" style="56" customWidth="1"/>
    <col min="7675" max="7928" width="11.42578125" style="56" customWidth="1"/>
    <col min="7929" max="7929" width="10.42578125" style="56" customWidth="1"/>
    <col min="7930" max="7930" width="13" style="56" customWidth="1"/>
    <col min="7931" max="8184" width="11.42578125" style="56" customWidth="1"/>
    <col min="8185" max="8185" width="10.42578125" style="56" customWidth="1"/>
    <col min="8186" max="8186" width="13" style="56" customWidth="1"/>
    <col min="8187" max="8440" width="11.42578125" style="56" customWidth="1"/>
    <col min="8441" max="8441" width="10.42578125" style="56" customWidth="1"/>
    <col min="8442" max="8442" width="13" style="56" customWidth="1"/>
    <col min="8443" max="8696" width="11.42578125" style="56" customWidth="1"/>
    <col min="8697" max="8697" width="10.42578125" style="56" customWidth="1"/>
    <col min="8698" max="8698" width="13" style="56" customWidth="1"/>
    <col min="8699" max="8952" width="11.42578125" style="56" customWidth="1"/>
    <col min="8953" max="8953" width="10.42578125" style="56" customWidth="1"/>
    <col min="8954" max="8954" width="13" style="56" customWidth="1"/>
    <col min="8955" max="9208" width="11.42578125" style="56" customWidth="1"/>
    <col min="9209" max="9209" width="10.42578125" style="56" customWidth="1"/>
    <col min="9210" max="9210" width="13" style="56" customWidth="1"/>
    <col min="9211" max="9464" width="11.42578125" style="56" customWidth="1"/>
    <col min="9465" max="9465" width="10.42578125" style="56" customWidth="1"/>
    <col min="9466" max="9466" width="13" style="56" customWidth="1"/>
    <col min="9467" max="9720" width="11.42578125" style="56" customWidth="1"/>
    <col min="9721" max="9721" width="10.42578125" style="56" customWidth="1"/>
    <col min="9722" max="9722" width="13" style="56" customWidth="1"/>
    <col min="9723" max="9976" width="11.42578125" style="56" customWidth="1"/>
    <col min="9977" max="9977" width="10.42578125" style="56" customWidth="1"/>
    <col min="9978" max="9978" width="13" style="56" customWidth="1"/>
    <col min="9979" max="10232" width="11.42578125" style="56" customWidth="1"/>
    <col min="10233" max="10233" width="10.42578125" style="56" customWidth="1"/>
    <col min="10234" max="10234" width="13" style="56" customWidth="1"/>
    <col min="10235" max="10488" width="11.42578125" style="56" customWidth="1"/>
    <col min="10489" max="10489" width="10.42578125" style="56" customWidth="1"/>
    <col min="10490" max="10490" width="13" style="56" customWidth="1"/>
    <col min="10491" max="10744" width="11.42578125" style="56" customWidth="1"/>
    <col min="10745" max="10745" width="10.42578125" style="56" customWidth="1"/>
    <col min="10746" max="10746" width="13" style="56" customWidth="1"/>
    <col min="10747" max="11000" width="11.42578125" style="56" customWidth="1"/>
    <col min="11001" max="11001" width="10.42578125" style="56" customWidth="1"/>
    <col min="11002" max="11002" width="13" style="56" customWidth="1"/>
    <col min="11003" max="11256" width="11.42578125" style="56" customWidth="1"/>
    <col min="11257" max="11257" width="10.42578125" style="56" customWidth="1"/>
    <col min="11258" max="11258" width="13" style="56" customWidth="1"/>
    <col min="11259" max="11512" width="11.42578125" style="56" customWidth="1"/>
    <col min="11513" max="11513" width="10.42578125" style="56" customWidth="1"/>
    <col min="11514" max="11514" width="13" style="56" customWidth="1"/>
    <col min="11515" max="11768" width="11.42578125" style="56" customWidth="1"/>
    <col min="11769" max="11769" width="10.42578125" style="56" customWidth="1"/>
    <col min="11770" max="11770" width="13" style="56" customWidth="1"/>
    <col min="11771" max="12024" width="11.42578125" style="56" customWidth="1"/>
    <col min="12025" max="12025" width="10.42578125" style="56" customWidth="1"/>
    <col min="12026" max="12026" width="13" style="56" customWidth="1"/>
    <col min="12027" max="12280" width="11.42578125" style="56" customWidth="1"/>
    <col min="12281" max="12281" width="10.42578125" style="56" customWidth="1"/>
    <col min="12282" max="12282" width="13" style="56" customWidth="1"/>
    <col min="12283" max="12536" width="11.42578125" style="56" customWidth="1"/>
    <col min="12537" max="12537" width="10.42578125" style="56" customWidth="1"/>
    <col min="12538" max="12538" width="13" style="56" customWidth="1"/>
    <col min="12539" max="12792" width="11.42578125" style="56" customWidth="1"/>
    <col min="12793" max="12793" width="10.42578125" style="56" customWidth="1"/>
    <col min="12794" max="12794" width="13" style="56" customWidth="1"/>
    <col min="12795" max="13048" width="11.42578125" style="56" customWidth="1"/>
    <col min="13049" max="13049" width="10.42578125" style="56" customWidth="1"/>
    <col min="13050" max="13050" width="13" style="56" customWidth="1"/>
    <col min="13051" max="13304" width="11.42578125" style="56" customWidth="1"/>
    <col min="13305" max="13305" width="10.42578125" style="56" customWidth="1"/>
    <col min="13306" max="13306" width="13" style="56" customWidth="1"/>
    <col min="13307" max="13560" width="11.42578125" style="56" customWidth="1"/>
    <col min="13561" max="13561" width="10.42578125" style="56" customWidth="1"/>
    <col min="13562" max="13562" width="13" style="56" customWidth="1"/>
    <col min="13563" max="13816" width="11.42578125" style="56" customWidth="1"/>
    <col min="13817" max="13817" width="10.42578125" style="56" customWidth="1"/>
    <col min="13818" max="13818" width="13" style="56" customWidth="1"/>
    <col min="13819" max="14072" width="11.42578125" style="56" customWidth="1"/>
    <col min="14073" max="14073" width="10.42578125" style="56" customWidth="1"/>
    <col min="14074" max="14074" width="13" style="56" customWidth="1"/>
    <col min="14075" max="14328" width="11.42578125" style="56" customWidth="1"/>
    <col min="14329" max="14329" width="10.42578125" style="56" customWidth="1"/>
    <col min="14330" max="14330" width="13" style="56" customWidth="1"/>
    <col min="14331" max="14584" width="11.42578125" style="56" customWidth="1"/>
    <col min="14585" max="14585" width="10.42578125" style="56" customWidth="1"/>
    <col min="14586" max="14586" width="13" style="56" customWidth="1"/>
    <col min="14587" max="14840" width="11.42578125" style="56" customWidth="1"/>
    <col min="14841" max="14841" width="10.42578125" style="56" customWidth="1"/>
    <col min="14842" max="14842" width="13" style="56" customWidth="1"/>
    <col min="14843" max="15096" width="11.42578125" style="56" customWidth="1"/>
    <col min="15097" max="15097" width="10.42578125" style="56" customWidth="1"/>
    <col min="15098" max="15098" width="13" style="56" customWidth="1"/>
    <col min="15099" max="15352" width="11.42578125" style="56" customWidth="1"/>
    <col min="15353" max="15353" width="10.42578125" style="56" customWidth="1"/>
    <col min="15354" max="15354" width="13" style="56" customWidth="1"/>
    <col min="15355" max="15608" width="11.42578125" style="56" customWidth="1"/>
    <col min="15609" max="15609" width="10.42578125" style="56" customWidth="1"/>
    <col min="15610" max="15610" width="13" style="56" customWidth="1"/>
    <col min="15611" max="15864" width="11.42578125" style="56" customWidth="1"/>
    <col min="15865" max="15865" width="10.42578125" style="56" customWidth="1"/>
    <col min="15866" max="15866" width="13" style="56" customWidth="1"/>
    <col min="15867" max="16120" width="11.42578125" style="56" customWidth="1"/>
    <col min="16121" max="16121" width="10.42578125" style="56" customWidth="1"/>
    <col min="16122" max="16122" width="13" style="56" customWidth="1"/>
    <col min="16123" max="16384" width="11.42578125" style="56" customWidth="1"/>
  </cols>
  <sheetData>
    <row r="1" spans="1:8" ht="15" customHeight="1">
      <c r="A1" s="891" t="s">
        <v>2</v>
      </c>
      <c r="B1" s="892"/>
      <c r="C1" s="892"/>
      <c r="D1" s="892"/>
      <c r="E1" s="892"/>
      <c r="F1" s="892"/>
      <c r="G1" s="892"/>
      <c r="H1" s="893"/>
    </row>
    <row r="2" spans="1:8" ht="5.25" customHeight="1" thickBot="1">
      <c r="A2" s="894"/>
      <c r="B2" s="895"/>
      <c r="C2" s="895"/>
      <c r="D2" s="895"/>
      <c r="E2" s="895"/>
      <c r="F2" s="895"/>
      <c r="G2" s="895"/>
      <c r="H2" s="896"/>
    </row>
    <row r="3" spans="1:8" ht="56.25" customHeight="1" thickBot="1">
      <c r="A3" s="322"/>
      <c r="B3" s="907" t="s">
        <v>393</v>
      </c>
      <c r="C3" s="908"/>
      <c r="D3" s="908"/>
      <c r="E3" s="908"/>
      <c r="F3" s="908"/>
      <c r="G3" s="908"/>
      <c r="H3" s="909"/>
    </row>
    <row r="5" spans="1:8">
      <c r="A5" s="57"/>
      <c r="B5" s="58"/>
      <c r="E5" s="58"/>
      <c r="G5" s="59"/>
      <c r="H5" s="60"/>
    </row>
    <row r="6" spans="1:8">
      <c r="A6" s="57" t="s">
        <v>26</v>
      </c>
      <c r="B6" s="58" t="s">
        <v>117</v>
      </c>
      <c r="D6" s="58"/>
      <c r="E6" s="58"/>
      <c r="F6" s="58"/>
      <c r="G6" s="58" t="s">
        <v>30</v>
      </c>
      <c r="H6" s="61" t="s">
        <v>0</v>
      </c>
    </row>
    <row r="7" spans="1:8">
      <c r="A7" s="58"/>
      <c r="B7" s="58"/>
      <c r="D7" s="58"/>
      <c r="E7" s="58"/>
      <c r="F7" s="58"/>
      <c r="G7" s="58"/>
    </row>
    <row r="8" spans="1:8" ht="12.75" thickBot="1">
      <c r="A8" s="58" t="s">
        <v>3</v>
      </c>
      <c r="B8" s="58"/>
    </row>
    <row r="9" spans="1:8">
      <c r="A9" s="897" t="s">
        <v>4</v>
      </c>
      <c r="B9" s="898"/>
      <c r="C9" s="899"/>
      <c r="D9" s="62" t="s">
        <v>5</v>
      </c>
      <c r="E9" s="63" t="s">
        <v>6</v>
      </c>
      <c r="F9" s="62" t="s">
        <v>7</v>
      </c>
      <c r="G9" s="64" t="s">
        <v>8</v>
      </c>
      <c r="H9" s="65"/>
    </row>
    <row r="10" spans="1:8">
      <c r="A10" s="900"/>
      <c r="B10" s="901"/>
      <c r="C10" s="902"/>
      <c r="D10" s="66"/>
      <c r="E10" s="82"/>
      <c r="F10" s="67"/>
      <c r="G10" s="164"/>
      <c r="H10" s="69"/>
    </row>
    <row r="11" spans="1:8">
      <c r="A11" s="900"/>
      <c r="B11" s="901"/>
      <c r="C11" s="902"/>
      <c r="D11" s="66"/>
      <c r="E11" s="82"/>
      <c r="F11" s="67"/>
      <c r="G11" s="164"/>
      <c r="H11" s="69"/>
    </row>
    <row r="12" spans="1:8">
      <c r="A12" s="900"/>
      <c r="B12" s="901"/>
      <c r="C12" s="902"/>
      <c r="D12" s="70"/>
      <c r="E12" s="71"/>
      <c r="F12" s="67"/>
      <c r="G12" s="164"/>
      <c r="H12" s="69"/>
    </row>
    <row r="13" spans="1:8" ht="12.75" thickBot="1">
      <c r="A13" s="900"/>
      <c r="B13" s="901"/>
      <c r="C13" s="902"/>
      <c r="D13" s="66"/>
      <c r="E13" s="82"/>
      <c r="F13" s="67"/>
      <c r="G13" s="164"/>
      <c r="H13" s="76"/>
    </row>
    <row r="14" spans="1:8" ht="12.75" thickBot="1">
      <c r="G14" s="61" t="s">
        <v>9</v>
      </c>
      <c r="H14" s="165">
        <f>SUM(G10:G13)</f>
        <v>0</v>
      </c>
    </row>
    <row r="15" spans="1:8" ht="12.75" thickBot="1">
      <c r="A15" s="58" t="s">
        <v>10</v>
      </c>
      <c r="B15" s="58"/>
    </row>
    <row r="16" spans="1:8">
      <c r="A16" s="897" t="s">
        <v>4</v>
      </c>
      <c r="B16" s="898"/>
      <c r="C16" s="899"/>
      <c r="D16" s="62" t="s">
        <v>11</v>
      </c>
      <c r="E16" s="62" t="s">
        <v>12</v>
      </c>
      <c r="F16" s="62" t="s">
        <v>13</v>
      </c>
      <c r="G16" s="64" t="s">
        <v>8</v>
      </c>
      <c r="H16" s="65"/>
    </row>
    <row r="17" spans="1:8">
      <c r="A17" s="79"/>
      <c r="B17" s="80"/>
      <c r="C17" s="81"/>
      <c r="D17" s="66"/>
      <c r="E17" s="82"/>
      <c r="F17" s="83"/>
      <c r="G17" s="68"/>
      <c r="H17" s="69"/>
    </row>
    <row r="18" spans="1:8">
      <c r="A18" s="84"/>
      <c r="B18" s="80"/>
      <c r="C18" s="81"/>
      <c r="D18" s="66"/>
      <c r="E18" s="82"/>
      <c r="F18" s="83"/>
      <c r="G18" s="68"/>
      <c r="H18" s="69"/>
    </row>
    <row r="19" spans="1:8">
      <c r="A19" s="84"/>
      <c r="B19" s="80"/>
      <c r="C19" s="81"/>
      <c r="D19" s="70"/>
      <c r="E19" s="71"/>
      <c r="F19" s="85"/>
      <c r="G19" s="68"/>
      <c r="H19" s="69"/>
    </row>
    <row r="20" spans="1:8">
      <c r="A20" s="84"/>
      <c r="B20" s="80"/>
      <c r="C20" s="81"/>
      <c r="D20" s="70"/>
      <c r="E20" s="71"/>
      <c r="F20" s="85"/>
      <c r="G20" s="68"/>
      <c r="H20" s="69"/>
    </row>
    <row r="21" spans="1:8" ht="12.75" thickBot="1">
      <c r="A21" s="86"/>
      <c r="B21" s="87"/>
      <c r="C21" s="88"/>
      <c r="D21" s="72"/>
      <c r="E21" s="73"/>
      <c r="F21" s="74"/>
      <c r="G21" s="75"/>
      <c r="H21" s="76"/>
    </row>
    <row r="22" spans="1:8" ht="12.75" thickBot="1">
      <c r="G22" s="61" t="s">
        <v>9</v>
      </c>
      <c r="H22" s="165">
        <f>SUM(G17:G21)</f>
        <v>0</v>
      </c>
    </row>
    <row r="23" spans="1:8" ht="12.75" thickBot="1">
      <c r="A23" s="89" t="s">
        <v>14</v>
      </c>
      <c r="B23" s="89"/>
      <c r="C23" s="90"/>
    </row>
    <row r="24" spans="1:8">
      <c r="A24" s="128" t="s">
        <v>15</v>
      </c>
      <c r="B24" s="129"/>
      <c r="C24" s="130" t="s">
        <v>16</v>
      </c>
      <c r="D24" s="62" t="s">
        <v>17</v>
      </c>
      <c r="E24" s="62" t="s">
        <v>18</v>
      </c>
      <c r="F24" s="62" t="s">
        <v>19</v>
      </c>
      <c r="G24" s="92" t="s">
        <v>8</v>
      </c>
      <c r="H24" s="65"/>
    </row>
    <row r="25" spans="1:8" ht="57" customHeight="1" thickBot="1">
      <c r="A25" s="950" t="s">
        <v>105</v>
      </c>
      <c r="B25" s="951"/>
      <c r="C25" s="93">
        <v>1</v>
      </c>
      <c r="D25" s="93">
        <v>1</v>
      </c>
      <c r="E25" s="96">
        <f>C25*D25</f>
        <v>1</v>
      </c>
      <c r="F25" s="170">
        <v>1500</v>
      </c>
      <c r="G25" s="178">
        <f>E25*F25</f>
        <v>1500</v>
      </c>
      <c r="H25" s="69"/>
    </row>
    <row r="26" spans="1:8" ht="12.75" thickBot="1">
      <c r="G26" s="61" t="s">
        <v>9</v>
      </c>
      <c r="H26" s="165">
        <f>SUM(G25:G25)</f>
        <v>1500</v>
      </c>
    </row>
    <row r="27" spans="1:8" ht="12.75" thickBot="1">
      <c r="A27" s="89" t="s">
        <v>20</v>
      </c>
      <c r="B27" s="89"/>
    </row>
    <row r="28" spans="1:8">
      <c r="A28" s="128" t="s">
        <v>21</v>
      </c>
      <c r="B28" s="129"/>
      <c r="C28" s="100" t="s">
        <v>103</v>
      </c>
      <c r="D28" s="62" t="s">
        <v>23</v>
      </c>
      <c r="E28" s="63" t="s">
        <v>24</v>
      </c>
      <c r="F28" s="100" t="s">
        <v>7</v>
      </c>
      <c r="G28" s="64" t="s">
        <v>8</v>
      </c>
      <c r="H28" s="65"/>
    </row>
    <row r="29" spans="1:8">
      <c r="A29" s="84"/>
      <c r="B29" s="80"/>
      <c r="C29" s="101"/>
      <c r="D29" s="172"/>
      <c r="E29" s="166"/>
      <c r="F29" s="67"/>
      <c r="G29" s="167"/>
      <c r="H29" s="69"/>
    </row>
    <row r="30" spans="1:8" ht="12.75" thickBot="1">
      <c r="A30" s="86"/>
      <c r="B30" s="87"/>
      <c r="C30" s="73"/>
      <c r="D30" s="103"/>
      <c r="E30" s="103"/>
      <c r="F30" s="103"/>
      <c r="G30" s="90"/>
      <c r="H30" s="76"/>
    </row>
    <row r="31" spans="1:8" ht="12.75" thickBot="1">
      <c r="G31" s="61" t="s">
        <v>9</v>
      </c>
      <c r="H31" s="165">
        <f>SUM(G29:G30)</f>
        <v>0</v>
      </c>
    </row>
    <row r="32" spans="1:8" ht="12.75" thickBot="1">
      <c r="G32" s="104"/>
    </row>
    <row r="33" spans="1:8" ht="12.75" thickBot="1">
      <c r="E33" s="105" t="s">
        <v>25</v>
      </c>
      <c r="F33" s="106"/>
      <c r="G33" s="106"/>
      <c r="H33" s="175">
        <f>ROUND(H14+H22+H26+H31,0)</f>
        <v>1500</v>
      </c>
    </row>
    <row r="38" spans="1:8" s="194" customFormat="1" ht="14.25">
      <c r="A38" s="195" t="s">
        <v>134</v>
      </c>
      <c r="B38" s="195"/>
      <c r="C38" s="195"/>
      <c r="D38" s="197"/>
      <c r="E38" s="196"/>
      <c r="F38" s="196"/>
    </row>
    <row r="39" spans="1:8" s="194" customFormat="1" ht="14.25">
      <c r="A39" s="195" t="s">
        <v>131</v>
      </c>
      <c r="B39" s="195"/>
      <c r="C39" s="195"/>
      <c r="D39" s="197"/>
      <c r="E39" s="196"/>
      <c r="F39" s="196"/>
    </row>
    <row r="47" spans="1:8" ht="0.75" customHeight="1"/>
    <row r="48" spans="1:8" hidden="1"/>
  </sheetData>
  <mergeCells count="9">
    <mergeCell ref="A25:B25"/>
    <mergeCell ref="A9:C9"/>
    <mergeCell ref="A10:C10"/>
    <mergeCell ref="A11:C11"/>
    <mergeCell ref="A1:H2"/>
    <mergeCell ref="B3:H3"/>
    <mergeCell ref="A12:C12"/>
    <mergeCell ref="A13:C13"/>
    <mergeCell ref="A16:C16"/>
  </mergeCells>
  <pageMargins left="0.7" right="0.7" top="0.92708333333333337" bottom="1.0833333333333333" header="0.3" footer="0.3"/>
  <pageSetup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Hoja23">
    <tabColor rgb="FFFF0000"/>
  </sheetPr>
  <dimension ref="B1:AM81"/>
  <sheetViews>
    <sheetView view="pageBreakPreview" zoomScale="112" zoomScaleSheetLayoutView="112" workbookViewId="0">
      <selection activeCell="D17" sqref="D17"/>
    </sheetView>
  </sheetViews>
  <sheetFormatPr baseColWidth="10" defaultColWidth="9.28515625" defaultRowHeight="14.25"/>
  <cols>
    <col min="1" max="1" width="23" style="2" customWidth="1"/>
    <col min="2" max="2" width="41.28515625" style="2" customWidth="1"/>
    <col min="3" max="3" width="12.28515625" style="2" customWidth="1"/>
    <col min="4" max="4" width="15.42578125" style="154" customWidth="1"/>
    <col min="5" max="16384" width="9.28515625" style="2"/>
  </cols>
  <sheetData>
    <row r="1" spans="2:39">
      <c r="B1" s="952"/>
      <c r="C1" s="952"/>
      <c r="D1" s="952"/>
    </row>
    <row r="2" spans="2:39" ht="15">
      <c r="B2" s="953" t="s">
        <v>50</v>
      </c>
      <c r="C2" s="953"/>
      <c r="D2" s="953"/>
    </row>
    <row r="4" spans="2:39" ht="15">
      <c r="B4" s="510" t="s">
        <v>33</v>
      </c>
      <c r="C4" s="510" t="s">
        <v>34</v>
      </c>
      <c r="D4" s="511" t="s">
        <v>35</v>
      </c>
    </row>
    <row r="5" spans="2:39">
      <c r="B5" s="512" t="s">
        <v>27</v>
      </c>
      <c r="C5" s="513" t="s">
        <v>122</v>
      </c>
      <c r="D5" s="514" t="str">
        <f>+C5</f>
        <v>% M.O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2:39">
      <c r="B6" s="515" t="s">
        <v>46</v>
      </c>
      <c r="C6" s="155" t="s">
        <v>36</v>
      </c>
      <c r="D6" s="516">
        <v>7000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2:39">
      <c r="B7" s="515" t="s">
        <v>42</v>
      </c>
      <c r="C7" s="155" t="s">
        <v>36</v>
      </c>
      <c r="D7" s="516">
        <v>8750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2:39">
      <c r="B8" s="515" t="s">
        <v>92</v>
      </c>
      <c r="C8" s="155" t="s">
        <v>36</v>
      </c>
      <c r="D8" s="516">
        <v>4500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2:39">
      <c r="B9" s="515" t="s">
        <v>43</v>
      </c>
      <c r="C9" s="155" t="s">
        <v>36</v>
      </c>
      <c r="D9" s="516">
        <v>8000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</row>
    <row r="10" spans="2:39">
      <c r="B10" s="515" t="s">
        <v>45</v>
      </c>
      <c r="C10" s="155" t="s">
        <v>36</v>
      </c>
      <c r="D10" s="516">
        <v>1000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</row>
    <row r="11" spans="2:39">
      <c r="B11" s="357" t="s">
        <v>88</v>
      </c>
      <c r="C11" s="155" t="s">
        <v>36</v>
      </c>
      <c r="D11" s="516">
        <v>50000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spans="2:39">
      <c r="B12" s="357" t="s">
        <v>101</v>
      </c>
      <c r="C12" s="155" t="s">
        <v>36</v>
      </c>
      <c r="D12" s="516">
        <v>120000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</row>
    <row r="13" spans="2:39">
      <c r="B13" s="357" t="s">
        <v>100</v>
      </c>
      <c r="C13" s="155" t="s">
        <v>36</v>
      </c>
      <c r="D13" s="516">
        <v>100000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</row>
    <row r="14" spans="2:39">
      <c r="B14" s="517" t="s">
        <v>129</v>
      </c>
      <c r="C14" s="155" t="s">
        <v>36</v>
      </c>
      <c r="D14" s="516">
        <v>75000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</row>
    <row r="15" spans="2:39">
      <c r="B15" s="357" t="s">
        <v>99</v>
      </c>
      <c r="C15" s="155" t="s">
        <v>36</v>
      </c>
      <c r="D15" s="516">
        <v>115000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</row>
    <row r="16" spans="2:39">
      <c r="B16" s="357" t="s">
        <v>356</v>
      </c>
      <c r="C16" s="155" t="s">
        <v>36</v>
      </c>
      <c r="D16" s="516">
        <v>170000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</row>
    <row r="17" spans="2:39">
      <c r="B17" s="357" t="s">
        <v>368</v>
      </c>
      <c r="C17" s="155" t="s">
        <v>36</v>
      </c>
      <c r="D17" s="516">
        <v>100000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</row>
    <row r="18" spans="2:39">
      <c r="B18" s="357" t="s">
        <v>500</v>
      </c>
      <c r="C18" s="155" t="s">
        <v>36</v>
      </c>
      <c r="D18" s="516">
        <v>12000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</row>
    <row r="19" spans="2:39"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2:39"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</row>
    <row r="21" spans="2:39"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</row>
    <row r="22" spans="2:39"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</row>
    <row r="23" spans="2:39"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</row>
    <row r="24" spans="2:39"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</row>
    <row r="25" spans="2:39"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</row>
    <row r="26" spans="2:39"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</row>
    <row r="27" spans="2:39"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2:39"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2:39"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2:39"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</row>
    <row r="31" spans="2:39"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</row>
    <row r="32" spans="2:39"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</row>
    <row r="33" spans="5:39"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</row>
    <row r="34" spans="5:39"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</row>
    <row r="35" spans="5:39"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</row>
    <row r="36" spans="5:39"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</row>
    <row r="37" spans="5:39"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</row>
    <row r="38" spans="5:39"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</row>
    <row r="39" spans="5:39"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</row>
    <row r="40" spans="5:39"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</row>
    <row r="41" spans="5:39"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</row>
    <row r="42" spans="5:39"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</row>
    <row r="43" spans="5:39"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5:39"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</row>
    <row r="45" spans="5:39"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</row>
    <row r="46" spans="5:39"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</row>
    <row r="47" spans="5:39"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</row>
    <row r="48" spans="5:39"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</row>
    <row r="49" spans="5:39"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</row>
    <row r="50" spans="5:39"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</row>
    <row r="51" spans="5:39"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</row>
    <row r="52" spans="5:39"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</row>
    <row r="53" spans="5:39"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</row>
    <row r="54" spans="5:39"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</row>
    <row r="55" spans="5:39"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</row>
    <row r="56" spans="5:39"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</row>
    <row r="57" spans="5:39"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</row>
    <row r="58" spans="5:39"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</row>
    <row r="59" spans="5:39"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</row>
    <row r="60" spans="5:39"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</row>
    <row r="61" spans="5:39"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</row>
    <row r="62" spans="5:39"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</row>
    <row r="63" spans="5:39"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</row>
    <row r="64" spans="5:39"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</row>
    <row r="65" spans="5:39"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</row>
    <row r="66" spans="5:39"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</row>
    <row r="67" spans="5:39"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</row>
    <row r="68" spans="5:39"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</row>
    <row r="69" spans="5:39"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</row>
    <row r="70" spans="5:39"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</row>
    <row r="71" spans="5:39"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</row>
    <row r="72" spans="5:39"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</row>
    <row r="73" spans="5:39"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</row>
    <row r="74" spans="5:39"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</row>
    <row r="75" spans="5:39"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</row>
    <row r="76" spans="5:39"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</row>
    <row r="77" spans="5:39"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</row>
    <row r="78" spans="5:39"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</row>
    <row r="79" spans="5:39"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</row>
    <row r="80" spans="5:39"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</row>
    <row r="81" spans="5:39"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</row>
  </sheetData>
  <mergeCells count="2">
    <mergeCell ref="B1:D1"/>
    <mergeCell ref="B2:D2"/>
  </mergeCells>
  <printOptions horizontalCentered="1"/>
  <pageMargins left="0.70866141732283472" right="0.70866141732283472" top="0.74803149606299213" bottom="0.74803149606299213" header="0.31496062992125984" footer="0.31496062992125984"/>
  <pageSetup orientation="portrait" r:id="rId1"/>
  <colBreaks count="1" manualBreakCount="1">
    <brk id="4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Hoja24">
    <tabColor rgb="FFFF0000"/>
  </sheetPr>
  <dimension ref="B1:F36"/>
  <sheetViews>
    <sheetView view="pageBreakPreview" topLeftCell="A18" zoomScaleSheetLayoutView="100" workbookViewId="0">
      <selection activeCell="D17" sqref="D17"/>
    </sheetView>
  </sheetViews>
  <sheetFormatPr baseColWidth="10" defaultColWidth="9.28515625" defaultRowHeight="14.25"/>
  <cols>
    <col min="1" max="1" width="1.7109375" style="3" customWidth="1"/>
    <col min="2" max="2" width="30" style="3" customWidth="1"/>
    <col min="3" max="3" width="14.42578125" style="3" bestFit="1" customWidth="1"/>
    <col min="4" max="4" width="15.42578125" style="150" customWidth="1"/>
    <col min="5" max="5" width="13.7109375" style="3" customWidth="1"/>
    <col min="6" max="6" width="15.7109375" style="3" bestFit="1" customWidth="1"/>
    <col min="7" max="16384" width="9.28515625" style="3"/>
  </cols>
  <sheetData>
    <row r="1" spans="2:5" ht="18">
      <c r="B1" s="961"/>
      <c r="C1" s="961"/>
      <c r="D1" s="961"/>
      <c r="E1" s="961"/>
    </row>
    <row r="2" spans="2:5">
      <c r="B2" s="962"/>
      <c r="C2" s="962"/>
      <c r="D2" s="962"/>
      <c r="E2" s="962"/>
    </row>
    <row r="3" spans="2:5">
      <c r="B3" s="962"/>
      <c r="C3" s="962"/>
      <c r="D3" s="962"/>
      <c r="E3" s="962"/>
    </row>
    <row r="4" spans="2:5">
      <c r="B4" s="963"/>
      <c r="C4" s="963"/>
      <c r="D4" s="963"/>
      <c r="E4" s="963"/>
    </row>
    <row r="5" spans="2:5">
      <c r="B5" s="964"/>
      <c r="C5" s="964"/>
      <c r="D5" s="964"/>
      <c r="E5" s="964"/>
    </row>
    <row r="6" spans="2:5">
      <c r="B6" s="964"/>
      <c r="C6" s="964"/>
      <c r="D6" s="964"/>
      <c r="E6" s="964"/>
    </row>
    <row r="7" spans="2:5" ht="15">
      <c r="B7" s="156"/>
      <c r="C7" s="156"/>
      <c r="D7" s="156"/>
      <c r="E7" s="156"/>
    </row>
    <row r="8" spans="2:5" ht="15">
      <c r="B8" s="960" t="s">
        <v>51</v>
      </c>
      <c r="C8" s="960"/>
      <c r="D8" s="960"/>
      <c r="E8" s="960"/>
    </row>
    <row r="10" spans="2:5" ht="14.25" customHeight="1">
      <c r="B10" s="518" t="s">
        <v>87</v>
      </c>
      <c r="C10" s="519">
        <v>713717</v>
      </c>
      <c r="D10" s="954">
        <f>C10+C11</f>
        <v>796857</v>
      </c>
      <c r="E10" s="954" t="s">
        <v>71</v>
      </c>
    </row>
    <row r="11" spans="2:5" ht="15">
      <c r="B11" s="518" t="s">
        <v>58</v>
      </c>
      <c r="C11" s="519">
        <v>83140</v>
      </c>
      <c r="D11" s="955"/>
      <c r="E11" s="954"/>
    </row>
    <row r="12" spans="2:5" ht="15">
      <c r="B12" s="518" t="s">
        <v>59</v>
      </c>
      <c r="C12" s="520">
        <f>C10*0.125</f>
        <v>89214.625</v>
      </c>
      <c r="D12" s="956">
        <f>SUM(C12:C23)</f>
        <v>571052.54177777795</v>
      </c>
      <c r="E12" s="958">
        <f>100+(D12/C10)*100</f>
        <v>180.01106065538272</v>
      </c>
    </row>
    <row r="13" spans="2:5" ht="15">
      <c r="B13" s="518" t="s">
        <v>60</v>
      </c>
      <c r="C13" s="520">
        <f>C10*0.155</f>
        <v>110626.13499999999</v>
      </c>
      <c r="D13" s="957"/>
      <c r="E13" s="958"/>
    </row>
    <row r="14" spans="2:5" ht="15">
      <c r="B14" s="518" t="s">
        <v>61</v>
      </c>
      <c r="C14" s="520">
        <f>C10*0.087</f>
        <v>62093.378999999994</v>
      </c>
      <c r="D14" s="957"/>
      <c r="E14" s="958"/>
    </row>
    <row r="15" spans="2:5" ht="15">
      <c r="B15" s="518" t="s">
        <v>62</v>
      </c>
      <c r="C15" s="521">
        <f>C10*0.04</f>
        <v>28548.68</v>
      </c>
      <c r="D15" s="957"/>
      <c r="E15" s="958"/>
    </row>
    <row r="16" spans="2:5" ht="15">
      <c r="B16" s="518" t="s">
        <v>63</v>
      </c>
      <c r="C16" s="522">
        <f>C10*0.02</f>
        <v>14274.34</v>
      </c>
      <c r="D16" s="957"/>
      <c r="E16" s="958"/>
    </row>
    <row r="17" spans="2:5" ht="15">
      <c r="B17" s="518" t="s">
        <v>64</v>
      </c>
      <c r="C17" s="522">
        <f>C10*0.03</f>
        <v>21411.51</v>
      </c>
      <c r="D17" s="957"/>
      <c r="E17" s="958"/>
    </row>
    <row r="18" spans="2:5" ht="15">
      <c r="B18" s="518" t="s">
        <v>65</v>
      </c>
      <c r="C18" s="521">
        <f>C10/40</f>
        <v>17842.924999999999</v>
      </c>
      <c r="D18" s="957"/>
      <c r="E18" s="958"/>
    </row>
    <row r="19" spans="2:5" ht="15">
      <c r="B19" s="518" t="s">
        <v>66</v>
      </c>
      <c r="C19" s="520">
        <f>C10/12</f>
        <v>59476.416666666664</v>
      </c>
      <c r="D19" s="957"/>
      <c r="E19" s="958"/>
    </row>
    <row r="20" spans="2:5" ht="15">
      <c r="B20" s="518" t="s">
        <v>67</v>
      </c>
      <c r="C20" s="520">
        <f>C10/12</f>
        <v>59476.416666666664</v>
      </c>
      <c r="D20" s="957"/>
      <c r="E20" s="958"/>
    </row>
    <row r="21" spans="2:5" ht="15">
      <c r="B21" s="518" t="s">
        <v>68</v>
      </c>
      <c r="C21" s="520">
        <f>C20*0.12</f>
        <v>7137.1699999999992</v>
      </c>
      <c r="D21" s="957"/>
      <c r="E21" s="958"/>
    </row>
    <row r="22" spans="2:5" ht="15">
      <c r="B22" s="518" t="s">
        <v>69</v>
      </c>
      <c r="C22" s="523">
        <v>61300</v>
      </c>
      <c r="D22" s="957"/>
      <c r="E22" s="958"/>
    </row>
    <row r="23" spans="2:5" ht="15">
      <c r="B23" s="518" t="s">
        <v>70</v>
      </c>
      <c r="C23" s="520">
        <f>((C10/30)*20)/12</f>
        <v>39650.944444444445</v>
      </c>
      <c r="D23" s="957"/>
      <c r="E23" s="958"/>
    </row>
    <row r="25" spans="2:5">
      <c r="B25" s="524" t="s">
        <v>72</v>
      </c>
      <c r="C25" s="525"/>
    </row>
    <row r="26" spans="2:5" ht="9" customHeight="1">
      <c r="B26" s="152"/>
      <c r="C26" s="157"/>
    </row>
    <row r="27" spans="2:5" ht="15.75" customHeight="1">
      <c r="B27" s="959" t="s">
        <v>74</v>
      </c>
      <c r="C27" s="959"/>
    </row>
    <row r="28" spans="2:5">
      <c r="B28" s="526" t="s">
        <v>75</v>
      </c>
      <c r="C28" s="526" t="s">
        <v>76</v>
      </c>
    </row>
    <row r="29" spans="2:5">
      <c r="B29" s="158" t="s">
        <v>73</v>
      </c>
      <c r="C29" s="159">
        <v>2</v>
      </c>
    </row>
    <row r="30" spans="2:5">
      <c r="B30" s="158" t="s">
        <v>31</v>
      </c>
      <c r="C30" s="159">
        <v>1.6</v>
      </c>
    </row>
    <row r="31" spans="2:5">
      <c r="B31" s="158" t="s">
        <v>52</v>
      </c>
      <c r="C31" s="159">
        <v>1.2</v>
      </c>
    </row>
    <row r="33" spans="2:6" ht="15">
      <c r="B33" s="527" t="s">
        <v>33</v>
      </c>
      <c r="C33" s="527" t="s">
        <v>34</v>
      </c>
      <c r="D33" s="528" t="s">
        <v>35</v>
      </c>
    </row>
    <row r="34" spans="2:6">
      <c r="B34" s="142" t="s">
        <v>37</v>
      </c>
      <c r="C34" s="142" t="s">
        <v>40</v>
      </c>
      <c r="D34" s="529">
        <f>(($C$10+$C$11)/30)*C29</f>
        <v>53123.8</v>
      </c>
      <c r="F34" s="163"/>
    </row>
    <row r="35" spans="2:6">
      <c r="B35" s="142" t="s">
        <v>38</v>
      </c>
      <c r="C35" s="142" t="s">
        <v>40</v>
      </c>
      <c r="D35" s="529">
        <f>(($C$10+$C$11)/30)*C30</f>
        <v>42499.040000000008</v>
      </c>
      <c r="F35" s="163"/>
    </row>
    <row r="36" spans="2:6">
      <c r="B36" s="142" t="s">
        <v>39</v>
      </c>
      <c r="C36" s="142" t="s">
        <v>40</v>
      </c>
      <c r="D36" s="529">
        <f>(($C$10+$C$11)/30)*C31</f>
        <v>31874.28</v>
      </c>
      <c r="F36" s="163"/>
    </row>
  </sheetData>
  <mergeCells count="11">
    <mergeCell ref="B8:E8"/>
    <mergeCell ref="B1:E1"/>
    <mergeCell ref="B2:E2"/>
    <mergeCell ref="B3:E3"/>
    <mergeCell ref="B4:E4"/>
    <mergeCell ref="B5:E6"/>
    <mergeCell ref="D10:D11"/>
    <mergeCell ref="D12:D23"/>
    <mergeCell ref="E12:E23"/>
    <mergeCell ref="E10:E11"/>
    <mergeCell ref="B27:C27"/>
  </mergeCells>
  <printOptions horizontalCentered="1"/>
  <pageMargins left="0.70866141732283472" right="0.70866141732283472" top="0.74803149606299213" bottom="1.0236220472440944" header="0.31496062992125984" footer="0.31496062992125984"/>
  <pageSetup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Hoja25">
    <tabColor rgb="FFFF0000"/>
  </sheetPr>
  <dimension ref="B1:AC36"/>
  <sheetViews>
    <sheetView view="pageBreakPreview" zoomScaleNormal="85" zoomScaleSheetLayoutView="100" zoomScalePageLayoutView="85" workbookViewId="0">
      <selection activeCell="D17" sqref="D17"/>
    </sheetView>
  </sheetViews>
  <sheetFormatPr baseColWidth="10" defaultColWidth="9.28515625" defaultRowHeight="14.25"/>
  <cols>
    <col min="1" max="1" width="1.7109375" style="3" customWidth="1"/>
    <col min="2" max="2" width="58.7109375" style="3" customWidth="1"/>
    <col min="3" max="3" width="17.42578125" style="3" customWidth="1"/>
    <col min="4" max="4" width="22.28515625" style="150" customWidth="1"/>
    <col min="5" max="5" width="9.28515625" style="3" customWidth="1"/>
    <col min="6" max="6" width="10" style="3" customWidth="1"/>
    <col min="7" max="7" width="10.42578125" style="3" customWidth="1"/>
    <col min="8" max="8" width="9.28515625" style="3" customWidth="1"/>
    <col min="9" max="16384" width="9.28515625" style="3"/>
  </cols>
  <sheetData>
    <row r="1" spans="2:29" ht="33">
      <c r="B1" s="967"/>
      <c r="C1" s="967"/>
      <c r="D1" s="967"/>
    </row>
    <row r="2" spans="2:29" ht="21.75" customHeight="1">
      <c r="B2" s="968" t="s">
        <v>317</v>
      </c>
      <c r="C2" s="968"/>
      <c r="D2" s="968"/>
    </row>
    <row r="3" spans="2:29" ht="11.25" customHeight="1">
      <c r="B3" s="407"/>
      <c r="C3" s="407"/>
      <c r="D3" s="407"/>
    </row>
    <row r="4" spans="2:29" ht="21" customHeight="1">
      <c r="B4" s="530" t="s">
        <v>56</v>
      </c>
      <c r="C4" s="530"/>
      <c r="D4" s="531"/>
    </row>
    <row r="5" spans="2:29" ht="31.5" customHeight="1">
      <c r="B5" s="532" t="s">
        <v>33</v>
      </c>
      <c r="C5" s="965" t="s">
        <v>34</v>
      </c>
      <c r="D5" s="966" t="s">
        <v>35</v>
      </c>
      <c r="E5" s="408"/>
      <c r="F5" s="408"/>
      <c r="G5" s="408"/>
      <c r="H5" s="408"/>
      <c r="I5" s="408"/>
      <c r="J5" s="408"/>
      <c r="K5" s="408"/>
      <c r="L5" s="408"/>
      <c r="M5" s="408"/>
      <c r="N5" s="408"/>
      <c r="O5" s="408"/>
      <c r="P5" s="408"/>
      <c r="Q5" s="408"/>
      <c r="R5" s="408"/>
      <c r="S5" s="408"/>
      <c r="T5" s="408"/>
      <c r="U5" s="408"/>
      <c r="V5" s="408"/>
      <c r="W5" s="408"/>
      <c r="X5" s="408"/>
      <c r="Y5" s="408"/>
      <c r="Z5" s="408"/>
      <c r="AA5" s="408"/>
      <c r="AB5" s="408"/>
      <c r="AC5" s="408"/>
    </row>
    <row r="6" spans="2:29" ht="32.25" customHeight="1">
      <c r="B6" s="532" t="s">
        <v>81</v>
      </c>
      <c r="C6" s="965"/>
      <c r="D6" s="966"/>
      <c r="E6" s="408"/>
      <c r="F6" s="408"/>
      <c r="G6" s="408"/>
      <c r="H6" s="408"/>
      <c r="I6" s="408"/>
      <c r="J6" s="408"/>
      <c r="K6" s="408"/>
      <c r="L6" s="408"/>
      <c r="M6" s="408"/>
      <c r="N6" s="408"/>
      <c r="O6" s="408"/>
      <c r="P6" s="408"/>
      <c r="Q6" s="408"/>
      <c r="R6" s="408"/>
      <c r="S6" s="408"/>
      <c r="T6" s="408"/>
      <c r="U6" s="408"/>
      <c r="V6" s="408"/>
      <c r="W6" s="408"/>
      <c r="X6" s="408"/>
      <c r="Y6" s="408"/>
      <c r="Z6" s="408"/>
      <c r="AA6" s="408"/>
      <c r="AB6" s="408"/>
      <c r="AC6" s="408"/>
    </row>
    <row r="7" spans="2:29" ht="18" customHeight="1">
      <c r="B7" s="533" t="s">
        <v>28</v>
      </c>
      <c r="C7" s="15" t="s">
        <v>11</v>
      </c>
      <c r="D7" s="145">
        <v>6000</v>
      </c>
      <c r="E7" s="408"/>
      <c r="F7" s="408"/>
      <c r="G7" s="408"/>
      <c r="H7" s="408"/>
      <c r="I7" s="408"/>
      <c r="J7" s="408"/>
      <c r="K7" s="408"/>
      <c r="L7" s="408"/>
      <c r="M7" s="408"/>
      <c r="N7" s="408"/>
      <c r="O7" s="408"/>
      <c r="P7" s="408"/>
      <c r="Q7" s="408"/>
      <c r="R7" s="408"/>
      <c r="S7" s="408"/>
      <c r="T7" s="408"/>
      <c r="U7" s="408"/>
      <c r="V7" s="408"/>
      <c r="W7" s="408"/>
      <c r="X7" s="408"/>
      <c r="Y7" s="408"/>
      <c r="Z7" s="408"/>
      <c r="AA7" s="408"/>
      <c r="AB7" s="408"/>
      <c r="AC7" s="408"/>
    </row>
    <row r="8" spans="2:29" ht="18" customHeight="1">
      <c r="B8" s="533" t="s">
        <v>55</v>
      </c>
      <c r="C8" s="15" t="s">
        <v>29</v>
      </c>
      <c r="D8" s="145">
        <v>2500</v>
      </c>
      <c r="E8" s="408"/>
      <c r="F8" s="408"/>
      <c r="G8" s="408"/>
      <c r="H8" s="408"/>
      <c r="I8" s="408"/>
      <c r="J8" s="408"/>
      <c r="K8" s="408"/>
      <c r="L8" s="408"/>
      <c r="M8" s="408"/>
      <c r="N8" s="408"/>
      <c r="O8" s="408"/>
      <c r="P8" s="408"/>
      <c r="Q8" s="408"/>
      <c r="R8" s="408"/>
      <c r="S8" s="408"/>
      <c r="T8" s="408"/>
      <c r="U8" s="408"/>
      <c r="V8" s="408"/>
      <c r="W8" s="408"/>
      <c r="X8" s="408"/>
      <c r="Y8" s="408"/>
      <c r="Z8" s="408"/>
      <c r="AA8" s="408"/>
      <c r="AB8" s="408"/>
      <c r="AC8" s="408"/>
    </row>
    <row r="9" spans="2:29" ht="18" customHeight="1">
      <c r="B9" s="534" t="s">
        <v>32</v>
      </c>
      <c r="C9" s="15" t="s">
        <v>41</v>
      </c>
      <c r="D9" s="145">
        <v>15</v>
      </c>
      <c r="E9" s="408"/>
      <c r="F9" s="408"/>
      <c r="G9" s="408"/>
      <c r="H9" s="408"/>
      <c r="I9" s="408"/>
      <c r="J9" s="408"/>
      <c r="K9" s="408"/>
      <c r="L9" s="408"/>
      <c r="M9" s="408"/>
      <c r="N9" s="408"/>
      <c r="O9" s="408"/>
      <c r="P9" s="408"/>
      <c r="Q9" s="408"/>
      <c r="R9" s="408"/>
      <c r="S9" s="408"/>
      <c r="T9" s="408"/>
      <c r="U9" s="408"/>
      <c r="V9" s="408"/>
      <c r="W9" s="408"/>
      <c r="X9" s="408"/>
      <c r="Y9" s="408"/>
      <c r="Z9" s="408"/>
      <c r="AA9" s="408"/>
      <c r="AB9" s="408"/>
      <c r="AC9" s="408"/>
    </row>
    <row r="10" spans="2:29" s="410" customFormat="1" ht="18" customHeight="1">
      <c r="B10" s="535" t="s">
        <v>90</v>
      </c>
      <c r="C10" s="15" t="s">
        <v>0</v>
      </c>
      <c r="D10" s="145">
        <v>89250</v>
      </c>
      <c r="E10" s="409"/>
      <c r="F10" s="409"/>
      <c r="G10" s="409"/>
      <c r="H10" s="409"/>
      <c r="I10" s="409"/>
      <c r="J10" s="409"/>
      <c r="K10" s="409"/>
      <c r="L10" s="409"/>
      <c r="M10" s="409"/>
      <c r="N10" s="409"/>
      <c r="O10" s="409"/>
      <c r="P10" s="409"/>
      <c r="Q10" s="409"/>
      <c r="R10" s="409"/>
      <c r="S10" s="409"/>
      <c r="T10" s="409"/>
      <c r="U10" s="409"/>
      <c r="V10" s="409"/>
      <c r="W10" s="409"/>
      <c r="X10" s="409"/>
      <c r="Y10" s="409"/>
      <c r="Z10" s="409"/>
      <c r="AA10" s="409"/>
      <c r="AB10" s="409"/>
      <c r="AC10" s="409"/>
    </row>
    <row r="11" spans="2:29" s="410" customFormat="1" ht="18" customHeight="1">
      <c r="B11" s="534" t="s">
        <v>123</v>
      </c>
      <c r="C11" s="15" t="s">
        <v>0</v>
      </c>
      <c r="D11" s="145">
        <v>70000</v>
      </c>
      <c r="E11" s="409"/>
      <c r="F11" s="409"/>
      <c r="G11" s="409"/>
      <c r="H11" s="409"/>
      <c r="I11" s="409"/>
      <c r="J11" s="409"/>
      <c r="K11" s="409"/>
      <c r="L11" s="409"/>
      <c r="M11" s="409"/>
      <c r="N11" s="409"/>
      <c r="O11" s="409"/>
      <c r="P11" s="409"/>
      <c r="Q11" s="409"/>
      <c r="R11" s="409"/>
      <c r="S11" s="409"/>
      <c r="T11" s="409"/>
      <c r="U11" s="409"/>
      <c r="V11" s="409"/>
      <c r="W11" s="409"/>
      <c r="X11" s="409"/>
      <c r="Y11" s="409"/>
      <c r="Z11" s="409"/>
      <c r="AA11" s="409"/>
      <c r="AB11" s="409"/>
      <c r="AC11" s="409"/>
    </row>
    <row r="12" spans="2:29" s="410" customFormat="1" ht="18" customHeight="1">
      <c r="B12" s="534" t="s">
        <v>95</v>
      </c>
      <c r="C12" s="15" t="s">
        <v>1</v>
      </c>
      <c r="D12" s="145">
        <v>440</v>
      </c>
      <c r="E12" s="409"/>
      <c r="F12" s="409"/>
      <c r="G12" s="409"/>
      <c r="H12" s="409"/>
      <c r="I12" s="409"/>
      <c r="J12" s="409"/>
      <c r="K12" s="409"/>
      <c r="L12" s="409"/>
      <c r="M12" s="409"/>
      <c r="N12" s="409"/>
      <c r="O12" s="409"/>
      <c r="P12" s="409"/>
      <c r="Q12" s="409"/>
      <c r="R12" s="409"/>
      <c r="S12" s="409"/>
      <c r="T12" s="409"/>
      <c r="U12" s="409"/>
      <c r="V12" s="409"/>
      <c r="W12" s="409"/>
      <c r="X12" s="409"/>
      <c r="Y12" s="409"/>
      <c r="Z12" s="409"/>
      <c r="AA12" s="409"/>
      <c r="AB12" s="409"/>
      <c r="AC12" s="409"/>
    </row>
    <row r="13" spans="2:29" ht="18" customHeight="1">
      <c r="B13" s="534" t="s">
        <v>83</v>
      </c>
      <c r="C13" s="15" t="s">
        <v>112</v>
      </c>
      <c r="D13" s="536">
        <v>15000</v>
      </c>
      <c r="E13" s="408"/>
      <c r="F13" s="408"/>
      <c r="G13" s="408"/>
      <c r="H13" s="408"/>
      <c r="I13" s="408"/>
      <c r="J13" s="408"/>
      <c r="K13" s="408"/>
      <c r="L13" s="408"/>
      <c r="M13" s="408"/>
      <c r="N13" s="408"/>
      <c r="O13" s="408"/>
      <c r="P13" s="408"/>
      <c r="Q13" s="408"/>
      <c r="R13" s="408"/>
      <c r="S13" s="408"/>
      <c r="T13" s="408"/>
      <c r="U13" s="408"/>
      <c r="V13" s="408"/>
      <c r="W13" s="408"/>
      <c r="X13" s="408"/>
      <c r="Y13" s="408"/>
      <c r="Z13" s="408"/>
      <c r="AA13" s="408"/>
      <c r="AB13" s="408"/>
      <c r="AC13" s="408"/>
    </row>
    <row r="14" spans="2:29" ht="18" customHeight="1">
      <c r="B14" s="534" t="s">
        <v>44</v>
      </c>
      <c r="C14" s="15" t="s">
        <v>1</v>
      </c>
      <c r="D14" s="145">
        <v>3400</v>
      </c>
      <c r="E14" s="408"/>
      <c r="F14" s="408"/>
      <c r="G14" s="408"/>
      <c r="H14" s="408"/>
      <c r="I14" s="408"/>
      <c r="J14" s="408"/>
      <c r="K14" s="408"/>
      <c r="L14" s="408"/>
      <c r="M14" s="408"/>
      <c r="N14" s="408"/>
      <c r="O14" s="408"/>
      <c r="P14" s="408"/>
      <c r="Q14" s="408"/>
      <c r="R14" s="408"/>
      <c r="S14" s="408"/>
      <c r="T14" s="408"/>
      <c r="U14" s="408"/>
      <c r="V14" s="408"/>
      <c r="W14" s="408"/>
      <c r="X14" s="408"/>
      <c r="Y14" s="408"/>
      <c r="Z14" s="408"/>
      <c r="AA14" s="408"/>
      <c r="AB14" s="408"/>
      <c r="AC14" s="408"/>
    </row>
    <row r="15" spans="2:29" ht="18" customHeight="1">
      <c r="B15" s="534" t="s">
        <v>125</v>
      </c>
      <c r="C15" s="15" t="s">
        <v>1</v>
      </c>
      <c r="D15" s="145">
        <v>2490</v>
      </c>
      <c r="E15" s="408"/>
      <c r="F15" s="408"/>
      <c r="G15" s="408"/>
      <c r="H15" s="408"/>
      <c r="I15" s="408"/>
      <c r="J15" s="408"/>
      <c r="K15" s="408"/>
      <c r="L15" s="408"/>
      <c r="M15" s="408"/>
      <c r="N15" s="408"/>
      <c r="O15" s="408"/>
      <c r="P15" s="408"/>
      <c r="Q15" s="408"/>
      <c r="R15" s="408"/>
      <c r="S15" s="408"/>
      <c r="T15" s="408"/>
      <c r="U15" s="408"/>
      <c r="V15" s="408"/>
      <c r="W15" s="408"/>
      <c r="X15" s="408"/>
      <c r="Y15" s="408"/>
      <c r="Z15" s="408"/>
      <c r="AA15" s="408"/>
      <c r="AB15" s="408"/>
      <c r="AC15" s="408"/>
    </row>
    <row r="16" spans="2:29" ht="18" customHeight="1">
      <c r="B16" s="534" t="s">
        <v>82</v>
      </c>
      <c r="C16" s="15" t="s">
        <v>1</v>
      </c>
      <c r="D16" s="145">
        <v>2490</v>
      </c>
      <c r="E16" s="408"/>
      <c r="F16" s="408"/>
      <c r="G16" s="408"/>
      <c r="H16" s="408"/>
      <c r="I16" s="408"/>
      <c r="J16" s="408"/>
      <c r="K16" s="408"/>
      <c r="L16" s="408"/>
      <c r="M16" s="408"/>
      <c r="N16" s="408"/>
      <c r="O16" s="408"/>
      <c r="P16" s="408"/>
      <c r="Q16" s="408"/>
      <c r="R16" s="408"/>
      <c r="S16" s="408"/>
      <c r="T16" s="408"/>
      <c r="U16" s="408"/>
      <c r="V16" s="408"/>
      <c r="W16" s="408"/>
      <c r="X16" s="408"/>
      <c r="Y16" s="408"/>
      <c r="Z16" s="408"/>
      <c r="AA16" s="408"/>
      <c r="AB16" s="408"/>
      <c r="AC16" s="408"/>
    </row>
    <row r="17" spans="2:29" ht="18" customHeight="1">
      <c r="B17" s="534" t="s">
        <v>124</v>
      </c>
      <c r="C17" s="15" t="s">
        <v>1</v>
      </c>
      <c r="D17" s="145">
        <v>4118</v>
      </c>
      <c r="E17" s="408"/>
      <c r="F17" s="408"/>
      <c r="G17" s="408"/>
      <c r="H17" s="408"/>
      <c r="I17" s="408"/>
      <c r="J17" s="408"/>
      <c r="K17" s="408"/>
      <c r="L17" s="408"/>
      <c r="M17" s="408"/>
      <c r="N17" s="408"/>
      <c r="O17" s="408"/>
      <c r="P17" s="408"/>
      <c r="Q17" s="408"/>
      <c r="R17" s="408"/>
      <c r="S17" s="408"/>
      <c r="T17" s="408"/>
      <c r="U17" s="408"/>
      <c r="V17" s="408"/>
      <c r="W17" s="408"/>
      <c r="X17" s="408"/>
      <c r="Y17" s="408"/>
      <c r="Z17" s="408"/>
      <c r="AA17" s="408"/>
      <c r="AB17" s="408"/>
      <c r="AC17" s="408"/>
    </row>
    <row r="18" spans="2:29" ht="18" customHeight="1">
      <c r="B18" s="534" t="s">
        <v>130</v>
      </c>
      <c r="C18" s="15" t="s">
        <v>1</v>
      </c>
      <c r="D18" s="145">
        <v>2490</v>
      </c>
      <c r="E18" s="408"/>
      <c r="F18" s="408"/>
      <c r="G18" s="408"/>
      <c r="H18" s="408"/>
      <c r="I18" s="408"/>
      <c r="J18" s="408"/>
      <c r="K18" s="408"/>
      <c r="L18" s="408"/>
      <c r="M18" s="408"/>
      <c r="N18" s="408"/>
      <c r="O18" s="408"/>
      <c r="P18" s="408"/>
      <c r="Q18" s="408"/>
      <c r="R18" s="408"/>
      <c r="S18" s="408"/>
      <c r="T18" s="408"/>
      <c r="U18" s="408"/>
      <c r="V18" s="408"/>
      <c r="W18" s="408"/>
      <c r="X18" s="408"/>
      <c r="Y18" s="408"/>
      <c r="Z18" s="408"/>
      <c r="AA18" s="408"/>
      <c r="AB18" s="408"/>
      <c r="AC18" s="408"/>
    </row>
    <row r="19" spans="2:29" ht="18" customHeight="1">
      <c r="B19" s="534" t="s">
        <v>85</v>
      </c>
      <c r="C19" s="15" t="s">
        <v>49</v>
      </c>
      <c r="D19" s="145">
        <v>11000</v>
      </c>
      <c r="E19" s="408"/>
      <c r="F19" s="408"/>
      <c r="G19" s="408"/>
      <c r="H19" s="408"/>
      <c r="I19" s="408"/>
      <c r="J19" s="408"/>
      <c r="K19" s="408"/>
      <c r="L19" s="408"/>
      <c r="M19" s="408"/>
      <c r="N19" s="408"/>
      <c r="O19" s="408"/>
      <c r="P19" s="408"/>
      <c r="Q19" s="408"/>
      <c r="R19" s="408"/>
      <c r="S19" s="408"/>
      <c r="T19" s="408"/>
      <c r="U19" s="408"/>
      <c r="V19" s="408"/>
      <c r="W19" s="408"/>
      <c r="X19" s="408"/>
      <c r="Y19" s="408"/>
      <c r="Z19" s="408"/>
      <c r="AA19" s="408"/>
      <c r="AB19" s="408"/>
      <c r="AC19" s="408"/>
    </row>
    <row r="20" spans="2:29" ht="18" customHeight="1">
      <c r="B20" s="534" t="s">
        <v>84</v>
      </c>
      <c r="C20" s="15" t="s">
        <v>49</v>
      </c>
      <c r="D20" s="145">
        <v>7000</v>
      </c>
      <c r="E20" s="408"/>
      <c r="F20" s="408"/>
      <c r="G20" s="408"/>
      <c r="H20" s="408"/>
      <c r="I20" s="408"/>
      <c r="J20" s="408"/>
      <c r="K20" s="408"/>
      <c r="L20" s="408"/>
      <c r="M20" s="408"/>
      <c r="N20" s="408"/>
      <c r="O20" s="408"/>
      <c r="P20" s="408"/>
      <c r="Q20" s="408"/>
      <c r="R20" s="408"/>
      <c r="S20" s="408"/>
      <c r="T20" s="408"/>
      <c r="U20" s="408"/>
      <c r="V20" s="408"/>
      <c r="W20" s="408"/>
      <c r="X20" s="408"/>
      <c r="Y20" s="408"/>
      <c r="Z20" s="408"/>
      <c r="AA20" s="408"/>
      <c r="AB20" s="408"/>
      <c r="AC20" s="408"/>
    </row>
    <row r="21" spans="2:29" s="410" customFormat="1" ht="18" customHeight="1">
      <c r="B21" s="534" t="s">
        <v>127</v>
      </c>
      <c r="C21" s="15" t="s">
        <v>0</v>
      </c>
      <c r="D21" s="145">
        <v>14000</v>
      </c>
      <c r="E21" s="409"/>
      <c r="F21" s="409"/>
      <c r="G21" s="409"/>
      <c r="H21" s="409"/>
      <c r="I21" s="409"/>
      <c r="J21" s="409"/>
      <c r="K21" s="409"/>
      <c r="L21" s="409"/>
      <c r="M21" s="409"/>
      <c r="N21" s="409"/>
      <c r="O21" s="409"/>
      <c r="P21" s="409"/>
      <c r="Q21" s="409"/>
      <c r="R21" s="409"/>
      <c r="S21" s="409"/>
      <c r="T21" s="409"/>
      <c r="U21" s="409"/>
      <c r="V21" s="409"/>
      <c r="W21" s="409"/>
      <c r="X21" s="409"/>
      <c r="Y21" s="409"/>
      <c r="Z21" s="409"/>
      <c r="AA21" s="409"/>
      <c r="AB21" s="409"/>
      <c r="AC21" s="409"/>
    </row>
    <row r="22" spans="2:29" s="410" customFormat="1" ht="18" customHeight="1">
      <c r="B22" s="534" t="s">
        <v>297</v>
      </c>
      <c r="C22" s="15" t="s">
        <v>0</v>
      </c>
      <c r="D22" s="145">
        <v>72000</v>
      </c>
      <c r="E22" s="409"/>
      <c r="F22" s="409"/>
      <c r="G22" s="409"/>
      <c r="H22" s="409"/>
      <c r="I22" s="409"/>
      <c r="J22" s="409"/>
      <c r="K22" s="409"/>
      <c r="L22" s="409"/>
      <c r="M22" s="409"/>
      <c r="N22" s="409"/>
      <c r="O22" s="409"/>
      <c r="P22" s="409"/>
      <c r="Q22" s="409"/>
      <c r="R22" s="409"/>
      <c r="S22" s="409"/>
      <c r="T22" s="409"/>
      <c r="U22" s="409"/>
      <c r="V22" s="409"/>
      <c r="W22" s="409"/>
      <c r="X22" s="409"/>
      <c r="Y22" s="409"/>
      <c r="Z22" s="409"/>
      <c r="AA22" s="409"/>
      <c r="AB22" s="409"/>
      <c r="AC22" s="409"/>
    </row>
    <row r="23" spans="2:29" s="410" customFormat="1" ht="18" customHeight="1">
      <c r="B23" s="534" t="s">
        <v>91</v>
      </c>
      <c r="C23" s="15" t="s">
        <v>0</v>
      </c>
      <c r="D23" s="145">
        <v>35700</v>
      </c>
      <c r="E23" s="409"/>
      <c r="F23" s="409"/>
      <c r="G23" s="409"/>
      <c r="H23" s="409"/>
      <c r="I23" s="409"/>
      <c r="J23" s="409"/>
      <c r="K23" s="409"/>
      <c r="L23" s="409"/>
      <c r="M23" s="409"/>
      <c r="N23" s="409"/>
      <c r="O23" s="409"/>
      <c r="P23" s="409"/>
      <c r="Q23" s="409"/>
      <c r="R23" s="409"/>
      <c r="S23" s="409"/>
      <c r="T23" s="409"/>
      <c r="U23" s="409"/>
      <c r="V23" s="409"/>
      <c r="W23" s="409"/>
      <c r="X23" s="409"/>
      <c r="Y23" s="409"/>
      <c r="Z23" s="409"/>
      <c r="AA23" s="409"/>
      <c r="AB23" s="409"/>
      <c r="AC23" s="409"/>
    </row>
    <row r="24" spans="2:29" ht="18" customHeight="1">
      <c r="B24" s="534" t="s">
        <v>315</v>
      </c>
      <c r="C24" s="15" t="s">
        <v>118</v>
      </c>
      <c r="D24" s="145">
        <v>280000</v>
      </c>
      <c r="E24" s="411"/>
      <c r="F24" s="408"/>
      <c r="G24" s="408"/>
      <c r="H24" s="408"/>
      <c r="I24" s="408"/>
      <c r="J24" s="408"/>
      <c r="K24" s="408"/>
      <c r="L24" s="408"/>
      <c r="M24" s="408"/>
      <c r="N24" s="408"/>
      <c r="O24" s="408"/>
      <c r="P24" s="408"/>
      <c r="Q24" s="408"/>
      <c r="R24" s="408"/>
      <c r="S24" s="408"/>
      <c r="T24" s="408"/>
      <c r="U24" s="408"/>
      <c r="V24" s="408"/>
      <c r="W24" s="408"/>
      <c r="X24" s="408"/>
      <c r="Y24" s="408"/>
      <c r="Z24" s="408"/>
      <c r="AA24" s="408"/>
      <c r="AB24" s="408"/>
      <c r="AC24" s="408"/>
    </row>
    <row r="25" spans="2:29" ht="18" customHeight="1">
      <c r="B25" s="534" t="s">
        <v>46</v>
      </c>
      <c r="C25" s="15" t="s">
        <v>57</v>
      </c>
      <c r="D25" s="145">
        <f>[2]EQUIPO!D13</f>
        <v>7000</v>
      </c>
      <c r="E25" s="408"/>
      <c r="F25" s="408"/>
      <c r="G25" s="408"/>
      <c r="H25" s="408"/>
      <c r="I25" s="408"/>
      <c r="J25" s="408"/>
      <c r="K25" s="408"/>
      <c r="L25" s="408"/>
      <c r="M25" s="408"/>
      <c r="N25" s="408"/>
      <c r="O25" s="408"/>
      <c r="P25" s="408"/>
      <c r="Q25" s="408"/>
      <c r="R25" s="408"/>
      <c r="S25" s="408"/>
      <c r="T25" s="408"/>
      <c r="U25" s="408"/>
      <c r="V25" s="408"/>
      <c r="W25" s="408"/>
      <c r="X25" s="408"/>
      <c r="Y25" s="408"/>
      <c r="Z25" s="408"/>
      <c r="AA25" s="408"/>
      <c r="AB25" s="408"/>
      <c r="AC25" s="408"/>
    </row>
    <row r="26" spans="2:29" ht="18" customHeight="1">
      <c r="B26" s="534" t="str">
        <f>'[2]Cto 3500'!A12</f>
        <v>MEZCLADORA DE CONCRETO (1 BULTO)</v>
      </c>
      <c r="C26" s="15" t="s">
        <v>57</v>
      </c>
      <c r="D26" s="145">
        <f>+[2]EQUIPO!D14</f>
        <v>8750</v>
      </c>
      <c r="E26" s="408"/>
      <c r="F26" s="408"/>
      <c r="G26" s="408"/>
      <c r="H26" s="408"/>
      <c r="I26" s="408"/>
      <c r="J26" s="408"/>
      <c r="K26" s="408"/>
      <c r="L26" s="408"/>
      <c r="M26" s="408"/>
      <c r="N26" s="408"/>
      <c r="O26" s="408"/>
      <c r="P26" s="408"/>
      <c r="Q26" s="408"/>
      <c r="R26" s="408"/>
      <c r="S26" s="408"/>
      <c r="T26" s="408"/>
      <c r="U26" s="408"/>
      <c r="V26" s="408"/>
      <c r="W26" s="408"/>
      <c r="X26" s="408"/>
      <c r="Y26" s="408"/>
      <c r="Z26" s="408"/>
      <c r="AA26" s="408"/>
      <c r="AB26" s="408"/>
      <c r="AC26" s="408"/>
    </row>
    <row r="27" spans="2:29" ht="18" customHeight="1">
      <c r="B27" s="534" t="s">
        <v>43</v>
      </c>
      <c r="C27" s="15" t="s">
        <v>57</v>
      </c>
      <c r="D27" s="145">
        <f>[2]EQUIPO!D15</f>
        <v>4500</v>
      </c>
      <c r="E27" s="408"/>
      <c r="F27" s="408"/>
      <c r="G27" s="408"/>
      <c r="H27" s="408"/>
      <c r="I27" s="408"/>
      <c r="J27" s="408"/>
      <c r="K27" s="408"/>
      <c r="L27" s="408"/>
      <c r="M27" s="408"/>
      <c r="N27" s="408"/>
      <c r="O27" s="408"/>
      <c r="P27" s="408"/>
      <c r="Q27" s="408"/>
      <c r="R27" s="408"/>
      <c r="S27" s="408"/>
      <c r="T27" s="408"/>
      <c r="U27" s="408"/>
      <c r="V27" s="408"/>
      <c r="W27" s="408"/>
      <c r="X27" s="408"/>
      <c r="Y27" s="408"/>
      <c r="Z27" s="408"/>
      <c r="AA27" s="408"/>
      <c r="AB27" s="408"/>
      <c r="AC27" s="408"/>
    </row>
    <row r="28" spans="2:29" ht="18" customHeight="1">
      <c r="B28" s="534" t="s">
        <v>45</v>
      </c>
      <c r="C28" s="15" t="s">
        <v>57</v>
      </c>
      <c r="D28" s="145">
        <f>[2]EQUIPO!D16</f>
        <v>1000</v>
      </c>
      <c r="E28" s="408"/>
      <c r="F28" s="408"/>
      <c r="G28" s="408"/>
      <c r="H28" s="408"/>
      <c r="I28" s="408"/>
      <c r="J28" s="408"/>
      <c r="K28" s="408"/>
      <c r="L28" s="408"/>
      <c r="M28" s="408"/>
      <c r="N28" s="408"/>
      <c r="O28" s="408"/>
      <c r="P28" s="408"/>
      <c r="Q28" s="408"/>
      <c r="R28" s="408"/>
      <c r="S28" s="408"/>
      <c r="T28" s="408"/>
      <c r="U28" s="408"/>
      <c r="V28" s="408"/>
      <c r="W28" s="408"/>
      <c r="X28" s="408"/>
      <c r="Y28" s="408"/>
      <c r="Z28" s="408"/>
      <c r="AA28" s="408"/>
      <c r="AB28" s="408"/>
      <c r="AC28" s="408"/>
    </row>
    <row r="29" spans="2:29" ht="22.5" customHeight="1">
      <c r="B29" s="534" t="s">
        <v>93</v>
      </c>
      <c r="C29" s="15" t="s">
        <v>57</v>
      </c>
      <c r="D29" s="145">
        <v>50000</v>
      </c>
      <c r="E29" s="408"/>
      <c r="F29" s="408"/>
      <c r="G29" s="408"/>
      <c r="H29" s="408"/>
      <c r="I29" s="408"/>
      <c r="J29" s="408"/>
      <c r="K29" s="408"/>
      <c r="L29" s="408"/>
      <c r="M29" s="408"/>
      <c r="N29" s="408"/>
      <c r="O29" s="408"/>
      <c r="P29" s="408"/>
      <c r="Q29" s="408"/>
      <c r="R29" s="408"/>
      <c r="S29" s="408"/>
      <c r="T29" s="408"/>
      <c r="U29" s="408"/>
      <c r="V29" s="408"/>
      <c r="W29" s="408"/>
      <c r="X29" s="408"/>
      <c r="Y29" s="408"/>
      <c r="Z29" s="408"/>
      <c r="AA29" s="408"/>
      <c r="AB29" s="408"/>
      <c r="AC29" s="408"/>
    </row>
    <row r="30" spans="2:29" ht="18" customHeight="1">
      <c r="B30" s="534" t="s">
        <v>314</v>
      </c>
      <c r="C30" s="15" t="s">
        <v>0</v>
      </c>
      <c r="D30" s="145">
        <v>225000</v>
      </c>
      <c r="E30" s="408"/>
      <c r="F30" s="408"/>
      <c r="G30" s="408"/>
      <c r="H30" s="408"/>
      <c r="I30" s="408"/>
      <c r="J30" s="408"/>
      <c r="K30" s="408"/>
      <c r="L30" s="408"/>
      <c r="M30" s="408"/>
      <c r="N30" s="408"/>
      <c r="O30" s="408"/>
      <c r="P30" s="408"/>
      <c r="Q30" s="408"/>
      <c r="R30" s="408"/>
      <c r="S30" s="408"/>
      <c r="T30" s="408"/>
      <c r="U30" s="408"/>
      <c r="V30" s="408"/>
      <c r="W30" s="408"/>
      <c r="X30" s="408"/>
      <c r="Y30" s="408"/>
      <c r="Z30" s="408"/>
      <c r="AA30" s="408"/>
      <c r="AB30" s="408"/>
      <c r="AC30" s="408"/>
    </row>
    <row r="31" spans="2:29" ht="18" customHeight="1">
      <c r="B31" s="534" t="s">
        <v>78</v>
      </c>
      <c r="C31" s="15" t="s">
        <v>57</v>
      </c>
      <c r="D31" s="145">
        <f>'MANO DE OBRA'!D34</f>
        <v>53123.8</v>
      </c>
      <c r="E31" s="408"/>
      <c r="F31" s="411"/>
      <c r="G31" s="408"/>
      <c r="H31" s="408"/>
      <c r="I31" s="408"/>
      <c r="J31" s="408"/>
      <c r="K31" s="408"/>
      <c r="L31" s="408"/>
      <c r="M31" s="408"/>
      <c r="N31" s="408"/>
      <c r="O31" s="408"/>
      <c r="P31" s="408"/>
      <c r="Q31" s="408"/>
      <c r="R31" s="408"/>
      <c r="S31" s="408"/>
      <c r="T31" s="408"/>
      <c r="U31" s="408"/>
      <c r="V31" s="408"/>
      <c r="W31" s="408"/>
      <c r="X31" s="408"/>
      <c r="Y31" s="408"/>
      <c r="Z31" s="408"/>
      <c r="AA31" s="408"/>
      <c r="AB31" s="408"/>
      <c r="AC31" s="408"/>
    </row>
    <row r="32" spans="2:29" ht="18" customHeight="1">
      <c r="B32" s="534" t="s">
        <v>79</v>
      </c>
      <c r="C32" s="15" t="s">
        <v>57</v>
      </c>
      <c r="D32" s="145">
        <f>'MANO DE OBRA'!D35</f>
        <v>42499.040000000008</v>
      </c>
      <c r="E32" s="408"/>
      <c r="F32" s="408"/>
      <c r="G32" s="408"/>
      <c r="H32" s="408"/>
      <c r="I32" s="408"/>
      <c r="J32" s="408"/>
      <c r="K32" s="408"/>
      <c r="L32" s="408"/>
      <c r="M32" s="408"/>
      <c r="N32" s="408"/>
      <c r="O32" s="408"/>
      <c r="P32" s="408"/>
      <c r="Q32" s="408"/>
      <c r="R32" s="408"/>
      <c r="S32" s="408"/>
      <c r="T32" s="408"/>
      <c r="U32" s="408"/>
      <c r="V32" s="408"/>
      <c r="W32" s="408"/>
      <c r="X32" s="408"/>
      <c r="Y32" s="408"/>
      <c r="Z32" s="408"/>
      <c r="AA32" s="408"/>
      <c r="AB32" s="408"/>
      <c r="AC32" s="408"/>
    </row>
    <row r="33" spans="2:6" ht="18" customHeight="1">
      <c r="B33" s="534" t="s">
        <v>80</v>
      </c>
      <c r="C33" s="15" t="s">
        <v>57</v>
      </c>
      <c r="D33" s="145">
        <f>'MANO DE OBRA'!D36</f>
        <v>31874.28</v>
      </c>
      <c r="F33" s="412"/>
    </row>
    <row r="34" spans="2:6" s="410" customFormat="1" ht="18" customHeight="1">
      <c r="B34" s="534" t="s">
        <v>106</v>
      </c>
      <c r="C34" s="15" t="s">
        <v>0</v>
      </c>
      <c r="D34" s="145">
        <f>70000*1.19</f>
        <v>83300</v>
      </c>
    </row>
    <row r="35" spans="2:6" ht="18" customHeight="1">
      <c r="B35" s="413"/>
      <c r="C35" s="413"/>
      <c r="D35" s="414"/>
    </row>
    <row r="36" spans="2:6">
      <c r="D36" s="415"/>
    </row>
  </sheetData>
  <sortState xmlns:xlrd2="http://schemas.microsoft.com/office/spreadsheetml/2017/richdata2" ref="B12:D39">
    <sortCondition ref="B11"/>
  </sortState>
  <mergeCells count="4">
    <mergeCell ref="C5:C6"/>
    <mergeCell ref="D5:D6"/>
    <mergeCell ref="B1:D1"/>
    <mergeCell ref="B2:D2"/>
  </mergeCells>
  <pageMargins left="0.69" right="0.31496062992125984" top="0.85069444444444442" bottom="1.0329861111111112" header="0.31496062992125984" footer="0.31496062992125984"/>
  <pageSetup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43</vt:i4>
      </vt:variant>
      <vt:variant>
        <vt:lpstr>Rangos con nombre</vt:lpstr>
      </vt:variant>
      <vt:variant>
        <vt:i4>41</vt:i4>
      </vt:variant>
    </vt:vector>
  </HeadingPairs>
  <TitlesOfParts>
    <vt:vector size="84" baseType="lpstr">
      <vt:lpstr>CRONOGRAMA</vt:lpstr>
      <vt:lpstr>DISCRIMINACIÓN AIU</vt:lpstr>
      <vt:lpstr>FACTOR MULTIPLICADOR</vt:lpstr>
      <vt:lpstr>DISCRIMINACION INTER</vt:lpstr>
      <vt:lpstr>DISCRIMINACIÓN AIU.</vt:lpstr>
      <vt:lpstr>CARACTERIZACIÓN</vt:lpstr>
      <vt:lpstr>PRESUPUESTO</vt:lpstr>
      <vt:lpstr>1 Conformación </vt:lpstr>
      <vt:lpstr>2 Afirmado</vt:lpstr>
      <vt:lpstr>3 Transporte</vt:lpstr>
      <vt:lpstr>CANTIDADES</vt:lpstr>
      <vt:lpstr>PROPUESTA ECONOMICA</vt:lpstr>
      <vt:lpstr>2,8</vt:lpstr>
      <vt:lpstr>1.1</vt:lpstr>
      <vt:lpstr>2.1</vt:lpstr>
      <vt:lpstr>2.2</vt:lpstr>
      <vt:lpstr>2.3</vt:lpstr>
      <vt:lpstr>2.4.</vt:lpstr>
      <vt:lpstr>2.5.</vt:lpstr>
      <vt:lpstr>2.6.</vt:lpstr>
      <vt:lpstr>2.7.</vt:lpstr>
      <vt:lpstr>2.8.</vt:lpstr>
      <vt:lpstr>2.9</vt:lpstr>
      <vt:lpstr>3.1</vt:lpstr>
      <vt:lpstr>3.2</vt:lpstr>
      <vt:lpstr>3.3</vt:lpstr>
      <vt:lpstr>3.4</vt:lpstr>
      <vt:lpstr>3.5.</vt:lpstr>
      <vt:lpstr>3.6</vt:lpstr>
      <vt:lpstr>3.7</vt:lpstr>
      <vt:lpstr>4.1</vt:lpstr>
      <vt:lpstr>4.2</vt:lpstr>
      <vt:lpstr>4.3</vt:lpstr>
      <vt:lpstr>4.4</vt:lpstr>
      <vt:lpstr>4.5</vt:lpstr>
      <vt:lpstr>4.6</vt:lpstr>
      <vt:lpstr>Cto 3000</vt:lpstr>
      <vt:lpstr> Cto2500</vt:lpstr>
      <vt:lpstr>Cto 2000</vt:lpstr>
      <vt:lpstr>TRANSPORTE</vt:lpstr>
      <vt:lpstr>EQUIPO</vt:lpstr>
      <vt:lpstr>MANO DE OBRA</vt:lpstr>
      <vt:lpstr>Despiece de Insumos</vt:lpstr>
      <vt:lpstr>' Cto2500'!Área_de_impresión</vt:lpstr>
      <vt:lpstr>'1 Conformación '!Área_de_impresión</vt:lpstr>
      <vt:lpstr>'1.1'!Área_de_impresión</vt:lpstr>
      <vt:lpstr>'2 Afirmado'!Área_de_impresión</vt:lpstr>
      <vt:lpstr>'2,8'!Área_de_impresión</vt:lpstr>
      <vt:lpstr>'2.1'!Área_de_impresión</vt:lpstr>
      <vt:lpstr>'2.2'!Área_de_impresión</vt:lpstr>
      <vt:lpstr>'2.3'!Área_de_impresión</vt:lpstr>
      <vt:lpstr>'2.4.'!Área_de_impresión</vt:lpstr>
      <vt:lpstr>'2.6.'!Área_de_impresión</vt:lpstr>
      <vt:lpstr>'2.7.'!Área_de_impresión</vt:lpstr>
      <vt:lpstr>'2.8.'!Área_de_impresión</vt:lpstr>
      <vt:lpstr>'2.9'!Área_de_impresión</vt:lpstr>
      <vt:lpstr>'3 Transporte'!Área_de_impresión</vt:lpstr>
      <vt:lpstr>'3.2'!Área_de_impresión</vt:lpstr>
      <vt:lpstr>'3.3'!Área_de_impresión</vt:lpstr>
      <vt:lpstr>'3.4'!Área_de_impresión</vt:lpstr>
      <vt:lpstr>'3.5.'!Área_de_impresión</vt:lpstr>
      <vt:lpstr>'3.6'!Área_de_impresión</vt:lpstr>
      <vt:lpstr>'3.7'!Área_de_impresión</vt:lpstr>
      <vt:lpstr>'4.1'!Área_de_impresión</vt:lpstr>
      <vt:lpstr>'4.3'!Área_de_impresión</vt:lpstr>
      <vt:lpstr>'4.4'!Área_de_impresión</vt:lpstr>
      <vt:lpstr>'4.5'!Área_de_impresión</vt:lpstr>
      <vt:lpstr>'4.6'!Área_de_impresión</vt:lpstr>
      <vt:lpstr>CANTIDADES!Área_de_impresión</vt:lpstr>
      <vt:lpstr>CARACTERIZACIÓN!Área_de_impresión</vt:lpstr>
      <vt:lpstr>CRONOGRAMA!Área_de_impresión</vt:lpstr>
      <vt:lpstr>'Cto 2000'!Área_de_impresión</vt:lpstr>
      <vt:lpstr>'Cto 3000'!Área_de_impresión</vt:lpstr>
      <vt:lpstr>'Despiece de Insumos'!Área_de_impresión</vt:lpstr>
      <vt:lpstr>'DISCRIMINACIÓN AIU'!Área_de_impresión</vt:lpstr>
      <vt:lpstr>'DISCRIMINACIÓN AIU.'!Área_de_impresión</vt:lpstr>
      <vt:lpstr>'DISCRIMINACION INTER'!Área_de_impresión</vt:lpstr>
      <vt:lpstr>EQUIPO!Área_de_impresión</vt:lpstr>
      <vt:lpstr>'FACTOR MULTIPLICADOR'!Área_de_impresión</vt:lpstr>
      <vt:lpstr>'MANO DE OBRA'!Área_de_impresión</vt:lpstr>
      <vt:lpstr>PRESUPUESTO!Área_de_impresión</vt:lpstr>
      <vt:lpstr>'PROPUESTA ECONOMICA'!Área_de_impresión</vt:lpstr>
      <vt:lpstr>TRANSPORTE!Área_de_impresión</vt:lpstr>
      <vt:lpstr>'Despiece de Insumos'!Títulos_a_imprimir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GUILLERMO</dc:creator>
  <cp:lastModifiedBy>USERTS</cp:lastModifiedBy>
  <cp:lastPrinted>2025-05-09T14:33:04Z</cp:lastPrinted>
  <dcterms:created xsi:type="dcterms:W3CDTF">2012-03-29T22:02:36Z</dcterms:created>
  <dcterms:modified xsi:type="dcterms:W3CDTF">2026-09-07T19:32:03Z</dcterms:modified>
</cp:coreProperties>
</file>