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6d02ec6cb43660f0/PC ASUS/Mateo/SABANETA 2020/2026/SEGURIDAD ALIMENTARIA/"/>
    </mc:Choice>
  </mc:AlternateContent>
  <xr:revisionPtr revIDLastSave="4" documentId="13_ncr:1_{06F6801F-ECFF-7C48-8718-195136663495}" xr6:coauthVersionLast="47" xr6:coauthVersionMax="47" xr10:uidLastSave="{10A05297-F5FC-42E8-A105-C94A79110B9A}"/>
  <bookViews>
    <workbookView xWindow="-90" yWindow="0" windowWidth="9780" windowHeight="10170" xr2:uid="{00000000-000D-0000-FFFF-FFFF00000000}"/>
  </bookViews>
  <sheets>
    <sheet name="2026" sheetId="1" r:id="rId1"/>
  </sheets>
  <externalReferences>
    <externalReference r:id="rId2"/>
  </externalReferences>
  <definedNames>
    <definedName name="_xlnm.Print_Area" localSheetId="0">'2026'!$A$1:$W$10</definedName>
    <definedName name="SM">'[1]Datos Básicos'!$B$5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" i="1" l="1"/>
  <c r="V3" i="1"/>
  <c r="S10" i="1"/>
  <c r="R10" i="1"/>
  <c r="Q10" i="1"/>
  <c r="C10" i="1"/>
  <c r="B10" i="1"/>
  <c r="P9" i="1"/>
  <c r="O9" i="1"/>
  <c r="N9" i="1"/>
  <c r="M9" i="1"/>
  <c r="I9" i="1"/>
  <c r="H9" i="1"/>
  <c r="G9" i="1"/>
  <c r="E9" i="1"/>
  <c r="D9" i="1"/>
  <c r="J9" i="1" s="1"/>
  <c r="K9" i="1" s="1"/>
  <c r="P8" i="1"/>
  <c r="O8" i="1"/>
  <c r="N8" i="1"/>
  <c r="M8" i="1"/>
  <c r="I8" i="1"/>
  <c r="H8" i="1"/>
  <c r="G8" i="1"/>
  <c r="E8" i="1"/>
  <c r="D8" i="1"/>
  <c r="J8" i="1" s="1"/>
  <c r="K8" i="1" s="1"/>
  <c r="P7" i="1"/>
  <c r="O7" i="1"/>
  <c r="N7" i="1"/>
  <c r="M7" i="1"/>
  <c r="I7" i="1"/>
  <c r="H7" i="1"/>
  <c r="G7" i="1"/>
  <c r="E7" i="1"/>
  <c r="D7" i="1"/>
  <c r="L7" i="1" s="1"/>
  <c r="P6" i="1"/>
  <c r="O6" i="1"/>
  <c r="N6" i="1"/>
  <c r="M6" i="1"/>
  <c r="I6" i="1"/>
  <c r="H6" i="1"/>
  <c r="G6" i="1"/>
  <c r="E6" i="1"/>
  <c r="D6" i="1"/>
  <c r="L6" i="1" s="1"/>
  <c r="P5" i="1"/>
  <c r="O5" i="1"/>
  <c r="N5" i="1"/>
  <c r="M5" i="1"/>
  <c r="J5" i="1"/>
  <c r="K5" i="1" s="1"/>
  <c r="I5" i="1"/>
  <c r="H5" i="1"/>
  <c r="G5" i="1"/>
  <c r="F5" i="1"/>
  <c r="E5" i="1"/>
  <c r="D5" i="1"/>
  <c r="P4" i="1"/>
  <c r="P10" i="1" s="1"/>
  <c r="O4" i="1"/>
  <c r="N4" i="1"/>
  <c r="M4" i="1"/>
  <c r="I4" i="1"/>
  <c r="H4" i="1"/>
  <c r="H10" i="1" s="1"/>
  <c r="G4" i="1"/>
  <c r="E4" i="1"/>
  <c r="D4" i="1"/>
  <c r="J4" i="1" s="1"/>
  <c r="K4" i="1" s="1"/>
  <c r="P3" i="1"/>
  <c r="O3" i="1"/>
  <c r="N3" i="1"/>
  <c r="N10" i="1" s="1"/>
  <c r="M3" i="1"/>
  <c r="I3" i="1"/>
  <c r="I10" i="1" s="1"/>
  <c r="H3" i="1"/>
  <c r="G3" i="1"/>
  <c r="G10" i="1" s="1"/>
  <c r="E3" i="1"/>
  <c r="E10" i="1" s="1"/>
  <c r="D3" i="1"/>
  <c r="L3" i="1" s="1"/>
  <c r="F6" i="1" l="1"/>
  <c r="J6" i="1"/>
  <c r="K6" i="1" s="1"/>
  <c r="M10" i="1"/>
  <c r="O10" i="1"/>
  <c r="T6" i="1"/>
  <c r="L4" i="1"/>
  <c r="T4" i="1" s="1"/>
  <c r="L8" i="1"/>
  <c r="F3" i="1"/>
  <c r="J3" i="1"/>
  <c r="L5" i="1"/>
  <c r="T5" i="1" s="1"/>
  <c r="F7" i="1"/>
  <c r="J7" i="1"/>
  <c r="K7" i="1" s="1"/>
  <c r="T8" i="1"/>
  <c r="L9" i="1"/>
  <c r="D10" i="1"/>
  <c r="F4" i="1"/>
  <c r="F8" i="1"/>
  <c r="T9" i="1"/>
  <c r="F9" i="1"/>
  <c r="L10" i="1" l="1"/>
  <c r="T7" i="1"/>
  <c r="U5" i="1"/>
  <c r="V5" i="1"/>
  <c r="W5" i="1" s="1"/>
  <c r="F10" i="1"/>
  <c r="U9" i="1"/>
  <c r="V9" i="1" s="1"/>
  <c r="W9" i="1" s="1"/>
  <c r="U7" i="1"/>
  <c r="V7" i="1" s="1"/>
  <c r="W7" i="1" s="1"/>
  <c r="U8" i="1"/>
  <c r="W8" i="1" s="1"/>
  <c r="U6" i="1"/>
  <c r="V6" i="1" s="1"/>
  <c r="W6" i="1" s="1"/>
  <c r="U4" i="1"/>
  <c r="V4" i="1" s="1"/>
  <c r="W4" i="1" s="1"/>
  <c r="J10" i="1"/>
  <c r="K3" i="1"/>
  <c r="K10" i="1" s="1"/>
  <c r="T3" i="1"/>
  <c r="U3" i="1" l="1"/>
  <c r="U10" i="1" s="1"/>
  <c r="T10" i="1"/>
  <c r="W3" i="1" l="1"/>
  <c r="W10" i="1" s="1"/>
  <c r="V10" i="1"/>
</calcChain>
</file>

<file path=xl/sharedStrings.xml><?xml version="1.0" encoding="utf-8"?>
<sst xmlns="http://schemas.openxmlformats.org/spreadsheetml/2006/main" count="32" uniqueCount="31">
  <si>
    <t>LIQUIDACION DE UN EMPLEADO</t>
  </si>
  <si>
    <t xml:space="preserve">NOMBRE </t>
  </si>
  <si>
    <t xml:space="preserve">SALARIO </t>
  </si>
  <si>
    <t xml:space="preserve">AUX TRAN </t>
  </si>
  <si>
    <t xml:space="preserve">DEVENGADO </t>
  </si>
  <si>
    <t xml:space="preserve">DEDUCIONES   </t>
  </si>
  <si>
    <t>NETO PAGADO</t>
  </si>
  <si>
    <t xml:space="preserve">    E.P.S </t>
  </si>
  <si>
    <t xml:space="preserve">PENSION </t>
  </si>
  <si>
    <t xml:space="preserve">    A.R.L </t>
  </si>
  <si>
    <t xml:space="preserve">CESANTIAS </t>
  </si>
  <si>
    <t>INTERES CESANTIAS</t>
  </si>
  <si>
    <t xml:space="preserve">PRIMA </t>
  </si>
  <si>
    <t>VACACIONES</t>
  </si>
  <si>
    <t xml:space="preserve">CAJA DE COMP </t>
  </si>
  <si>
    <t xml:space="preserve">   I.C.B.F </t>
  </si>
  <si>
    <t xml:space="preserve">SENA </t>
  </si>
  <si>
    <t>DOTACION</t>
  </si>
  <si>
    <t>EXAMEN DE SALUD OCUPACIONAL</t>
  </si>
  <si>
    <t>OTROS</t>
  </si>
  <si>
    <t>TOTAL  MENSUAL</t>
  </si>
  <si>
    <t>VALOR TOTAL ADMINISTRACIÓN</t>
  </si>
  <si>
    <t>VALOR SALARIO TOTAL MENSUAL+ADMON</t>
  </si>
  <si>
    <t>TOTAL ANUAL</t>
  </si>
  <si>
    <t>COCINERA 1</t>
  </si>
  <si>
    <t>COCINERA 2</t>
  </si>
  <si>
    <t>COCINERA 3</t>
  </si>
  <si>
    <t>COCINERA 4</t>
  </si>
  <si>
    <t>COCINERA 5</t>
  </si>
  <si>
    <t>MENSAJERO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</si>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</sst>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&quot;$&quot;* #,##0_-;\-&quot;$&quot;* #,##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 shrinkToFit="1"/>
      <protection locked="0"/>
    </xf>
    <xf numFmtId="165" fontId="3" fillId="0" borderId="6" xfId="2" applyNumberFormat="1" applyFont="1" applyBorder="1" applyAlignment="1">
      <alignment horizontal="center" vertical="center"/>
    </xf>
    <xf numFmtId="166" fontId="3" fillId="0" borderId="6" xfId="2" applyNumberFormat="1" applyFont="1" applyBorder="1" applyAlignment="1">
      <alignment horizontal="center" vertical="center"/>
    </xf>
    <xf numFmtId="165" fontId="3" fillId="0" borderId="7" xfId="2" applyNumberFormat="1" applyFont="1" applyBorder="1" applyAlignment="1">
      <alignment horizontal="center" vertical="center"/>
    </xf>
    <xf numFmtId="165" fontId="3" fillId="0" borderId="7" xfId="2" applyNumberFormat="1" applyFont="1" applyFill="1" applyBorder="1" applyAlignment="1">
      <alignment horizontal="center" vertical="center"/>
    </xf>
    <xf numFmtId="44" fontId="3" fillId="0" borderId="7" xfId="2" applyNumberFormat="1" applyFont="1" applyFill="1" applyBorder="1" applyAlignment="1">
      <alignment horizontal="center" vertical="center"/>
    </xf>
    <xf numFmtId="165" fontId="3" fillId="0" borderId="8" xfId="2" applyNumberFormat="1" applyFont="1" applyBorder="1" applyAlignment="1">
      <alignment horizontal="center" vertical="center"/>
    </xf>
    <xf numFmtId="41" fontId="3" fillId="0" borderId="0" xfId="1" applyFont="1"/>
    <xf numFmtId="41" fontId="0" fillId="0" borderId="0" xfId="1" applyFont="1"/>
    <xf numFmtId="41" fontId="0" fillId="0" borderId="0" xfId="0" applyNumberFormat="1"/>
    <xf numFmtId="165" fontId="0" fillId="0" borderId="0" xfId="0" applyNumberFormat="1"/>
    <xf numFmtId="44" fontId="0" fillId="0" borderId="0" xfId="0" applyNumberFormat="1"/>
    <xf numFmtId="165" fontId="3" fillId="2" borderId="7" xfId="2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 applyProtection="1">
      <alignment horizontal="center" vertical="center" shrinkToFit="1"/>
      <protection locked="0"/>
    </xf>
    <xf numFmtId="165" fontId="2" fillId="0" borderId="1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5" fontId="2" fillId="0" borderId="11" xfId="0" applyNumberFormat="1" applyFont="1" applyFill="1" applyBorder="1" applyAlignment="1">
      <alignment horizontal="center" vertical="center"/>
    </xf>
  </cellXfs>
  <cellStyles count="3">
    <cellStyle name="Comma [0]" xfId="1" builtinId="6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undaci&#243;n\Downloads\Copia%20de%20nomin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Calculos"/>
      <sheetName val="Nomina"/>
    </sheetNames>
    <sheetDataSet>
      <sheetData sheetId="0">
        <row r="5">
          <cell r="B5">
            <v>689454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2"/>
  <sheetViews>
    <sheetView tabSelected="1" zoomScale="46" zoomScaleNormal="70" zoomScaleSheetLayoutView="70" workbookViewId="0">
      <selection activeCell="Y9" sqref="Y9:Y10"/>
    </sheetView>
  </sheetViews>
  <sheetFormatPr defaultColWidth="10.81640625" defaultRowHeight="14.5" x14ac:dyDescent="0.35"/>
  <cols>
    <col min="1" max="1" width="17.6328125" bestFit="1" customWidth="1"/>
    <col min="2" max="2" width="36.453125" customWidth="1"/>
    <col min="3" max="3" width="20.453125" customWidth="1"/>
    <col min="4" max="4" width="22.36328125" customWidth="1"/>
    <col min="5" max="5" width="22.6328125" customWidth="1"/>
    <col min="6" max="6" width="25.36328125" customWidth="1"/>
    <col min="7" max="7" width="20.453125" customWidth="1"/>
    <col min="8" max="8" width="21" customWidth="1"/>
    <col min="9" max="9" width="19" customWidth="1"/>
    <col min="10" max="10" width="20.36328125" customWidth="1"/>
    <col min="11" max="11" width="18.1796875" customWidth="1"/>
    <col min="12" max="12" width="21.6328125" customWidth="1"/>
    <col min="13" max="13" width="21.36328125" customWidth="1"/>
    <col min="14" max="14" width="19.36328125" customWidth="1"/>
    <col min="15" max="15" width="16.36328125" customWidth="1"/>
    <col min="16" max="17" width="20.1796875" customWidth="1"/>
    <col min="18" max="19" width="24.81640625" customWidth="1"/>
    <col min="20" max="20" width="20.1796875" customWidth="1"/>
    <col min="21" max="21" width="31.453125" customWidth="1"/>
    <col min="22" max="22" width="34" customWidth="1"/>
    <col min="23" max="23" width="26" customWidth="1"/>
    <col min="25" max="25" width="20.54296875" bestFit="1" customWidth="1"/>
    <col min="26" max="26" width="17" bestFit="1" customWidth="1"/>
  </cols>
  <sheetData>
    <row r="1" spans="1:26" ht="36.75" customHeight="1" x14ac:dyDescent="0.4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1"/>
      <c r="T1" s="1"/>
      <c r="U1" s="1"/>
      <c r="V1" s="1"/>
      <c r="W1" s="2"/>
      <c r="X1" s="3"/>
    </row>
    <row r="2" spans="1:26" ht="98.25" customHeight="1" x14ac:dyDescent="0.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7" t="s">
        <v>23</v>
      </c>
      <c r="X2" s="3"/>
    </row>
    <row r="3" spans="1:26" ht="104.25" customHeight="1" x14ac:dyDescent="0.4">
      <c r="A3" s="8" t="s">
        <v>24</v>
      </c>
      <c r="B3" s="9">
        <v>1750905</v>
      </c>
      <c r="C3" s="9">
        <v>249095</v>
      </c>
      <c r="D3" s="9">
        <f>+B3+C3</f>
        <v>2000000</v>
      </c>
      <c r="E3" s="9">
        <f>+B3*8%</f>
        <v>140072.4</v>
      </c>
      <c r="F3" s="9">
        <f>+D3-E3</f>
        <v>1859927.6</v>
      </c>
      <c r="G3" s="9">
        <f>+B3*8.5%</f>
        <v>148826.92500000002</v>
      </c>
      <c r="H3" s="9">
        <f>+B3*12%</f>
        <v>210108.6</v>
      </c>
      <c r="I3" s="9">
        <f>+B3*2.436%</f>
        <v>42652.0458</v>
      </c>
      <c r="J3" s="9">
        <f>+D3/360*30</f>
        <v>166666.66666666666</v>
      </c>
      <c r="K3" s="10">
        <f>+J3*12%</f>
        <v>19999.999999999996</v>
      </c>
      <c r="L3" s="9">
        <f>+D3/360*30</f>
        <v>166666.66666666666</v>
      </c>
      <c r="M3" s="9">
        <f>+B3/720*30</f>
        <v>72954.375</v>
      </c>
      <c r="N3" s="9">
        <f>+B3*4%</f>
        <v>70036.2</v>
      </c>
      <c r="O3" s="9">
        <f>+B3*3%</f>
        <v>52527.15</v>
      </c>
      <c r="P3" s="9">
        <f>+B3*2%</f>
        <v>35018.1</v>
      </c>
      <c r="Q3" s="9">
        <v>75000</v>
      </c>
      <c r="R3" s="11">
        <v>27000</v>
      </c>
      <c r="S3" s="12"/>
      <c r="T3" s="12">
        <f>+D3+G3+H3+I3+J3+K3+L3+M3+N3+O3+P3+Q3+R3+S3</f>
        <v>3087456.7291333331</v>
      </c>
      <c r="U3" s="13">
        <f>T3*11%</f>
        <v>339620.24020466662</v>
      </c>
      <c r="V3" s="11">
        <f>ROUND(T3+U3,0)</f>
        <v>3427077</v>
      </c>
      <c r="W3" s="14">
        <f>+V3*12</f>
        <v>41124924</v>
      </c>
      <c r="X3" s="15"/>
      <c r="Y3" s="16"/>
      <c r="Z3" s="17"/>
    </row>
    <row r="4" spans="1:26" ht="98.25" customHeight="1" x14ac:dyDescent="0.4">
      <c r="A4" s="8" t="s">
        <v>25</v>
      </c>
      <c r="B4" s="9">
        <v>1750905</v>
      </c>
      <c r="C4" s="9">
        <v>249095</v>
      </c>
      <c r="D4" s="9">
        <f>+B4+C4</f>
        <v>2000000</v>
      </c>
      <c r="E4" s="9">
        <f t="shared" ref="E4:E9" si="0">+B4*8%</f>
        <v>140072.4</v>
      </c>
      <c r="F4" s="9">
        <f t="shared" ref="F4:F9" si="1">+D4-E4</f>
        <v>1859927.6</v>
      </c>
      <c r="G4" s="9">
        <f t="shared" ref="G4:G9" si="2">+B4*8.5%</f>
        <v>148826.92500000002</v>
      </c>
      <c r="H4" s="9">
        <f t="shared" ref="H4:H9" si="3">+B4*12%</f>
        <v>210108.6</v>
      </c>
      <c r="I4" s="9">
        <f t="shared" ref="I4:I7" si="4">+B4*2.436%</f>
        <v>42652.0458</v>
      </c>
      <c r="J4" s="9">
        <f t="shared" ref="J4:J9" si="5">+D4/360*30</f>
        <v>166666.66666666666</v>
      </c>
      <c r="K4" s="10">
        <f t="shared" ref="K4:K9" si="6">+J4*12%</f>
        <v>19999.999999999996</v>
      </c>
      <c r="L4" s="9">
        <f t="shared" ref="L4:L9" si="7">+D4/360*30</f>
        <v>166666.66666666666</v>
      </c>
      <c r="M4" s="9">
        <f t="shared" ref="M4:M9" si="8">+B4/720*30</f>
        <v>72954.375</v>
      </c>
      <c r="N4" s="9">
        <f t="shared" ref="N4:N9" si="9">+B4*4%</f>
        <v>70036.2</v>
      </c>
      <c r="O4" s="9">
        <f t="shared" ref="O4:O9" si="10">+B4*3%</f>
        <v>52527.15</v>
      </c>
      <c r="P4" s="9">
        <f t="shared" ref="P4:P9" si="11">+B4*2%</f>
        <v>35018.1</v>
      </c>
      <c r="Q4" s="9">
        <v>75000</v>
      </c>
      <c r="R4" s="11">
        <v>27000</v>
      </c>
      <c r="S4" s="12"/>
      <c r="T4" s="12">
        <f t="shared" ref="T4:T9" si="12">+D4+G4+H4+I4+J4+K4+L4+M4+N4+O4+P4+Q4+R4+S4</f>
        <v>3087456.7291333331</v>
      </c>
      <c r="U4" s="12">
        <f t="shared" ref="U4:U8" si="13">T4*11%</f>
        <v>339620.24020466662</v>
      </c>
      <c r="V4" s="11">
        <f t="shared" ref="V4:V9" si="14">T4+U4</f>
        <v>3427076.9693379998</v>
      </c>
      <c r="W4" s="14">
        <f t="shared" ref="W4:W9" si="15">+V4*12</f>
        <v>41124923.632055998</v>
      </c>
      <c r="X4" s="3"/>
      <c r="Y4" s="18"/>
      <c r="Z4" s="19"/>
    </row>
    <row r="5" spans="1:26" ht="96.75" customHeight="1" x14ac:dyDescent="0.4">
      <c r="A5" s="8" t="s">
        <v>26</v>
      </c>
      <c r="B5" s="9">
        <v>1750905</v>
      </c>
      <c r="C5" s="9">
        <v>249095</v>
      </c>
      <c r="D5" s="9">
        <f t="shared" ref="D5:D9" si="16">+B5+C5</f>
        <v>2000000</v>
      </c>
      <c r="E5" s="9">
        <f t="shared" si="0"/>
        <v>140072.4</v>
      </c>
      <c r="F5" s="9">
        <f t="shared" si="1"/>
        <v>1859927.6</v>
      </c>
      <c r="G5" s="9">
        <f t="shared" si="2"/>
        <v>148826.92500000002</v>
      </c>
      <c r="H5" s="9">
        <f t="shared" si="3"/>
        <v>210108.6</v>
      </c>
      <c r="I5" s="9">
        <f t="shared" si="4"/>
        <v>42652.0458</v>
      </c>
      <c r="J5" s="9">
        <f t="shared" si="5"/>
        <v>166666.66666666666</v>
      </c>
      <c r="K5" s="10">
        <f t="shared" si="6"/>
        <v>19999.999999999996</v>
      </c>
      <c r="L5" s="9">
        <f t="shared" si="7"/>
        <v>166666.66666666666</v>
      </c>
      <c r="M5" s="9">
        <f t="shared" si="8"/>
        <v>72954.375</v>
      </c>
      <c r="N5" s="9">
        <f t="shared" si="9"/>
        <v>70036.2</v>
      </c>
      <c r="O5" s="9">
        <f t="shared" si="10"/>
        <v>52527.15</v>
      </c>
      <c r="P5" s="9">
        <f t="shared" si="11"/>
        <v>35018.1</v>
      </c>
      <c r="Q5" s="9">
        <v>75000</v>
      </c>
      <c r="R5" s="11">
        <v>27000</v>
      </c>
      <c r="S5" s="12"/>
      <c r="T5" s="12">
        <f t="shared" si="12"/>
        <v>3087456.7291333331</v>
      </c>
      <c r="U5" s="12">
        <f t="shared" si="13"/>
        <v>339620.24020466662</v>
      </c>
      <c r="V5" s="11">
        <f t="shared" si="14"/>
        <v>3427076.9693379998</v>
      </c>
      <c r="W5" s="14">
        <f t="shared" si="15"/>
        <v>41124923.632055998</v>
      </c>
      <c r="X5" s="3"/>
      <c r="Z5" s="16"/>
    </row>
    <row r="6" spans="1:26" ht="115.5" customHeight="1" x14ac:dyDescent="0.4">
      <c r="A6" s="8" t="s">
        <v>27</v>
      </c>
      <c r="B6" s="9">
        <v>1750905</v>
      </c>
      <c r="C6" s="9">
        <v>249095</v>
      </c>
      <c r="D6" s="9">
        <f t="shared" si="16"/>
        <v>2000000</v>
      </c>
      <c r="E6" s="9">
        <f t="shared" si="0"/>
        <v>140072.4</v>
      </c>
      <c r="F6" s="9">
        <f t="shared" si="1"/>
        <v>1859927.6</v>
      </c>
      <c r="G6" s="9">
        <f t="shared" si="2"/>
        <v>148826.92500000002</v>
      </c>
      <c r="H6" s="9">
        <f t="shared" si="3"/>
        <v>210108.6</v>
      </c>
      <c r="I6" s="9">
        <f t="shared" si="4"/>
        <v>42652.0458</v>
      </c>
      <c r="J6" s="9">
        <f t="shared" si="5"/>
        <v>166666.66666666666</v>
      </c>
      <c r="K6" s="10">
        <f t="shared" si="6"/>
        <v>19999.999999999996</v>
      </c>
      <c r="L6" s="9">
        <f t="shared" si="7"/>
        <v>166666.66666666666</v>
      </c>
      <c r="M6" s="9">
        <f t="shared" si="8"/>
        <v>72954.375</v>
      </c>
      <c r="N6" s="9">
        <f t="shared" si="9"/>
        <v>70036.2</v>
      </c>
      <c r="O6" s="9">
        <f t="shared" si="10"/>
        <v>52527.15</v>
      </c>
      <c r="P6" s="9">
        <f t="shared" si="11"/>
        <v>35018.1</v>
      </c>
      <c r="Q6" s="9">
        <v>75000</v>
      </c>
      <c r="R6" s="11">
        <v>27000</v>
      </c>
      <c r="S6" s="12"/>
      <c r="T6" s="12">
        <f>+D6+G6+H6+I6+J6+K6+L6+M6+N6+O6+P6+Q6+R6+S6</f>
        <v>3087456.7291333331</v>
      </c>
      <c r="U6" s="12">
        <f t="shared" si="13"/>
        <v>339620.24020466662</v>
      </c>
      <c r="V6" s="11">
        <f>T6+U6</f>
        <v>3427076.9693379998</v>
      </c>
      <c r="W6" s="14">
        <f t="shared" si="15"/>
        <v>41124923.632055998</v>
      </c>
      <c r="X6" s="3"/>
    </row>
    <row r="7" spans="1:26" ht="141.75" customHeight="1" x14ac:dyDescent="0.4">
      <c r="A7" s="8" t="s">
        <v>28</v>
      </c>
      <c r="B7" s="9">
        <v>1750905</v>
      </c>
      <c r="C7" s="9">
        <v>249095</v>
      </c>
      <c r="D7" s="9">
        <f t="shared" si="16"/>
        <v>2000000</v>
      </c>
      <c r="E7" s="9">
        <f t="shared" si="0"/>
        <v>140072.4</v>
      </c>
      <c r="F7" s="9">
        <f t="shared" si="1"/>
        <v>1859927.6</v>
      </c>
      <c r="G7" s="9">
        <f t="shared" si="2"/>
        <v>148826.92500000002</v>
      </c>
      <c r="H7" s="9">
        <f t="shared" si="3"/>
        <v>210108.6</v>
      </c>
      <c r="I7" s="9">
        <f t="shared" si="4"/>
        <v>42652.0458</v>
      </c>
      <c r="J7" s="9">
        <f t="shared" si="5"/>
        <v>166666.66666666666</v>
      </c>
      <c r="K7" s="10">
        <f t="shared" si="6"/>
        <v>19999.999999999996</v>
      </c>
      <c r="L7" s="9">
        <f t="shared" si="7"/>
        <v>166666.66666666666</v>
      </c>
      <c r="M7" s="9">
        <f t="shared" si="8"/>
        <v>72954.375</v>
      </c>
      <c r="N7" s="9">
        <f t="shared" si="9"/>
        <v>70036.2</v>
      </c>
      <c r="O7" s="9">
        <f t="shared" si="10"/>
        <v>52527.15</v>
      </c>
      <c r="P7" s="9">
        <f t="shared" si="11"/>
        <v>35018.1</v>
      </c>
      <c r="Q7" s="9">
        <v>75000</v>
      </c>
      <c r="R7" s="11">
        <v>27000</v>
      </c>
      <c r="S7" s="12"/>
      <c r="T7" s="12">
        <f t="shared" si="12"/>
        <v>3087456.7291333331</v>
      </c>
      <c r="U7" s="12">
        <f t="shared" si="13"/>
        <v>339620.24020466662</v>
      </c>
      <c r="V7" s="11">
        <f t="shared" si="14"/>
        <v>3427076.9693379998</v>
      </c>
      <c r="W7" s="14">
        <f t="shared" si="15"/>
        <v>41124923.632055998</v>
      </c>
      <c r="X7" s="3"/>
    </row>
    <row r="8" spans="1:26" ht="110.25" customHeight="1" x14ac:dyDescent="0.4">
      <c r="A8" s="8" t="s">
        <v>29</v>
      </c>
      <c r="B8" s="9">
        <v>1750905</v>
      </c>
      <c r="C8" s="9">
        <v>249095</v>
      </c>
      <c r="D8" s="9">
        <f t="shared" si="16"/>
        <v>2000000</v>
      </c>
      <c r="E8" s="9">
        <f t="shared" si="0"/>
        <v>140072.4</v>
      </c>
      <c r="F8" s="9">
        <f t="shared" si="1"/>
        <v>1859927.6</v>
      </c>
      <c r="G8" s="9">
        <f t="shared" si="2"/>
        <v>148826.92500000002</v>
      </c>
      <c r="H8" s="9">
        <f t="shared" si="3"/>
        <v>210108.6</v>
      </c>
      <c r="I8" s="9">
        <f>+B8*4.35%</f>
        <v>76164.367499999993</v>
      </c>
      <c r="J8" s="9">
        <f t="shared" si="5"/>
        <v>166666.66666666666</v>
      </c>
      <c r="K8" s="10">
        <f t="shared" si="6"/>
        <v>19999.999999999996</v>
      </c>
      <c r="L8" s="9">
        <f t="shared" si="7"/>
        <v>166666.66666666666</v>
      </c>
      <c r="M8" s="9">
        <f t="shared" si="8"/>
        <v>72954.375</v>
      </c>
      <c r="N8" s="9">
        <f t="shared" si="9"/>
        <v>70036.2</v>
      </c>
      <c r="O8" s="9">
        <f t="shared" si="10"/>
        <v>52527.15</v>
      </c>
      <c r="P8" s="9">
        <f t="shared" si="11"/>
        <v>35018.1</v>
      </c>
      <c r="Q8" s="9">
        <v>75000</v>
      </c>
      <c r="R8" s="11">
        <v>27000</v>
      </c>
      <c r="S8" s="20">
        <v>500000</v>
      </c>
      <c r="T8" s="12">
        <f t="shared" si="12"/>
        <v>3620969.0508333333</v>
      </c>
      <c r="U8" s="12">
        <f t="shared" si="13"/>
        <v>398306.59559166664</v>
      </c>
      <c r="V8" s="11">
        <f>ROUND(T8+U8,0)</f>
        <v>4019276</v>
      </c>
      <c r="W8" s="14">
        <f t="shared" si="15"/>
        <v>48231312</v>
      </c>
      <c r="X8" s="3"/>
    </row>
    <row r="9" spans="1:26" ht="110.25" customHeight="1" x14ac:dyDescent="0.4">
      <c r="A9" s="8" t="s">
        <v>29</v>
      </c>
      <c r="B9" s="9">
        <v>1750905</v>
      </c>
      <c r="C9" s="9">
        <v>249095</v>
      </c>
      <c r="D9" s="9">
        <f t="shared" si="16"/>
        <v>2000000</v>
      </c>
      <c r="E9" s="9">
        <f t="shared" si="0"/>
        <v>140072.4</v>
      </c>
      <c r="F9" s="9">
        <f t="shared" si="1"/>
        <v>1859927.6</v>
      </c>
      <c r="G9" s="9">
        <f t="shared" si="2"/>
        <v>148826.92500000002</v>
      </c>
      <c r="H9" s="9">
        <f t="shared" si="3"/>
        <v>210108.6</v>
      </c>
      <c r="I9" s="9">
        <f>+B9*4.35%</f>
        <v>76164.367499999993</v>
      </c>
      <c r="J9" s="9">
        <f t="shared" si="5"/>
        <v>166666.66666666666</v>
      </c>
      <c r="K9" s="10">
        <f t="shared" si="6"/>
        <v>19999.999999999996</v>
      </c>
      <c r="L9" s="9">
        <f t="shared" si="7"/>
        <v>166666.66666666666</v>
      </c>
      <c r="M9" s="9">
        <f t="shared" si="8"/>
        <v>72954.375</v>
      </c>
      <c r="N9" s="9">
        <f t="shared" si="9"/>
        <v>70036.2</v>
      </c>
      <c r="O9" s="9">
        <f t="shared" si="10"/>
        <v>52527.15</v>
      </c>
      <c r="P9" s="9">
        <f t="shared" si="11"/>
        <v>35018.1</v>
      </c>
      <c r="Q9" s="9">
        <v>75000</v>
      </c>
      <c r="R9" s="11">
        <v>27000</v>
      </c>
      <c r="S9" s="20">
        <v>500000</v>
      </c>
      <c r="T9" s="12">
        <f t="shared" si="12"/>
        <v>3620969.0508333333</v>
      </c>
      <c r="U9" s="12">
        <f>T9*11%</f>
        <v>398306.59559166664</v>
      </c>
      <c r="V9" s="11">
        <f t="shared" si="14"/>
        <v>4019275.6464249999</v>
      </c>
      <c r="W9" s="14">
        <f t="shared" si="15"/>
        <v>48231307.757100001</v>
      </c>
      <c r="X9" s="3"/>
    </row>
    <row r="10" spans="1:26" ht="108.75" customHeight="1" thickBot="1" x14ac:dyDescent="0.45">
      <c r="A10" s="21" t="s">
        <v>30</v>
      </c>
      <c r="B10" s="22">
        <f>SUM(B3:B9)</f>
        <v>12256335</v>
      </c>
      <c r="C10" s="22">
        <f t="shared" ref="C10:V10" si="17">SUM(C3:C9)</f>
        <v>1743665</v>
      </c>
      <c r="D10" s="22">
        <f t="shared" si="17"/>
        <v>14000000</v>
      </c>
      <c r="E10" s="22">
        <f t="shared" si="17"/>
        <v>980506.8</v>
      </c>
      <c r="F10" s="22">
        <f t="shared" si="17"/>
        <v>13019493.199999999</v>
      </c>
      <c r="G10" s="22">
        <f t="shared" si="17"/>
        <v>1041788.4750000002</v>
      </c>
      <c r="H10" s="22">
        <f t="shared" si="17"/>
        <v>1470760.2000000002</v>
      </c>
      <c r="I10" s="22">
        <f t="shared" si="17"/>
        <v>365588.96399999998</v>
      </c>
      <c r="J10" s="22">
        <f t="shared" si="17"/>
        <v>1166666.6666666665</v>
      </c>
      <c r="K10" s="22">
        <f t="shared" si="17"/>
        <v>139999.99999999997</v>
      </c>
      <c r="L10" s="22">
        <f t="shared" si="17"/>
        <v>1166666.6666666665</v>
      </c>
      <c r="M10" s="22">
        <f t="shared" si="17"/>
        <v>510680.625</v>
      </c>
      <c r="N10" s="22">
        <f t="shared" si="17"/>
        <v>490253.4</v>
      </c>
      <c r="O10" s="22">
        <f t="shared" si="17"/>
        <v>367690.05000000005</v>
      </c>
      <c r="P10" s="22">
        <f t="shared" si="17"/>
        <v>245126.7</v>
      </c>
      <c r="Q10" s="22">
        <f t="shared" si="17"/>
        <v>525000</v>
      </c>
      <c r="R10" s="22">
        <f t="shared" si="17"/>
        <v>189000</v>
      </c>
      <c r="S10" s="22">
        <f t="shared" si="17"/>
        <v>1000000</v>
      </c>
      <c r="T10" s="22">
        <f t="shared" si="17"/>
        <v>22679221.747333333</v>
      </c>
      <c r="U10" s="22">
        <f t="shared" si="17"/>
        <v>2494714.3922066665</v>
      </c>
      <c r="V10" s="22">
        <f t="shared" si="17"/>
        <v>25173936.523777001</v>
      </c>
      <c r="W10" s="22">
        <f>SUM(W3:W9)</f>
        <v>302087238.28532398</v>
      </c>
      <c r="X10" s="3"/>
      <c r="Y10" s="25"/>
    </row>
    <row r="11" spans="1:26" ht="20" x14ac:dyDescent="0.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6" ht="20" x14ac:dyDescent="0.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</sheetData>
  <mergeCells count="1">
    <mergeCell ref="A1:R1"/>
  </mergeCells>
  <pageMargins left="0.39370078740157483" right="0.39370078740157483" top="0.39370078740157483" bottom="0.39370078740157483" header="0" footer="0"/>
  <pageSetup paperSize="11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2026</vt:lpstr>
      <vt:lpstr>'2026'!Print_Area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2026-01-06T16:21:05Z</dcterms:created>
  <dcterms:modified xsi:type="dcterms:W3CDTF">2026-01-23T15:49:19Z</dcterms:modified>
</cp:coreProperties>
</file>