
<file path=[Content_Types].xml><?xml version="1.0" encoding="utf-8"?>
<Types xmlns="http://schemas.openxmlformats.org/package/2006/content-type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mc:AlternateContent xmlns:mc="http://schemas.openxmlformats.org/markup-compatibility/2006">
    <mc:Choice Requires="x15">
      <x15ac:absPath xmlns:x15ac="http://schemas.microsoft.com/office/spreadsheetml/2010/11/ac" url="/Users/adrianamyleidyacevedobuitrago/Desktop/"/>
    </mc:Choice>
  </mc:AlternateContent>
  <xr:revisionPtr revIDLastSave="0" documentId="8_{9FDBA38A-CDE7-CA46-98C8-6235AA76C60C}" xr6:coauthVersionLast="47" xr6:coauthVersionMax="47" xr10:uidLastSave="{00000000-0000-0000-0000-000000000000}"/>
  <bookViews>
    <workbookView xWindow="0" yWindow="660" windowWidth="29400" windowHeight="18460" firstSheet="1" activeTab="7" xr2:uid="{00000000-000D-0000-FFFF-FFFF00000000}"/>
  </bookViews>
  <sheets>
    <sheet name="00_Resumen_Ejecutivo" sheetId="1" r:id="rId1"/>
    <sheet name="01_Metodologia_Fuentes" sheetId="2" r:id="rId2"/>
    <sheet name="02_Parametros_IPC" sheetId="3" r:id="rId3"/>
    <sheet name="03_Cotizaciones_Actuales" sheetId="4" r:id="rId4"/>
    <sheet name="04_Historicos_IPC" sheetId="5" r:id="rId5"/>
    <sheet name="05_Estadistica_Mercado" sheetId="6" r:id="rId6"/>
    <sheet name="06_Integracion_Historica" sheetId="7" r:id="rId7"/>
    <sheet name="07_Precio_Referencia" sheetId="8" r:id="rId8"/>
    <sheet name="08_Control_Presupuesto" sheetId="9" r:id="rId9"/>
    <sheet name="09_Texto_Anexo_Estudio" sheetId="10" r:id="rId10"/>
    <sheet name="10_Prompt_Maestro" sheetId="11" r:id="rId11"/>
    <sheet name="11_Validaciones" sheetId="12" r:id="rId12"/>
    <sheet name="12_Matriz_Trazabilidad" sheetId="13" r:id="rId13"/>
  </sheet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 i="6" l="1"/>
  <c r="E6" i="6"/>
  <c r="E7" i="6"/>
  <c r="E8" i="6"/>
  <c r="E9" i="6"/>
  <c r="J35" i="13" l="1"/>
  <c r="J34" i="13"/>
  <c r="J33" i="13"/>
  <c r="J32" i="13"/>
  <c r="J31" i="13"/>
  <c r="E27" i="13"/>
  <c r="E26" i="13"/>
  <c r="E25" i="13"/>
  <c r="E24" i="13"/>
  <c r="E23" i="13"/>
  <c r="E22" i="13"/>
  <c r="E21" i="13"/>
  <c r="E20" i="13"/>
  <c r="E19" i="13"/>
  <c r="H19" i="13" s="1"/>
  <c r="E18" i="13"/>
  <c r="E17" i="13"/>
  <c r="H17" i="13" s="1"/>
  <c r="E16" i="13"/>
  <c r="H16" i="13" s="1"/>
  <c r="E15" i="13"/>
  <c r="H15" i="13" s="1"/>
  <c r="E14" i="13"/>
  <c r="H14" i="13" s="1"/>
  <c r="E13" i="13"/>
  <c r="H13" i="13" s="1"/>
  <c r="E12" i="13"/>
  <c r="H12" i="13" s="1"/>
  <c r="E11" i="13"/>
  <c r="H11" i="13" s="1"/>
  <c r="E10" i="13"/>
  <c r="H10" i="13" s="1"/>
  <c r="E9" i="13"/>
  <c r="H9" i="13" s="1"/>
  <c r="E8" i="13"/>
  <c r="H8" i="13" s="1"/>
  <c r="E7" i="13"/>
  <c r="H7" i="13" s="1"/>
  <c r="E6" i="13"/>
  <c r="H6" i="13" s="1"/>
  <c r="E5" i="13"/>
  <c r="H5" i="13" s="1"/>
  <c r="B13" i="12"/>
  <c r="D13" i="12" s="1"/>
  <c r="B7" i="12"/>
  <c r="D7" i="12" s="1"/>
  <c r="B6" i="12"/>
  <c r="D6" i="12" s="1"/>
  <c r="B5" i="12"/>
  <c r="D5" i="12" s="1"/>
  <c r="B6" i="9"/>
  <c r="F12" i="8"/>
  <c r="E12" i="8"/>
  <c r="D12" i="8"/>
  <c r="F11" i="8"/>
  <c r="E11" i="8"/>
  <c r="D11" i="8"/>
  <c r="F10" i="8"/>
  <c r="E10" i="8"/>
  <c r="D10" i="8"/>
  <c r="F9" i="8"/>
  <c r="E9" i="8"/>
  <c r="D9" i="8"/>
  <c r="F8" i="8"/>
  <c r="E8" i="8"/>
  <c r="D8" i="8"/>
  <c r="K9" i="6"/>
  <c r="J9" i="6"/>
  <c r="K8" i="6"/>
  <c r="J8" i="6"/>
  <c r="K7" i="6"/>
  <c r="J7" i="6"/>
  <c r="K6" i="6"/>
  <c r="J6" i="6"/>
  <c r="K5" i="6"/>
  <c r="J5" i="6"/>
  <c r="L11" i="4"/>
  <c r="H9" i="6" s="1"/>
  <c r="K11" i="4"/>
  <c r="G9" i="6" s="1"/>
  <c r="J11" i="4"/>
  <c r="D9" i="6" s="1"/>
  <c r="I11" i="4"/>
  <c r="B35" i="13" s="1"/>
  <c r="H11" i="4"/>
  <c r="G12" i="8" s="1"/>
  <c r="L10" i="4"/>
  <c r="H8" i="6" s="1"/>
  <c r="K10" i="4"/>
  <c r="G8" i="6" s="1"/>
  <c r="J10" i="4"/>
  <c r="C34" i="13" s="1"/>
  <c r="I10" i="4"/>
  <c r="B16" i="7" s="1"/>
  <c r="H10" i="4"/>
  <c r="B8" i="6" s="1"/>
  <c r="L9" i="4"/>
  <c r="H7" i="6" s="1"/>
  <c r="K9" i="4"/>
  <c r="G7" i="6" s="1"/>
  <c r="J9" i="4"/>
  <c r="C33" i="13" s="1"/>
  <c r="I9" i="4"/>
  <c r="B33" i="13" s="1"/>
  <c r="H9" i="4"/>
  <c r="B7" i="6" s="1"/>
  <c r="L8" i="4"/>
  <c r="H6" i="6" s="1"/>
  <c r="K8" i="4"/>
  <c r="G6" i="6" s="1"/>
  <c r="J8" i="4"/>
  <c r="D6" i="6" s="1"/>
  <c r="I8" i="4"/>
  <c r="E18" i="5" s="1"/>
  <c r="H8" i="4"/>
  <c r="G9" i="8" s="1"/>
  <c r="L7" i="4"/>
  <c r="K7" i="4"/>
  <c r="G5" i="6" s="1"/>
  <c r="J7" i="4"/>
  <c r="D5" i="6" s="1"/>
  <c r="I7" i="4"/>
  <c r="B13" i="7" s="1"/>
  <c r="H7" i="4"/>
  <c r="B5" i="6" s="1"/>
  <c r="B12" i="3"/>
  <c r="F6" i="5" s="1"/>
  <c r="G6" i="5" s="1"/>
  <c r="F6" i="7" s="1"/>
  <c r="B11" i="3"/>
  <c r="G23" i="13" s="1"/>
  <c r="H23" i="13" s="1"/>
  <c r="B16" i="1"/>
  <c r="G11" i="8" l="1"/>
  <c r="C8" i="6"/>
  <c r="F8" i="6" s="1"/>
  <c r="H8" i="8"/>
  <c r="B8" i="12" s="1"/>
  <c r="D8" i="12" s="1"/>
  <c r="B8" i="7"/>
  <c r="M8" i="4"/>
  <c r="I8" i="6"/>
  <c r="H9" i="8"/>
  <c r="C17" i="8" s="1"/>
  <c r="D17" i="8" s="1"/>
  <c r="H12" i="8"/>
  <c r="C20" i="8" s="1"/>
  <c r="D20" i="8" s="1"/>
  <c r="E17" i="5"/>
  <c r="D8" i="6"/>
  <c r="I6" i="6"/>
  <c r="F12" i="5"/>
  <c r="G12" i="5" s="1"/>
  <c r="J11" i="8" s="1"/>
  <c r="L5" i="6"/>
  <c r="N5" i="6" s="1"/>
  <c r="G8" i="8"/>
  <c r="H11" i="8"/>
  <c r="C19" i="8" s="1"/>
  <c r="D19" i="8" s="1"/>
  <c r="C17" i="5"/>
  <c r="D17" i="5" s="1"/>
  <c r="F9" i="1" s="1"/>
  <c r="I8" i="8"/>
  <c r="B31" i="13"/>
  <c r="B7" i="7"/>
  <c r="G21" i="13"/>
  <c r="H21" i="13" s="1"/>
  <c r="C31" i="13"/>
  <c r="C20" i="5"/>
  <c r="D20" i="5" s="1"/>
  <c r="D34" i="13" s="1"/>
  <c r="C7" i="6"/>
  <c r="F7" i="6" s="1"/>
  <c r="B14" i="7"/>
  <c r="D14" i="7" s="1"/>
  <c r="E32" i="13" s="1"/>
  <c r="C32" i="13"/>
  <c r="I7" i="6"/>
  <c r="M11" i="4"/>
  <c r="L8" i="6"/>
  <c r="M8" i="6" s="1"/>
  <c r="B15" i="7"/>
  <c r="I9" i="8"/>
  <c r="E19" i="5"/>
  <c r="L6" i="6"/>
  <c r="M6" i="6" s="1"/>
  <c r="M7" i="4"/>
  <c r="F7" i="5"/>
  <c r="G7" i="5" s="1"/>
  <c r="F7" i="7" s="1"/>
  <c r="H10" i="8"/>
  <c r="D11" i="1" s="1"/>
  <c r="G24" i="13"/>
  <c r="H24" i="13" s="1"/>
  <c r="F8" i="5"/>
  <c r="G8" i="5" s="1"/>
  <c r="F8" i="7" s="1"/>
  <c r="G25" i="13"/>
  <c r="H25" i="13" s="1"/>
  <c r="I9" i="6"/>
  <c r="M9" i="4"/>
  <c r="C6" i="6"/>
  <c r="F6" i="6" s="1"/>
  <c r="B6" i="7"/>
  <c r="I12" i="8"/>
  <c r="F9" i="5"/>
  <c r="G9" i="5" s="1"/>
  <c r="H5" i="6"/>
  <c r="I5" i="6" s="1"/>
  <c r="E21" i="5"/>
  <c r="B9" i="7"/>
  <c r="M10" i="4"/>
  <c r="C19" i="5"/>
  <c r="D19" i="5" s="1"/>
  <c r="C5" i="6"/>
  <c r="F5" i="6" s="1"/>
  <c r="G20" i="13"/>
  <c r="H20" i="13" s="1"/>
  <c r="G27" i="13"/>
  <c r="H27" i="13" s="1"/>
  <c r="B32" i="13"/>
  <c r="D9" i="1"/>
  <c r="B9" i="6"/>
  <c r="L9" i="6"/>
  <c r="M9" i="6" s="1"/>
  <c r="C35" i="13"/>
  <c r="E20" i="5"/>
  <c r="C9" i="6"/>
  <c r="F9" i="6" s="1"/>
  <c r="G10" i="8"/>
  <c r="I11" i="8"/>
  <c r="G22" i="13"/>
  <c r="H22" i="13" s="1"/>
  <c r="B34" i="13"/>
  <c r="B17" i="7"/>
  <c r="D17" i="7" s="1"/>
  <c r="E35" i="13" s="1"/>
  <c r="F5" i="5"/>
  <c r="G5" i="5" s="1"/>
  <c r="F5" i="7" s="1"/>
  <c r="F10" i="5"/>
  <c r="G10" i="5" s="1"/>
  <c r="C18" i="5"/>
  <c r="D18" i="5" s="1"/>
  <c r="L7" i="6"/>
  <c r="M7" i="6" s="1"/>
  <c r="F31" i="13"/>
  <c r="G26" i="13"/>
  <c r="H26" i="13" s="1"/>
  <c r="B6" i="6"/>
  <c r="I10" i="8"/>
  <c r="F11" i="5"/>
  <c r="G11" i="5" s="1"/>
  <c r="D7" i="6"/>
  <c r="B5" i="7"/>
  <c r="F17" i="5" l="1"/>
  <c r="D24" i="9"/>
  <c r="E24" i="9" s="1"/>
  <c r="D25" i="9"/>
  <c r="E25" i="9" s="1"/>
  <c r="F32" i="13"/>
  <c r="I32" i="13" s="1"/>
  <c r="B12" i="12"/>
  <c r="D12" i="12" s="1"/>
  <c r="C16" i="8"/>
  <c r="D16" i="8" s="1"/>
  <c r="D13" i="1"/>
  <c r="E13" i="1" s="1"/>
  <c r="B9" i="12"/>
  <c r="D9" i="12" s="1"/>
  <c r="C8" i="7"/>
  <c r="D8" i="7" s="1"/>
  <c r="C16" i="7"/>
  <c r="D16" i="7" s="1"/>
  <c r="E16" i="7" s="1"/>
  <c r="F35" i="13"/>
  <c r="I35" i="13" s="1"/>
  <c r="D27" i="9"/>
  <c r="E27" i="9" s="1"/>
  <c r="B11" i="12"/>
  <c r="D11" i="12" s="1"/>
  <c r="D12" i="1"/>
  <c r="K11" i="8"/>
  <c r="D10" i="1"/>
  <c r="E10" i="1" s="1"/>
  <c r="F12" i="1"/>
  <c r="N6" i="6"/>
  <c r="O6" i="6" s="1"/>
  <c r="M5" i="6"/>
  <c r="O5" i="6" s="1"/>
  <c r="F20" i="5"/>
  <c r="F19" i="5"/>
  <c r="B10" i="12"/>
  <c r="D10" i="12" s="1"/>
  <c r="F33" i="13"/>
  <c r="I33" i="13" s="1"/>
  <c r="D26" i="9"/>
  <c r="E26" i="9" s="1"/>
  <c r="C18" i="8"/>
  <c r="D18" i="8" s="1"/>
  <c r="D31" i="13"/>
  <c r="G31" i="13" s="1"/>
  <c r="F34" i="13"/>
  <c r="I34" i="13" s="1"/>
  <c r="N8" i="6"/>
  <c r="O8" i="6" s="1"/>
  <c r="N7" i="6"/>
  <c r="O7" i="6" s="1"/>
  <c r="I31" i="13"/>
  <c r="E9" i="1"/>
  <c r="G9" i="1"/>
  <c r="E11" i="1"/>
  <c r="D32" i="13"/>
  <c r="F10" i="1"/>
  <c r="J10" i="8"/>
  <c r="K10" i="8" s="1"/>
  <c r="C7" i="7"/>
  <c r="C15" i="7"/>
  <c r="D15" i="7" s="1"/>
  <c r="C6" i="7"/>
  <c r="D6" i="7" s="1"/>
  <c r="J9" i="8"/>
  <c r="J8" i="8"/>
  <c r="K8" i="8" s="1"/>
  <c r="C13" i="7"/>
  <c r="D13" i="7" s="1"/>
  <c r="C5" i="7"/>
  <c r="E5" i="7" s="1"/>
  <c r="N9" i="6"/>
  <c r="O9" i="6" s="1"/>
  <c r="D33" i="13"/>
  <c r="F11" i="1"/>
  <c r="E34" i="13" l="1"/>
  <c r="B17" i="9"/>
  <c r="E8" i="7"/>
  <c r="G12" i="1"/>
  <c r="E12" i="1"/>
  <c r="G33" i="13"/>
  <c r="G11" i="1"/>
  <c r="G34" i="13"/>
  <c r="D22" i="8"/>
  <c r="B10" i="9" s="1"/>
  <c r="B18" i="1" s="1"/>
  <c r="D23" i="8"/>
  <c r="B9" i="9" s="1"/>
  <c r="M22" i="9" s="1"/>
  <c r="E31" i="13"/>
  <c r="B19" i="7"/>
  <c r="E13" i="7"/>
  <c r="D5" i="7"/>
  <c r="E7" i="7"/>
  <c r="D7" i="7"/>
  <c r="E15" i="7"/>
  <c r="E33" i="13"/>
  <c r="B18" i="7" l="1"/>
  <c r="B16" i="9"/>
  <c r="B15" i="9"/>
  <c r="B21" i="1" s="1"/>
  <c r="B12" i="9"/>
  <c r="B19" i="1" s="1"/>
  <c r="B17" i="1"/>
  <c r="B25" i="1"/>
  <c r="B13" i="9"/>
  <c r="B20" i="1" s="1"/>
  <c r="F25" i="9"/>
  <c r="G25" i="9" s="1"/>
  <c r="F27" i="9"/>
  <c r="G27" i="9" s="1"/>
  <c r="F26" i="9"/>
  <c r="G26" i="9" s="1"/>
  <c r="F24" i="9"/>
  <c r="G24" i="9" s="1"/>
  <c r="B20" i="7"/>
  <c r="I27" i="9" l="1"/>
  <c r="H27" i="9"/>
  <c r="I24" i="9"/>
  <c r="H24" i="9"/>
  <c r="I26" i="9"/>
  <c r="H26" i="9"/>
  <c r="I25" i="9"/>
  <c r="H25" i="9"/>
  <c r="H29" i="9" l="1"/>
  <c r="H30"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OpenAI</author>
  </authors>
  <commentList>
    <comment ref="B5" authorId="0" shapeId="0" xr:uid="{00000000-0006-0000-0200-000001000000}">
      <text>
        <r>
          <rPr>
            <sz val="11"/>
            <color theme="1"/>
            <rFont val="Calibri"/>
            <family val="2"/>
            <scheme val="minor"/>
          </rPr>
          <t>IPC 2026 año corrido a agosto
Fuente web: https://www.dane.gov.co/index.php/estadisticas-por-tema/precios-y-costos/indice-de-precios-al-consumidor-ipc/ipc-informacion-tecnica</t>
        </r>
      </text>
    </comment>
    <comment ref="B6" authorId="0" shapeId="0" xr:uid="{00000000-0006-0000-0200-000002000000}">
      <text>
        <r>
          <rPr>
            <sz val="11"/>
            <color theme="1"/>
            <rFont val="Calibri"/>
            <family val="2"/>
            <scheme val="minor"/>
          </rPr>
          <t>IPC 2025 año corrido a diciembre
Fuente web: https://www.dane.gov.co/files/operaciones/IPC/dic2025/cp-IPC-dic2025.pdf</t>
        </r>
      </text>
    </comment>
    <comment ref="B7" authorId="0" shapeId="0" xr:uid="{00000000-0006-0000-0200-000003000000}">
      <text>
        <r>
          <rPr>
            <sz val="11"/>
            <color theme="1"/>
            <rFont val="Calibri"/>
            <family val="2"/>
            <scheme val="minor"/>
          </rPr>
          <t>IPC 2025 año corrido a mayo
Fuente web: https://www.dane.gov.co/files/operaciones/IPC/may2025/bol-IPC-may2025.pdf</t>
        </r>
      </text>
    </comment>
    <comment ref="B11" authorId="0" shapeId="0" xr:uid="{00000000-0006-0000-0200-000004000000}">
      <text>
        <r>
          <rPr>
            <sz val="11"/>
            <color theme="1"/>
            <rFont val="Calibri"/>
            <family val="2"/>
            <scheme val="minor"/>
          </rPr>
          <t>Metodología de indexación: Guía ANCP-CCE para Estudios del Sector, revisión de precios históricos; DANE IPC agosto 2026.
https://www.colombiacompra.gov.co/wp-content/uploads/2025/09/Guia-para-la-Elaboracion-de-Estudios-del-Sector-V3.pdf
https://www.dane.gov.co/index.php/estadisticas-por-tema/precios-y-costos/indice-de-precios-al-consumidor-ipc/ipc-informacion-tecnica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OpenAI</author>
  </authors>
  <commentList>
    <comment ref="E7" authorId="0" shapeId="0" xr:uid="{00000000-0006-0000-0300-000001000000}">
      <text>
        <r>
          <rPr>
            <sz val="11"/>
            <color theme="1"/>
            <rFont val="Calibri"/>
            <family val="2"/>
            <scheme val="minor"/>
          </rPr>
          <t>Fuente expediente: FORMATO COTIZACION DATACENTER BIT.xlsx – cotización recibida 14/09/2026.</t>
        </r>
      </text>
    </comment>
    <comment ref="F7" authorId="0" shapeId="0" xr:uid="{00000000-0006-0000-0300-000002000000}">
      <text>
        <r>
          <rPr>
            <sz val="11"/>
            <color theme="1"/>
            <rFont val="Calibri"/>
            <family val="2"/>
            <scheme val="minor"/>
          </rPr>
          <t>Fuente expediente: FORMATO COTIZACION DATACENTER COMCEL.pdf – cotización de 11/09/2026.</t>
        </r>
      </text>
    </comment>
    <comment ref="G7" authorId="0" shapeId="0" xr:uid="{00000000-0006-0000-0300-000003000000}">
      <text>
        <r>
          <rPr>
            <sz val="11"/>
            <color theme="1"/>
            <rFont val="Calibri"/>
            <family val="2"/>
            <scheme val="minor"/>
          </rPr>
          <t>Fuente expediente: FORMATO COTIZACION DATACENTER HITTS.xlsx – cotización de 11/09/2026. Para ítem 2 se usa $925.000 + IVA 19% = $1.100.750, corrigiendo el error de escala observado en SECOP.</t>
        </r>
      </text>
    </comment>
    <comment ref="E8" authorId="0" shapeId="0" xr:uid="{00000000-0006-0000-0300-000004000000}">
      <text>
        <r>
          <rPr>
            <sz val="11"/>
            <color rgb="FF000000"/>
            <rFont val="Calibri"/>
            <family val="2"/>
          </rPr>
          <t>Fuente expediente: FORMATO COTIZACION DATACENTER BIT.xlsx – cotización recibida 14/09/2026.</t>
        </r>
      </text>
    </comment>
    <comment ref="F8" authorId="0" shapeId="0" xr:uid="{00000000-0006-0000-0300-000005000000}">
      <text>
        <r>
          <rPr>
            <sz val="11"/>
            <color rgb="FF000000"/>
            <rFont val="Calibri"/>
            <family val="2"/>
          </rPr>
          <t>Fuente expediente: FORMATO COTIZACION DATACENTER COMCEL.pdf – cotización de 11/09/2026.</t>
        </r>
      </text>
    </comment>
    <comment ref="G8" authorId="0" shapeId="0" xr:uid="{00000000-0006-0000-0300-000006000000}">
      <text>
        <r>
          <rPr>
            <sz val="11"/>
            <color theme="1"/>
            <rFont val="Calibri"/>
            <family val="2"/>
            <scheme val="minor"/>
          </rPr>
          <t>Fuente expediente: FORMATO COTIZACION DATACENTER HITTS.xlsx – cotización de 11/09/2026. Para ítem 2 se usa $925.000 + IVA 19% = $1.100.750, corrigiendo el error de escala observado en SECOP.</t>
        </r>
      </text>
    </comment>
    <comment ref="E9" authorId="0" shapeId="0" xr:uid="{00000000-0006-0000-0300-000007000000}">
      <text>
        <r>
          <rPr>
            <sz val="11"/>
            <color theme="1"/>
            <rFont val="Calibri"/>
            <family val="2"/>
            <scheme val="minor"/>
          </rPr>
          <t>Fuente expediente: FORMATO COTIZACION DATACENTER BIT.xlsx – cotización recibida 14/09/2026.</t>
        </r>
      </text>
    </comment>
    <comment ref="F9" authorId="0" shapeId="0" xr:uid="{00000000-0006-0000-0300-000008000000}">
      <text>
        <r>
          <rPr>
            <sz val="11"/>
            <color rgb="FF000000"/>
            <rFont val="Calibri"/>
            <family val="2"/>
          </rPr>
          <t>Fuente expediente: FORMATO COTIZACION DATACENTER COMCEL.pdf – cotización de 11/09/2026.</t>
        </r>
      </text>
    </comment>
    <comment ref="G9" authorId="0" shapeId="0" xr:uid="{00000000-0006-0000-0300-000009000000}">
      <text>
        <r>
          <rPr>
            <sz val="11"/>
            <color theme="1"/>
            <rFont val="Calibri"/>
            <family val="2"/>
            <scheme val="minor"/>
          </rPr>
          <t>Fuente expediente: FORMATO COTIZACION DATACENTER HITTS.xlsx – cotización de 11/09/2026. Para ítem 2 se usa $925.000 + IVA 19% = $1.100.750, corrigiendo el error de escala observado en SECOP.</t>
        </r>
      </text>
    </comment>
    <comment ref="E10" authorId="0" shapeId="0" xr:uid="{00000000-0006-0000-0300-00000A000000}">
      <text>
        <r>
          <rPr>
            <sz val="11"/>
            <color rgb="FF000000"/>
            <rFont val="Calibri"/>
            <family val="2"/>
          </rPr>
          <t>Fuente expediente: FORMATO COTIZACION DATACENTER BIT.xlsx – cotización recibida 14/09/2026.</t>
        </r>
      </text>
    </comment>
    <comment ref="F10" authorId="0" shapeId="0" xr:uid="{00000000-0006-0000-0300-00000B000000}">
      <text>
        <r>
          <rPr>
            <sz val="11"/>
            <color theme="1"/>
            <rFont val="Calibri"/>
            <family val="2"/>
            <scheme val="minor"/>
          </rPr>
          <t>Fuente expediente: FORMATO COTIZACION DATACENTER COMCEL.pdf – cotización de 11/09/2026.</t>
        </r>
      </text>
    </comment>
    <comment ref="G10" authorId="0" shapeId="0" xr:uid="{00000000-0006-0000-0300-00000C000000}">
      <text>
        <r>
          <rPr>
            <sz val="11"/>
            <color theme="1"/>
            <rFont val="Calibri"/>
            <family val="2"/>
            <scheme val="minor"/>
          </rPr>
          <t>Fuente expediente: FORMATO COTIZACION DATACENTER HITTS.xlsx – cotización de 11/09/2026. Para ítem 2 se usa $925.000 + IVA 19% = $1.100.750, corrigiendo el error de escala observado en SECOP.</t>
        </r>
      </text>
    </comment>
    <comment ref="E11" authorId="0" shapeId="0" xr:uid="{00000000-0006-0000-0300-00000D000000}">
      <text>
        <r>
          <rPr>
            <sz val="11"/>
            <color theme="1"/>
            <rFont val="Calibri"/>
            <family val="2"/>
            <scheme val="minor"/>
          </rPr>
          <t>Fuente expediente: FORMATO COTIZACION DATACENTER BIT.xlsx – cotización recibida 14/09/2026.</t>
        </r>
      </text>
    </comment>
    <comment ref="F11" authorId="0" shapeId="0" xr:uid="{00000000-0006-0000-0300-00000E000000}">
      <text>
        <r>
          <rPr>
            <sz val="11"/>
            <color theme="1"/>
            <rFont val="Calibri"/>
            <family val="2"/>
            <scheme val="minor"/>
          </rPr>
          <t>Fuente expediente: FORMATO COTIZACION DATACENTER COMCEL.pdf – cotización de 11/09/2026.</t>
        </r>
      </text>
    </comment>
    <comment ref="G11" authorId="0" shapeId="0" xr:uid="{00000000-0006-0000-0300-00000F000000}">
      <text>
        <r>
          <rPr>
            <sz val="11"/>
            <color theme="1"/>
            <rFont val="Calibri"/>
            <family val="2"/>
            <scheme val="minor"/>
          </rPr>
          <t>Fuente expediente: FORMATO COTIZACION DATACENTER HITTS.xlsx – cotización de 11/09/2026. Para ítem 2 se usa $925.000 + IVA 19% = $1.100.750, corrigiendo el error de escala observado en SECOP.</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OpenAI</author>
  </authors>
  <commentList>
    <comment ref="E5" authorId="0" shapeId="0" xr:uid="{00000000-0006-0000-0400-000001000000}">
      <text>
        <r>
          <rPr>
            <sz val="11"/>
            <color theme="1"/>
            <rFont val="Calibri"/>
            <family val="2"/>
            <scheme val="minor"/>
          </rPr>
          <t>Fuente expediente: Contrato 152-COREC-2025 DATACENTER. Precio unitario adjudicado.</t>
        </r>
      </text>
    </comment>
    <comment ref="E6" authorId="0" shapeId="0" xr:uid="{00000000-0006-0000-0400-000002000000}">
      <text>
        <r>
          <rPr>
            <sz val="11"/>
            <color theme="1"/>
            <rFont val="Calibri"/>
            <family val="2"/>
            <scheme val="minor"/>
          </rPr>
          <t>Fuente expediente: Contrato 152-COREC-2025 DATACENTER. Precio unitario adjudicado.</t>
        </r>
      </text>
    </comment>
    <comment ref="E7" authorId="0" shapeId="0" xr:uid="{00000000-0006-0000-0400-000003000000}">
      <text>
        <r>
          <rPr>
            <sz val="11"/>
            <color theme="1"/>
            <rFont val="Calibri"/>
            <family val="2"/>
            <scheme val="minor"/>
          </rPr>
          <t>Fuente expediente: Contrato 152-COREC-2025 DATACENTER. Precio unitario adjudicado.</t>
        </r>
      </text>
    </comment>
    <comment ref="E8" authorId="0" shapeId="0" xr:uid="{00000000-0006-0000-0400-000004000000}">
      <text>
        <r>
          <rPr>
            <sz val="11"/>
            <color theme="1"/>
            <rFont val="Calibri"/>
            <family val="2"/>
            <scheme val="minor"/>
          </rPr>
          <t>Fuente expediente: Contrato 152-COREC-2025 DATACENTER. Precio unitario adjudicado.</t>
        </r>
      </text>
    </comment>
    <comment ref="E9" authorId="0" shapeId="0" xr:uid="{00000000-0006-0000-0400-000005000000}">
      <text>
        <r>
          <rPr>
            <sz val="11"/>
            <color theme="1"/>
            <rFont val="Calibri"/>
            <family val="2"/>
            <scheme val="minor"/>
          </rPr>
          <t>Fuente expediente: Contrato 304-COREC-2025 y Otrosí No. 1. Precio unitario fijo vigente durante la ejecución.</t>
        </r>
      </text>
    </comment>
    <comment ref="E10" authorId="0" shapeId="0" xr:uid="{00000000-0006-0000-0400-000006000000}">
      <text>
        <r>
          <rPr>
            <sz val="11"/>
            <color theme="1"/>
            <rFont val="Calibri"/>
            <family val="2"/>
            <scheme val="minor"/>
          </rPr>
          <t>Fuente expediente: Contrato 304-COREC-2025 y Otrosí No. 1. Precio unitario fijo vigente durante la ejecución.</t>
        </r>
      </text>
    </comment>
    <comment ref="E11" authorId="0" shapeId="0" xr:uid="{00000000-0006-0000-0400-000007000000}">
      <text>
        <r>
          <rPr>
            <sz val="11"/>
            <color theme="1"/>
            <rFont val="Calibri"/>
            <family val="2"/>
            <scheme val="minor"/>
          </rPr>
          <t>Fuente expediente: Contrato 304-COREC-2025 y Otrosí No. 1. Precio unitario fijo vigente durante la ejecución.</t>
        </r>
      </text>
    </comment>
    <comment ref="E12" authorId="0" shapeId="0" xr:uid="{00000000-0006-0000-0400-000008000000}">
      <text>
        <r>
          <rPr>
            <sz val="11"/>
            <color theme="1"/>
            <rFont val="Calibri"/>
            <family val="2"/>
            <scheme val="minor"/>
          </rPr>
          <t>Fuente expediente: Contrato 304-COREC-2025 y Otrosí No. 1. Precio unitario fijo vigente durante la ejecución.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OpenAI</author>
  </authors>
  <commentList>
    <comment ref="H8" authorId="0" shapeId="0" xr:uid="{00000000-0006-0000-0700-000001000000}">
      <text>
        <r>
          <rPr>
            <sz val="11"/>
            <color theme="1"/>
            <rFont val="Calibri"/>
            <family val="2"/>
            <scheme val="minor"/>
          </rPr>
          <t>Precio unitario de referencia: promedio aritmético de cotizaciones actuales válidas, con contraste de históricos indexados. Fuente metodológica: ANCP-CCE Guía para la Elaboración de Estudios del Sector.
https://www.colombiacompra.gov.co/archivos/manual/guia-para-la-elaboracion-de-estudios-del-sector</t>
        </r>
      </text>
    </comment>
    <comment ref="H9" authorId="0" shapeId="0" xr:uid="{00000000-0006-0000-0700-000002000000}">
      <text>
        <r>
          <rPr>
            <sz val="11"/>
            <color theme="1"/>
            <rFont val="Calibri"/>
            <family val="2"/>
            <scheme val="minor"/>
          </rPr>
          <t>Precio unitario de referencia: promedio aritmético de cotizaciones actuales válidas, con contraste de históricos indexados. Fuente metodológica: ANCP-CCE Guía para la Elaboración de Estudios del Sector.
https://www.colombiacompra.gov.co/archivos/manual/guia-para-la-elaboracion-de-estudios-del-sector</t>
        </r>
      </text>
    </comment>
    <comment ref="H10" authorId="0" shapeId="0" xr:uid="{00000000-0006-0000-0700-000003000000}">
      <text>
        <r>
          <rPr>
            <sz val="11"/>
            <color theme="1"/>
            <rFont val="Calibri"/>
            <family val="2"/>
            <scheme val="minor"/>
          </rPr>
          <t>Precio unitario de referencia: promedio aritmético de cotizaciones actuales válidas, con contraste de históricos indexados. Fuente metodológica: ANCP-CCE Guía para la Elaboración de Estudios del Sector.
https://www.colombiacompra.gov.co/archivos/manual/guia-para-la-elaboracion-de-estudios-del-sector</t>
        </r>
      </text>
    </comment>
    <comment ref="H11" authorId="0" shapeId="0" xr:uid="{00000000-0006-0000-0700-000004000000}">
      <text>
        <r>
          <rPr>
            <sz val="11"/>
            <color theme="1"/>
            <rFont val="Calibri"/>
            <family val="2"/>
            <scheme val="minor"/>
          </rPr>
          <t>Precio unitario de referencia: promedio aritmético de cotizaciones actuales válidas, con contraste de históricos indexados. Fuente metodológica: ANCP-CCE Guía para la Elaboración de Estudios del Sector.
https://www.colombiacompra.gov.co/archivos/manual/guia-para-la-elaboracion-de-estudios-del-sector</t>
        </r>
      </text>
    </comment>
    <comment ref="H12" authorId="0" shapeId="0" xr:uid="{00000000-0006-0000-0700-000005000000}">
      <text>
        <r>
          <rPr>
            <sz val="11"/>
            <color theme="1"/>
            <rFont val="Calibri"/>
            <family val="2"/>
            <scheme val="minor"/>
          </rPr>
          <t>Precio unitario de referencia: promedio aritmético de cotizaciones actuales válidas, con contraste de históricos indexados. Fuente metodológica: ANCP-CCE Guía para la Elaboración de Estudios del Sector.
https://www.colombiacompra.gov.co/archivos/manual/guia-para-la-elaboracion-de-estudios-del-sector</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OpenAI</author>
  </authors>
  <commentList>
    <comment ref="B5" authorId="0" shapeId="0" xr:uid="{00000000-0006-0000-0800-000001000000}">
      <text>
        <r>
          <rPr>
            <sz val="11"/>
            <color theme="1"/>
            <rFont val="Calibri"/>
            <family val="2"/>
            <scheme val="minor"/>
          </rPr>
          <t>Plan de Necesidades: $700 millones 2026 + $3.800 millones vigencia futura 2027.</t>
        </r>
      </text>
    </comment>
  </commentList>
</comments>
</file>

<file path=xl/sharedStrings.xml><?xml version="1.0" encoding="utf-8"?>
<sst xmlns="http://schemas.openxmlformats.org/spreadsheetml/2006/main" count="686" uniqueCount="355">
  <si>
    <t>Objeto / proceso</t>
  </si>
  <si>
    <t>Servicio integral de alojamiento, mantenimiento, administración, modernización y soporte de infraestructura tecnológica – apalancamiento 2026 y vigencia futura 2027.</t>
  </si>
  <si>
    <t>Metodología base</t>
  </si>
  <si>
    <t>Sondeo de mercado actual como fuente primaria; históricos comparables llevados a valor presente como contraste; análisis de media, mediana, dispersión y trazabilidad por ítem.</t>
  </si>
  <si>
    <t>Fecha de corte económica</t>
  </si>
  <si>
    <t>16/09/2026 – IPC disponible a agosto de 2026.</t>
  </si>
  <si>
    <t>Resultado de la determinación de precios unitarios</t>
  </si>
  <si>
    <t>Ítem</t>
  </si>
  <si>
    <t>Unidad</t>
  </si>
  <si>
    <t>Necesidad técnica</t>
  </si>
  <si>
    <t>Precio referencia unitario</t>
  </si>
  <si>
    <t>Total necesidad plena</t>
  </si>
  <si>
    <t>Hist. 304 actualizado</t>
  </si>
  <si>
    <t>Var. ref. vs hist.</t>
  </si>
  <si>
    <t>Resultado técnico</t>
  </si>
  <si>
    <t>DÍAS</t>
  </si>
  <si>
    <t>Mercado actual inferior al histórico actualizado; condición favorable.</t>
  </si>
  <si>
    <t>N/C</t>
  </si>
  <si>
    <t>Histórico no comparable por ampliación del alcance a canales de datos/sedes; prevalece sondeo actual.</t>
  </si>
  <si>
    <t>Mercado actual superior al histórico actualizado; usar mercado actual y dejar trazabilidad de la variación.</t>
  </si>
  <si>
    <t>HORAS</t>
  </si>
  <si>
    <t>Mercado actual superior al histórico actualizado; requiere énfasis en justificación técnica/costos de perfiles.</t>
  </si>
  <si>
    <t>SERVICIO</t>
  </si>
  <si>
    <t>N/A</t>
  </si>
  <si>
    <t>Componente condicional; COMCEL registra N/A por continuidad. Referencia con BIT e HITSS.</t>
  </si>
  <si>
    <t>Control presupuestal</t>
  </si>
  <si>
    <t>Presupuesto disponible total</t>
  </si>
  <si>
    <t>Conclusión de estructuración</t>
  </si>
  <si>
    <t>El precio de referencia se fija por unidad con base en el sondeo vigente, y los históricos actualizados se usan como contraste de razonabilidad. La Guía CCE permite incorporar el histórico actualizado como observación adicional cuando exista comparabilidad técnica y económica; por ello el archivo muestra también un escenario integrado de control. No obstante, el mercado vigente es la fuente principal de la dinámica de precios. El presupuesto de $4.500 millones no cubre la necesidad plena: incluso mantener 365 días de los ítems 1 a 3, sin horas del ítem 4 ni migración, supera el presupuesto. Si se limitan cantidades, el área técnica debe definir y justificar el recorte sin afectar la continuidad; una modificación o adición futura no debe asumirse como cierta desde la planeación.</t>
  </si>
  <si>
    <t>Costo necesidad plena sin migración</t>
  </si>
  <si>
    <t>Costo necesidad plena con migración</t>
  </si>
  <si>
    <t>Déficit sin migración</t>
  </si>
  <si>
    <t>Déficit con migración</t>
  </si>
  <si>
    <t>Cobertura presupuestal sin migración</t>
  </si>
  <si>
    <t>Indicadores de consistencia</t>
  </si>
  <si>
    <t>Indicador</t>
  </si>
  <si>
    <t>Resultado</t>
  </si>
  <si>
    <t>Lectura</t>
  </si>
  <si>
    <t>Diferencia total entre promedio de mercado y metodología de contraste histórico</t>
  </si>
  <si>
    <t>Una diferencia pequeña valida que el sondeo actual y el contraste histórico conducen a una magnitud global semejante, aunque existan diferencias por ítem.</t>
  </si>
  <si>
    <t>Número de cotizaciones vigentes recibidas</t>
  </si>
  <si>
    <t>Sondeo abierto en SECOP II; tres respuestas económicas.</t>
  </si>
  <si>
    <t>Ítems con histórico directamente comparable</t>
  </si>
  <si>
    <t>Ítems 1, 3 y 4. El ítem 2 cambió materialmente de alcance; el ítem 5 es nuevo/condicional.</t>
  </si>
  <si>
    <t>Ítems con precio de referencia basado en mercado actual</t>
  </si>
  <si>
    <t>La referencia primaria de los cinco ítems se determina con cotizaciones vigentes validadas.</t>
  </si>
  <si>
    <t>METODOLOGÍA, CRITERIOS Y FUENTES</t>
  </si>
  <si>
    <t>Metodología aplicada</t>
  </si>
  <si>
    <t>1. Normalización: todos los valores se analizan como precios unitarios finales, incluido IVA cuando aplica; el ítem 1 se trata sin IVA conforme a los documentos del proceso.</t>
  </si>
  <si>
    <t>2. Fuente primaria: sondeo de mercado SC-030-COREC-2026 publicado en SECOP II, con cotizaciones de BIT C Colombia, COMCEL y Global HITSS.</t>
  </si>
  <si>
    <t>3. Depuración: el registro de HITSS del ítem 2 en SECOP II presenta un error de escala; se utiliza el valor soportado en el archivo Excel del proveedor ($1.100.750 = $925.000 + IVA 19%).</t>
  </si>
  <si>
    <t>4. Históricos: se revisan contratos 152-COREC-2025 y 304-COREC-2025. Para la comparación monetaria se actualizan a agosto de 2026 usando IPC DANE, únicamente cuando la especificación es comparable.</t>
  </si>
  <si>
    <t>5. Comparabilidad: ítems 1, 3 y 4 son comparables en términos generales; el ítem 2 actual incorpora canales de datos y un alcance territorial/técnico ampliado, por lo que su histórico se presenta solo como antecedente y no como parámetro de precio.</t>
  </si>
  <si>
    <t>6. Estadística: media aritmética, mediana, mínimo, máximo, desviación estándar poblacional, coeficiente de variación y control de datos atípicos. Con tres o menos observaciones, el RIC se considera únicamente indicativo.</t>
  </si>
  <si>
    <t>7. Precio de referencia: se adopta el promedio de las cotizaciones actuales válidas por ítem. El histórico actualizado funciona como prueba de razonabilidad y trazabilidad, no como restricción automática del precio vigente.</t>
  </si>
  <si>
    <t>8. Presupuesto: el precio unitario se determina por mercado. La cantidad contractual debe definirse separadamente según necesidad técnica y apropiación disponible; no se reduce el precio unitario para hacer coincidir el estudio con el presupuesto.</t>
  </si>
  <si>
    <t>9. Adiciones/mayores cantidades: cualquier ampliación posterior debe evaluarse jurídicamente según el sistema de precios, el objeto y la causa. No se presume una adición futura desde la planeación para cubrir una insuficiencia ya conocida.</t>
  </si>
  <si>
    <t>Fuentes oficiales y documentales</t>
  </si>
  <si>
    <t>Tipo</t>
  </si>
  <si>
    <t>Fuente</t>
  </si>
  <si>
    <t>Uso en el análisis</t>
  </si>
  <si>
    <t>URL / archivo</t>
  </si>
  <si>
    <t>Oficial</t>
  </si>
  <si>
    <t>ANCP-CCE – Guía para la Elaboración de Estudios del Sector V3</t>
  </si>
  <si>
    <t>Metodología de sondeo, históricos, actualización, estadística y atípicos</t>
  </si>
  <si>
    <t>https://www.colombiacompra.gov.co/wp-content/uploads/2025/09/Guia-para-la-Elaboracion-de-Estudios-del-Sector-V3.pdf</t>
  </si>
  <si>
    <t>ANCP-CCE – Concepto C-1311 de 2025</t>
  </si>
  <si>
    <t>Precios históricos, IPC y estudio de mercado</t>
  </si>
  <si>
    <t>https://relatoria.colombiacompra.gov.co/conceptos/c-1311-de-2025/</t>
  </si>
  <si>
    <t>DANE – IPC agosto 2026</t>
  </si>
  <si>
    <t>IPC año corrido 2026 = 5,35%; anual = 6,24%</t>
  </si>
  <si>
    <t>https://www.dane.gov.co/index.php/estadisticas-por-tema/precios-y-costos/indice-de-precios-al-consumidor-ipc/ipc-informacion-tecnica</t>
  </si>
  <si>
    <t>DANE – IPC diciembre 2025</t>
  </si>
  <si>
    <t>IPC año 2025 = 5,10%</t>
  </si>
  <si>
    <t>https://www.dane.gov.co/files/operaciones/IPC/dic2025/cp-IPC-dic2025.pdf</t>
  </si>
  <si>
    <t>DANE – IPC mayo 2025</t>
  </si>
  <si>
    <t>IPC año corrido mayo 2025 = 3,63%</t>
  </si>
  <si>
    <t>https://www.dane.gov.co/files/operaciones/IPC/may2025/bol-IPC-may2025.pdf</t>
  </si>
  <si>
    <t>Normativa</t>
  </si>
  <si>
    <t>Decreto 1082 de 2015 – Función Pública</t>
  </si>
  <si>
    <t>Deber de análisis del sector y justificación del valor estimado</t>
  </si>
  <si>
    <t>https://www.funcionpublica.gov.co/eva/gestornormativo/norma.php?i=77653</t>
  </si>
  <si>
    <t>Expediente</t>
  </si>
  <si>
    <t>Cotización BIT C Colombia SAS</t>
  </si>
  <si>
    <t>Precios unitarios sondeo actual</t>
  </si>
  <si>
    <t>FORMATO COTIZACION DATACENTER BIT.xlsx</t>
  </si>
  <si>
    <t>Cotización COMCEL S.A.</t>
  </si>
  <si>
    <t>Precios unitarios sondeo actual; ítem 5 N/A</t>
  </si>
  <si>
    <t>FORMATO COTIZACION DATACENTER COMCEL.pdf</t>
  </si>
  <si>
    <t>Cotización Global HITSS</t>
  </si>
  <si>
    <t>Precios unitarios; corrección del error de escala SECOP en ítem 2</t>
  </si>
  <si>
    <t>FORMATO COTIZACION DATACENTER HITTS.xlsx</t>
  </si>
  <si>
    <t>Contrato 152-COREC-2025</t>
  </si>
  <si>
    <t>Histórico 2025</t>
  </si>
  <si>
    <t>CONTRATO 152-COREC-2025 DATACENTER.pdf</t>
  </si>
  <si>
    <t>Contrato 304-COREC-2025 + Otrosí 1</t>
  </si>
  <si>
    <t>Histórico más reciente y comparable</t>
  </si>
  <si>
    <t>CONTRATO 304-COREC-2025 DATACENTER.pdf / OTROSI N°1</t>
  </si>
  <si>
    <t>Plan de Necesidades 2026-2027</t>
  </si>
  <si>
    <t>Cantidades, presupuesto y alcance técnico</t>
  </si>
  <si>
    <t>2026-09-Plan-Necesidades-COREC.docx</t>
  </si>
  <si>
    <t>Criterio de decisión</t>
  </si>
  <si>
    <t>Cuando el sondeo actual, reciente y abierto refleja condiciones técnicas equivalentes y cuenta con varias cotizaciones válidas, la realidad de mercado vigente es la fuente primaria para fijar el precio de referencia. El histórico actualizado no se utiliza como techo automático. Si el mercado actual es inferior, la Entidad captura el beneficio. Si es superior, debe verificar comparabilidad, dispersión y razones técnicas/económicas; si la evidencia es consistente, el precio de mercado vigente prevalece sobre un dato histórico desactualizado.</t>
  </si>
  <si>
    <t>PARÁMETROS DE ACTUALIZACIÓN MONETARIA – IPC DANE</t>
  </si>
  <si>
    <t>Variables de actualización</t>
  </si>
  <si>
    <t>Variable</t>
  </si>
  <si>
    <t>Valor</t>
  </si>
  <si>
    <t>Periodo / uso</t>
  </si>
  <si>
    <t>Fuente URL</t>
  </si>
  <si>
    <t>IPC 2026 año corrido a agosto</t>
  </si>
  <si>
    <t>Actualización del contrato 304 (diciembre 2025) a agosto 2026</t>
  </si>
  <si>
    <t>IPC 2025 año corrido a diciembre</t>
  </si>
  <si>
    <t>Componente para actualizar contrato 152</t>
  </si>
  <si>
    <t>IPC 2025 año corrido a mayo</t>
  </si>
  <si>
    <t>Base aproximada para contrato 152 suscrito/ejecutado desde mayo 2025</t>
  </si>
  <si>
    <t>Factores de actualización calculados</t>
  </si>
  <si>
    <t>Factor contrato 304 → agosto 2026</t>
  </si>
  <si>
    <t>Precio histórico × (1 + IPC 2026 año corrido)</t>
  </si>
  <si>
    <t>Factor contrato 152 (mayo 2025) → agosto 2026</t>
  </si>
  <si>
    <t>Aproxima inflación desde cierre de mayo 2025 hasta diciembre 2025 y luego enero-agosto 2026.</t>
  </si>
  <si>
    <t>Advertencia metodológica</t>
  </si>
  <si>
    <t>El IPC es una aproximación general del valor del dinero en el tiempo, no un índice sectorial específico de servicios TIC. La Guía CCE advierte que la actualización histórica no reemplaza la observación de precios actuales cuando el mercado presenta nuevas condiciones.</t>
  </si>
  <si>
    <t>Proceso</t>
  </si>
  <si>
    <t>SC-030-COREC-2026</t>
  </si>
  <si>
    <t>Publicación</t>
  </si>
  <si>
    <t>09/09/2026</t>
  </si>
  <si>
    <t>Cierre</t>
  </si>
  <si>
    <t>14/09/2026</t>
  </si>
  <si>
    <t>Precios unitarios finales (IVA incluido cuando aplica)</t>
  </si>
  <si>
    <t>Descripción</t>
  </si>
  <si>
    <t>Cantidad necesidad</t>
  </si>
  <si>
    <t>BIT C Colombia</t>
  </si>
  <si>
    <t>COMCEL</t>
  </si>
  <si>
    <t>Global HITSS</t>
  </si>
  <si>
    <t>N válidos</t>
  </si>
  <si>
    <t>Promedio</t>
  </si>
  <si>
    <t>Mediana</t>
  </si>
  <si>
    <t>Mínimo</t>
  </si>
  <si>
    <t>Máximo</t>
  </si>
  <si>
    <t>Rango</t>
  </si>
  <si>
    <t>Observación</t>
  </si>
  <si>
    <t>SERVICIO INTEGRAL DE ALOJAMIENTO Y SOPORTE DE LA INFRAESTRUCTURA TECNOLÓGICA DEL SISTEMA DE RECLUTAMIENTO Y EL PORTAL LIBRETAMILITAR.MIL.CO</t>
  </si>
  <si>
    <t>Tres cotizaciones comparables.</t>
  </si>
  <si>
    <t>SERVICIO DE COMUNICACIÓN, CANALES DE DATOS Y CONEXIÓN SEGURA NECESARIA PARA EL ACCESO AL SISTEMA DE INFORMACIÓN DE RECLUTAMIENTO Y A LOS SERVICIOS DEL MINISTERIO DE DEFENSA Y DEL EJÉRCITO NACIONAL</t>
  </si>
  <si>
    <t>HITSS depurado con soporte Excel: $925.000 + IVA = $1.100.750. El registro SECOP de $1.100.750.000 es inconsistente.</t>
  </si>
  <si>
    <t>SERVICIO DE PERFILES PARA LA ADMINISTRACIÓN DE FENIX, PORTAL LIBRETA MILITAR, RED Y SEGURIDAD DEL SISTEMA</t>
  </si>
  <si>
    <t>SERVICIOS PROFESIONALES PARA LA MODERNIZACIÓN DE FUNCIONES DEL SISTEMA DE RECLUTAMIENTO</t>
  </si>
  <si>
    <t>SERVICIO DE MIGRACIÓN INFRAESTRUCTURA (SOLO SI ES REQUERIDO POR CAMBIO DE PROVEEDOR)</t>
  </si>
  <si>
    <t>COMCEL registra N/A; se excluye del cálculo porque la migración solo aplica si hay cambio de proveedor.</t>
  </si>
  <si>
    <t>Trazabilidad de soportes</t>
  </si>
  <si>
    <t>Proveedor</t>
  </si>
  <si>
    <t>Documento soporte</t>
  </si>
  <si>
    <t>Fecha</t>
  </si>
  <si>
    <t>Total reportado / control</t>
  </si>
  <si>
    <t>Tratamiento</t>
  </si>
  <si>
    <t>$5.040.881.200</t>
  </si>
  <si>
    <t>Válida</t>
  </si>
  <si>
    <t>COMCEL S.A.</t>
  </si>
  <si>
    <t>11/09/2026</t>
  </si>
  <si>
    <t>$4.757.482.500</t>
  </si>
  <si>
    <t>Válida; ítem 5 N/A</t>
  </si>
  <si>
    <t>Total corregido mediante soporte Excel</t>
  </si>
  <si>
    <t>Válida con corrección documental del ítem 2</t>
  </si>
  <si>
    <t>HISTÓRICOS CONTRACTUALES LLEVADOS A VALOR PRESENTE – AGOSTO 2026</t>
  </si>
  <si>
    <t>Contratos históricos</t>
  </si>
  <si>
    <t>Contrato</t>
  </si>
  <si>
    <t>Referencia temporal</t>
  </si>
  <si>
    <t>Precio histórico</t>
  </si>
  <si>
    <t>Factor IPC</t>
  </si>
  <si>
    <t>Precio actualizado</t>
  </si>
  <si>
    <t>Comparabilidad / uso</t>
  </si>
  <si>
    <t>152-COREC-2025</t>
  </si>
  <si>
    <t>Mayo 2025</t>
  </si>
  <si>
    <t>Comparable como referencia histórica general; se utiliza para control de razonabilidad.</t>
  </si>
  <si>
    <t>Antecedente no homologable al alcance 2026-2027: el nuevo ítem incorpora canales de datos, sedes y conexiones adicionales. No se usa como precio de referencia.</t>
  </si>
  <si>
    <t>304-COREC-2025</t>
  </si>
  <si>
    <t>Diciembre 2025</t>
  </si>
  <si>
    <t>Histórico más reciente 304-COREC-2025 – comparación directa por ítem</t>
  </si>
  <si>
    <t>Precio 304</t>
  </si>
  <si>
    <t>Precio 304 actualizado</t>
  </si>
  <si>
    <t>Promedio mercado actual</t>
  </si>
  <si>
    <t>Variación mercado vs actualizado</t>
  </si>
  <si>
    <t>Interpretación</t>
  </si>
  <si>
    <t>El mercado actual es inferior al histórico actualizado: evidencia condición favorable para la Entidad.</t>
  </si>
  <si>
    <t>No comparar porcentualmente: cambió el alcance técnico del componente de comunicaciones/canales.</t>
  </si>
  <si>
    <t>Mercado superior al histórico actualizado; tres cotizaciones actuales confirman un nuevo nivel de precios.</t>
  </si>
  <si>
    <t>Mercado superior al histórico actualizado; requiere explicación técnica de perfiles/seniority/costos del servicio, sin desconocer el sondeo vigente.</t>
  </si>
  <si>
    <t>No existe histórico equivalente; componente nuevo y condicional.</t>
  </si>
  <si>
    <t>ANÁLISIS ESTADÍSTICO DEL SONDEO ACTUAL</t>
  </si>
  <si>
    <t>Medidas de tendencia central y dispersión</t>
  </si>
  <si>
    <t>N</t>
  </si>
  <si>
    <t>Desv. estándar P</t>
  </si>
  <si>
    <t>CV</t>
  </si>
  <si>
    <t>Q1</t>
  </si>
  <si>
    <t>Q3</t>
  </si>
  <si>
    <t>RIC</t>
  </si>
  <si>
    <t>Límite inferior</t>
  </si>
  <si>
    <t>Límite superior</t>
  </si>
  <si>
    <t>Atípicos</t>
  </si>
  <si>
    <t>Dispersión baja; alta homogeneidad.</t>
  </si>
  <si>
    <t>Dispersión moderada/alta; revisar alcance y condiciones de canales.</t>
  </si>
  <si>
    <t>Dispersión moderada; precios consistentes dentro del sondeo.</t>
  </si>
  <si>
    <t>Dispersión moderada; precios consistentes, pero superiores al histórico.</t>
  </si>
  <si>
    <t>Dos observaciones válidas; RIC tiene valor únicamente indicativo.</t>
  </si>
  <si>
    <t>Nota sobre atípicos</t>
  </si>
  <si>
    <t>La Guía CCE recomienda no eliminar datos únicamente por ser estadísticamente atípicos. Antes de excluir cualquier observación debe existir una razón cualitativa documentada. En este proceso, el error del ítem 2 de HITSS se corrige porque existe soporte primario del proveedor que demuestra el valor correcto; no se trata de una exclusión por conveniencia estadística.</t>
  </si>
  <si>
    <t>CONTRASTE INTEGRADO: MERCADO ACTUAL VS HISTÓRICO ACTUALIZADO</t>
  </si>
  <si>
    <t>Comparación y prueba de razonabilidad</t>
  </si>
  <si>
    <t>Promedio mercado</t>
  </si>
  <si>
    <t>Diferencia $</t>
  </si>
  <si>
    <t>Diferencia %</t>
  </si>
  <si>
    <t>Hist. 152 actualizado</t>
  </si>
  <si>
    <t>Conclusión</t>
  </si>
  <si>
    <t>Mercado favorable: promedio actual menor que ambos históricos actualizados.</t>
  </si>
  <si>
    <t>Histórico no homologable. La ampliación del alcance explica que no se use como techo de referencia.</t>
  </si>
  <si>
    <t>Mercado actual superior al histórico; la coincidencia de las tres cotizaciones indica cambio del nivel de precios. Se conserva el promedio actual como referencia y se documenta la variación.</t>
  </si>
  <si>
    <t>Mercado actual superior al histórico; conservar mercado actual sujeto a validación técnica del perfil/alcance y trazabilidad de costos.</t>
  </si>
  <si>
    <t>Sin histórico comparable; usar promedio de BIT e HITSS. COMCEL N/A.</t>
  </si>
  <si>
    <t>Escenario alternativo: promedio incluyendo histórico 304 como cuarta observación (solo control)</t>
  </si>
  <si>
    <t>Promedio integrado de control</t>
  </si>
  <si>
    <t>Diferencia frente a mercado</t>
  </si>
  <si>
    <t>Uso</t>
  </si>
  <si>
    <t>Solo control de sensibilidad. No se adopta como referencia principal porque el sondeo vigente contiene tres observaciones actuales.</t>
  </si>
  <si>
    <t>No incorporar histórico por falta de comparabilidad técnica.</t>
  </si>
  <si>
    <t>No existe histórico comparable.</t>
  </si>
  <si>
    <t>Total necesidad plena – metodología principal (mercado actual)</t>
  </si>
  <si>
    <t>Total necesidad plena – control integrado (histórico 304 solo donde comparable)</t>
  </si>
  <si>
    <t>Diferencia % control integrado vs mercado actual</t>
  </si>
  <si>
    <t>DETERMINACIÓN DEL PRECIO UNITARIO DE REFERENCIA</t>
  </si>
  <si>
    <t>Regla adoptada</t>
  </si>
  <si>
    <t>Regla</t>
  </si>
  <si>
    <t>Precio unitario de referencia = PROMEDIO ARITMÉTICO de las cotizaciones actuales válidas por ítem, después de normalizar impuestos, validar alcance y depurar errores documentales. El histórico actualizado se usa como contraste de razonabilidad. Esta elección evita que un dato histórico desactualizado impida capturar condiciones actuales favorables o distorsione un mercado que ha cambiado.</t>
  </si>
  <si>
    <t>BIT</t>
  </si>
  <si>
    <t>HITSS</t>
  </si>
  <si>
    <t>Precio unitario referencia</t>
  </si>
  <si>
    <t>Mediana control</t>
  </si>
  <si>
    <t>Var. ref./hist.</t>
  </si>
  <si>
    <t>Decisión</t>
  </si>
  <si>
    <t>Adoptar promedio mercado. Es inferior al histórico actualizado.</t>
  </si>
  <si>
    <t>Adoptar promedio mercado. Histórico no comparable por ampliación del alcance.</t>
  </si>
  <si>
    <t>Adoptar promedio mercado, dejando justificación de la variación frente al histórico.</t>
  </si>
  <si>
    <t>Adoptar promedio mercado, con validación técnica expresa del incremento frente al histórico.</t>
  </si>
  <si>
    <t>Adoptar promedio de las dos cotizaciones efectivas. COMCEL N/A no equivale a $0.</t>
  </si>
  <si>
    <t>Totales bajo necesidad técnica inicialmente prevista</t>
  </si>
  <si>
    <t>Cantidad técnica</t>
  </si>
  <si>
    <t>Costo total necesidad</t>
  </si>
  <si>
    <t>TOTAL CON MIGRACIÓN</t>
  </si>
  <si>
    <t>TOTAL SIN MIGRACIÓN</t>
  </si>
  <si>
    <t>CONTROL PRESUPUESTAL Y ESCENARIOS DE CANTIDAD</t>
  </si>
  <si>
    <t>Recursos disponibles</t>
  </si>
  <si>
    <t>Apalancamiento 2026</t>
  </si>
  <si>
    <t>Presupuesto total 2026 + vigencia futura 2027</t>
  </si>
  <si>
    <t>Vigencia futura 2027</t>
  </si>
  <si>
    <t>Costo de la necesidad frente al presupuesto</t>
  </si>
  <si>
    <t>Costo necesidad plena SIN migración</t>
  </si>
  <si>
    <t>Costo necesidad plena CON migración</t>
  </si>
  <si>
    <t>Déficit SIN migración</t>
  </si>
  <si>
    <t>Déficit CON migración</t>
  </si>
  <si>
    <t>Cobertura presupuesto SIN migración</t>
  </si>
  <si>
    <t>Cobertura presupuesto CON migración</t>
  </si>
  <si>
    <t>Costo 365 días ítems 1 a 3, sin ítem 4 ni migración</t>
  </si>
  <si>
    <t>Este mínimo teórico ya supera el presupuesto total. No basta con reducir únicamente las horas de modernización.</t>
  </si>
  <si>
    <t>Escenario ilustrativo de cantidades si se limita el valor a $4.500 millones</t>
  </si>
  <si>
    <t>IMPORTANTE</t>
  </si>
  <si>
    <t>Este escenario NO es una recomendación automática. Solo muestra el efecto matemático de limitar cantidades por presupuesto. El área técnica debe confirmar si las cantidades son divisibles/reducibles. Si la continuidad 365 días es indispensable, la solución correcta es ampliar recursos o ajustar alcance, no programar desde ahora una adición futura.</t>
  </si>
  <si>
    <t>Factor prorrateo sin migración</t>
  </si>
  <si>
    <t>Precio ref.</t>
  </si>
  <si>
    <t>Costo técnico</t>
  </si>
  <si>
    <t>Cantidad máxima teórica con prorrateo</t>
  </si>
  <si>
    <t>Cantidad entera prudente</t>
  </si>
  <si>
    <t>Costo cantidad prudente</t>
  </si>
  <si>
    <t>Faltante cantidad</t>
  </si>
  <si>
    <t>Solo escenario financiero. La reducción debe ser técnicamente viable y documentada.</t>
  </si>
  <si>
    <t>Costo prorrateado aproximado</t>
  </si>
  <si>
    <t>Saldo/remanente</t>
  </si>
  <si>
    <t>Regla para cantidades y eventual ampliación</t>
  </si>
  <si>
    <t>El estudio de mercado determina precios unitarios de referencia. La cantidad debe responder a la necesidad técnica y al presupuesto disponible. Si posteriormente aparecen nuevas necesidades o mayores cantidades, cualquier modificación debe estar debidamente justificada, contar con respaldo presupuestal y ser revisada según el sistema de precios pactado y la normativa aplicable. No es recomendable estructurar desde el inicio una cantidad deliberadamente insuficiente bajo el supuesto de que necesariamente será adicionada después.</t>
  </si>
  <si>
    <t>Metodología para la determinación de precios de referencia</t>
  </si>
  <si>
    <t>Para la determinación de los precios unitarios de referencia del presente proceso, la Entidad efectuó un análisis integral de mercado que combina información contemporánea obtenida mediante sondeo abierto en SECOP II y antecedentes contractuales propios, siguiendo las recomendaciones de la Guía para la Elaboración de Estudios del Sector de la Agencia Nacional de Contratación Pública – Colombia Compra Eficiente. La metodología distingue entre la fuente primaria de precios vigentes y las fuentes históricas de contraste, con el propósito de preservar la trazabilidad, verificar la razonabilidad económica y evitar la aplicación mecánica de valores desactualizados.</t>
  </si>
  <si>
    <t>Como fuente primaria se utilizaron las cotizaciones recibidas en la Solicitud de Información a Proveedores SC-030-COREC-2026, publicada el 9 de septiembre de 2026 y cerrada el 14 de septiembre de 2026. Se analizaron los precios unitarios finales de BIT C Colombia SAS, Comunicación Celular COMCEL S.A. y Global HITSS Colombia SAS. Para el ítem 5, COMCEL registró N/A, circunstancia coherente con el carácter condicional del servicio de migración cuando no existe cambio de proveedor, por lo cual dicho registro no se interpreta como precio cero ni participa en el promedio estadístico.</t>
  </si>
  <si>
    <t>Paralelamente, se revisaron los contratos 152-COREC-2025 y 304-COREC-2025. Para hacer comparables las cifras monetarias, los precios históricos se expresaron a valor presente de agosto de 2026 mediante el IPC publicado por el DANE. El contrato 304-COREC-2025, por ser el antecedente más reciente y de mayor similitud, se actualizó con la variación año corrido enero-agosto de 2026 (5,35%). El contrato 152-COREC-2025 se actualizó de forma aproximada desde mayo de 2025 hasta agosto de 2026 utilizando las variaciones acumuladas oficiales del IPC. Esta actualización tiene carácter de referencia, puesto que el IPC constituye una aproximación general del valor del dinero en el tiempo y no un índice sectorial específico para servicios tecnológicos.</t>
  </si>
  <si>
    <t>La comparación confirmó que el ítem 1 presenta condiciones actuales favorables para la Entidad, pues el promedio del sondeo se encuentra por debajo del histórico más reciente actualizado. En los ítems 3 y 4 el mercado actual refleja precios superiores al histórico actualizado; no obstante, las tres cotizaciones vigentes se ubican en rangos consistentes entre sí, lo cual evidencia una modificación del nivel de precios del mercado y exige dejar documentadas las razones técnicas y económicas del incremento, especialmente en los servicios profesionales. El ítem 2 no se comparó porcentualmente con el histórico debido a que el alcance actual incorpora canales de datos, sedes y condiciones de conectividad adicionales, circunstancia que impide tratar el precio anterior como equivalente.</t>
  </si>
  <si>
    <t>La Guía vigente de Colombia Compra Eficiente sugiere, cuando sea técnica y económicamente viable, incorporar los precios históricos actualizados dentro del análisis de cotizaciones como una observación adicional. En aplicación de esta recomendación, la Entidad efectuó un contraste integrado para los ítems 1, 3 y 4, únicos con comparabilidad suficiente. Sin embargo, la propia Guía advierte que cambios en proveedores, abundancia, escasez y condiciones macroeconómicas pueden generar precios actuales distintos de los históricos indexados. Por tal razón, el histórico actualizado se utiliza como control de razonabilidad y no como techo automático. El precio unitario de referencia adoptado corresponde al promedio aritmético de las cotizaciones actuales válidas, al tratarse de información contemporánea, plural y específica del alcance vigente. Cuando el mercado actual resulta inferior al histórico actualizado —como ocurre en el ítem 1— se captura esa condición favorable; cuando resulta superior —ítems 3 y 4— se conserva el mercado vigente, sujeto a la trazabilidad y justificación técnica de la variación.</t>
  </si>
  <si>
    <t>Los precios unitarios de referencia resultantes son: ítem 1 $8.617.100 por día; ítem 2 $982.543 por día; ítem 3 $2.863.933 por día; ítem 4 $145.973 por hora; e ítem 5 $99.960.000 por servicio, este último únicamente cuando la migración sea requerida. Estos valores son referencias unitarias y no deben modificarse artificialmente para hacerlos coincidir con el presupuesto disponible.</t>
  </si>
  <si>
    <t>La necesidad técnica inicialmente prevista asciende a 365 días para los ítems 1, 2 y 3, 3.000 horas para el ítem 4 y un servicio condicional de migración para el ítem 5. Aplicando los precios de referencia, el costo de la necesidad plena supera el presupuesto disponible de $4.500.000.000. Por tal razón, corresponde al área técnica definir y justificar las cantidades efectivamente financiables o ajustar el alcance, siempre preservando la continuidad y funcionalidad del servicio. La eventual ampliación posterior de cantidades no debe asumirse como un hecho cierto desde la planeación; cualquier modificación deberá analizarse en su momento, con soporte técnico, presupuestal y jurídico, atendiendo al sistema de precios y a las reglas de modificación contractual aplicables.</t>
  </si>
  <si>
    <t>PROMPT MAESTRO – REVISIÓN ECONÓMICA DE ESTUDIO DE MERCADO</t>
  </si>
  <si>
    <t>Actúa como experto senior en contratación estatal colombiana, estructuración económica, análisis de mercado y estadística aplicada. Revisa un proceso de contratación de servicios tecnológicos bajo la Ley 80 de 1993, Ley 1150 de 2007 y Decreto 1082 de 2015, utilizando la Guía vigente de Colombia Compra Eficiente para Estudios del Sector. 1) Identifica y normaliza las cotizaciones actuales por ítem, unidad, cantidad, IVA y valor unitario final. 2) Revisa contratos históricos técnicamente comparables y llévalos a moneda corriente usando el IPC oficial DANE, explicando el factor aplicado. 3) No trates un histórico como techo automático: úsalo como control de razonabilidad. Si el mercado actual es más favorable, prioriza la evidencia vigente; si es más alto, verifica comparabilidad, dispersión, cambios de alcance y razones económicas. 4) Calcula media, mediana, mínimo, máximo, desviación estándar, coeficiente de variación y control de atípicos, sin excluir observaciones sin justificación cualitativa. 5) Determina un precio unitario de referencia por ítem con una regla transparente y consistente. 6) Separa precio unitario de cantidad: no reduzcas el precio para ajustarlo al presupuesto. Calcula el costo de la necesidad plena, el déficit/superávit y escenarios de cantidades financiables. 7) Si el presupuesto no alcanza, identifica qué variables deben ser ajustadas por el área técnica y advierte que una adición futura no debe darse por segura desde la planeación. 8) Documenta cada fuente, fórmula y decisión para que el análisis sea auditable y publicable en SECOP II. Entrega una matriz Excel trazable, fórmulas verificables y texto técnico listo para anexar al estudio de mercado.</t>
  </si>
  <si>
    <t>VALIDACIONES DE INTEGRIDAD Y CONTROL DE FÓRMULAS</t>
  </si>
  <si>
    <t>Pruebas automáticas</t>
  </si>
  <si>
    <t>Prueba</t>
  </si>
  <si>
    <t>Fórmula / control</t>
  </si>
  <si>
    <t>Resultado esperado</t>
  </si>
  <si>
    <t>Estado</t>
  </si>
  <si>
    <t>Total BIT coincide con soporte</t>
  </si>
  <si>
    <t>Total COMCEL ítems 1-4 coincide con soporte</t>
  </si>
  <si>
    <t>HITSS ítem 2 depurado</t>
  </si>
  <si>
    <t>Precio ref ítem 1</t>
  </si>
  <si>
    <t>Precio ref ítem 2</t>
  </si>
  <si>
    <t>Precio ref ítem 3</t>
  </si>
  <si>
    <t>Precio ref ítem 4</t>
  </si>
  <si>
    <t>Precio ref ítem 5</t>
  </si>
  <si>
    <t>Presupuesto total</t>
  </si>
  <si>
    <t>Control lógico</t>
  </si>
  <si>
    <t>El archivo debe mostrar 5 precios unitarios de referencia, 3 cotizaciones válidas para ítems 1-4 y 2 cotizaciones válidas para ítem 5; ninguna fórmula debe contener #REF!, #DIV/0!, #VALUE!, #NAME? o referencias circulares.</t>
  </si>
  <si>
    <t>MATRIZ MAESTRA DE TRAZABILIDAD – FUENTE, NORMALIZACIÓN, ACTUALIZACIÓN Y DECISIÓN</t>
  </si>
  <si>
    <t>Trazabilidad por fuente e ítem</t>
  </si>
  <si>
    <t>Fecha base</t>
  </si>
  <si>
    <t>Precio fuente</t>
  </si>
  <si>
    <t>IVA/normalización</t>
  </si>
  <si>
    <t>Precio comparable 2026</t>
  </si>
  <si>
    <t>Incluye promedio mercado</t>
  </si>
  <si>
    <t>Incluye control histórico</t>
  </si>
  <si>
    <t>Comparabilidad</t>
  </si>
  <si>
    <t>Decisión / uso</t>
  </si>
  <si>
    <t>Soporte</t>
  </si>
  <si>
    <t>Cotización actual</t>
  </si>
  <si>
    <t>Valor unitario final; IVA incluido cuando aplica. Ítem 1 sin IVA.</t>
  </si>
  <si>
    <t>SÍ</t>
  </si>
  <si>
    <t>NO</t>
  </si>
  <si>
    <t>Actual / alcance vigente</t>
  </si>
  <si>
    <t>Observación primaria de mercado.</t>
  </si>
  <si>
    <t>Se corrige error de escala de SECOP con soporte primario: $1.100.750, no $1.100.750.000.</t>
  </si>
  <si>
    <t>No aplica para COMCEL bajo continuidad</t>
  </si>
  <si>
    <t>Excluir del promedio del ítem 5; N/A no equivale a cero.</t>
  </si>
  <si>
    <t>Histórico contractual</t>
  </si>
  <si>
    <t>2025</t>
  </si>
  <si>
    <t>Precio adjudicado histórico</t>
  </si>
  <si>
    <t>Comparable general</t>
  </si>
  <si>
    <t>Control integrado como observación histórica adicional; no referencia principal.</t>
  </si>
  <si>
    <t>CONTRATO 304-COREC-2025 + OTROSI No. 1</t>
  </si>
  <si>
    <t>Actualizado a agosto de 2026 con factor IPC documentado.</t>
  </si>
  <si>
    <t>No homologable al alcance actual</t>
  </si>
  <si>
    <t>Solo antecedente; no participa en el promedio/control de precio.</t>
  </si>
  <si>
    <t>Referencia secundaria</t>
  </si>
  <si>
    <t>Tendencia histórica; no se incorpora al precio principal.</t>
  </si>
  <si>
    <t>CONTRATO 152-COREC-2025</t>
  </si>
  <si>
    <t>Determinación final por ítem</t>
  </si>
  <si>
    <t>Promedio integrado control</t>
  </si>
  <si>
    <t>Precio referencia adoptado</t>
  </si>
  <si>
    <t>Var. ref vs hist.</t>
  </si>
  <si>
    <t>Costo necesidad</t>
  </si>
  <si>
    <t>Presupuesto disponible</t>
  </si>
  <si>
    <t>Fundamento</t>
  </si>
  <si>
    <t>MERCADO FAVORABLE</t>
  </si>
  <si>
    <t>Se adopta el mercado vigente: las tres cotizaciones son inferiores al histórico 304 indexado.</t>
  </si>
  <si>
    <t>ALCANCE CAMBIÓ</t>
  </si>
  <si>
    <t>Se adopta mercado vigente; no hay equivalencia directa con el histórico por canales/sedes adicionales.</t>
  </si>
  <si>
    <t>MERCADO &gt; HISTÓRICO</t>
  </si>
  <si>
    <t>Se adopta mercado vigente; las tres cotizaciones actuales son superiores y consistentes. Documentar cambios de costos/perfiles.</t>
  </si>
  <si>
    <t>Se adopta mercado vigente; las tres cotizaciones actuales son superiores. Reforzar soporte técnico/económico.</t>
  </si>
  <si>
    <t>NUEVO/CONDICIONAL</t>
  </si>
  <si>
    <t>Promedio de dos valores efectivos; COMCEL N/A se excluye.</t>
  </si>
  <si>
    <t xml:space="preserve">ESTUDIO DE MERCADO – DATACENTER SC-030-COREC-2026 </t>
  </si>
  <si>
    <t xml:space="preserve">SONDEO DE MERCADO ACTUAL – COTIZACIONES </t>
  </si>
  <si>
    <t>RESUMEN DEL ANALISIS Y ESTUDIO DE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</si>
</sst>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Red]\(\$#,##0\);\-"/>
    <numFmt numFmtId="165" formatCode="0.00%;[Red]\(0.00%\);\-"/>
    <numFmt numFmtId="166" formatCode="0.000000\x"/>
    <numFmt numFmtId="167" formatCode="0.0"/>
  </numFmts>
  <fonts count="20" x14ac:knownFonts="1">
    <font>
      <sz val="11"/>
      <color theme="1"/>
      <name val="Calibri"/>
      <family val="2"/>
      <scheme val="minor"/>
    </font>
    <font>
      <b/>
      <sz val="13"/>
      <color rgb="FFFFFFFF"/>
      <name val="Arial"/>
      <family val="2"/>
    </font>
    <font>
      <b/>
      <sz val="10"/>
      <color rgb="FF17365D"/>
      <name val="Arial"/>
      <family val="2"/>
    </font>
    <font>
      <b/>
      <sz val="10"/>
      <color rgb="FFFFFFFF"/>
      <name val="Arial"/>
      <family val="2"/>
    </font>
    <font>
      <b/>
      <sz val="9"/>
      <color rgb="FFFFFFFF"/>
      <name val="Arial"/>
      <family val="2"/>
    </font>
    <font>
      <sz val="10"/>
      <color rgb="FF000000"/>
      <name val="Arial"/>
      <family val="2"/>
    </font>
    <font>
      <sz val="10"/>
      <color rgb="FF666666"/>
      <name val="Arial"/>
      <family val="2"/>
    </font>
    <font>
      <sz val="10"/>
      <color rgb="FF008000"/>
      <name val="Arial"/>
      <family val="2"/>
    </font>
    <font>
      <sz val="10"/>
      <color rgb="FF0000FF"/>
      <name val="Arial"/>
      <family val="2"/>
    </font>
    <font>
      <b/>
      <sz val="11"/>
      <color rgb="FF17365D"/>
      <name val="Calibri"/>
      <family val="2"/>
    </font>
    <font>
      <sz val="10"/>
      <name val="Arial"/>
      <family val="2"/>
    </font>
    <font>
      <sz val="11"/>
      <name val="Arial"/>
      <family val="2"/>
    </font>
    <font>
      <sz val="9"/>
      <color rgb="FF000000"/>
      <name val="Arial"/>
      <family val="2"/>
    </font>
    <font>
      <sz val="11"/>
      <color rgb="FF000000"/>
      <name val="Calibri"/>
      <family val="2"/>
    </font>
    <font>
      <sz val="14"/>
      <color theme="1"/>
      <name val="Calibri"/>
      <family val="2"/>
      <scheme val="minor"/>
    </font>
    <font>
      <b/>
      <sz val="16"/>
      <color rgb="FFFFFFFF"/>
      <name val="Arial"/>
      <family val="2"/>
    </font>
    <font>
      <sz val="16"/>
      <color theme="1"/>
      <name val="Calibri"/>
      <family val="2"/>
      <scheme val="minor"/>
    </font>
    <font>
      <sz val="16"/>
      <color rgb="FF008000"/>
      <name val="Arial"/>
      <family val="2"/>
    </font>
    <font>
      <sz val="16"/>
      <color rgb="FF666666"/>
      <name val="Arial"/>
      <family val="2"/>
    </font>
    <font>
      <sz val="26"/>
      <color theme="1"/>
      <name val="Calibri"/>
      <family val="2"/>
      <scheme val="minor"/>
    </font>
  </fonts>
  <fills count="10">
    <fill>
      <patternFill patternType="none"/>
    </fill>
    <fill>
      <patternFill patternType="gray125"/>
    </fill>
    <fill>
      <patternFill patternType="solid">
        <fgColor rgb="FF17365D"/>
      </patternFill>
    </fill>
    <fill>
      <patternFill patternType="solid">
        <fgColor rgb="FF2F75B5"/>
      </patternFill>
    </fill>
    <fill>
      <patternFill patternType="solid">
        <fgColor rgb="FFDDEBF7"/>
      </patternFill>
    </fill>
    <fill>
      <patternFill patternType="solid">
        <fgColor rgb="FFFCE4D6"/>
      </patternFill>
    </fill>
    <fill>
      <patternFill patternType="solid">
        <fgColor rgb="FFFFF2CC"/>
      </patternFill>
    </fill>
    <fill>
      <patternFill patternType="solid">
        <fgColor rgb="FFE7E6E6"/>
      </patternFill>
    </fill>
    <fill>
      <patternFill patternType="solid">
        <fgColor rgb="FFD9EAF7"/>
      </patternFill>
    </fill>
    <fill>
      <patternFill patternType="solid">
        <fgColor rgb="FFE2F0D9"/>
      </patternFill>
    </fill>
  </fills>
  <borders count="4">
    <border>
      <left/>
      <right/>
      <top/>
      <bottom/>
      <diagonal/>
    </border>
    <border>
      <left/>
      <right/>
      <top/>
      <bottom style="medium">
        <color rgb="FF17365D"/>
      </bottom>
      <diagonal/>
    </border>
    <border>
      <left/>
      <right/>
      <top/>
      <bottom style="medium">
        <color rgb="FF17365D"/>
      </bottom>
      <diagonal/>
    </border>
    <border>
      <left/>
      <right/>
      <top/>
      <bottom style="medium">
        <color rgb="FF17365D"/>
      </bottom>
      <diagonal/>
    </border>
  </borders>
  <cellStyleXfs count="1">
    <xf numFmtId="0" fontId="0" fillId="0" borderId="0"/>
  </cellStyleXfs>
  <cellXfs count="85">
    <xf numFmtId="0" fontId="0" fillId="0" borderId="0" xfId="0"/>
    <xf numFmtId="0" fontId="0" fillId="0" borderId="0" xfId="0" applyAlignment="1">
      <alignment vertical="top"/>
    </xf>
    <xf numFmtId="0" fontId="2" fillId="0" borderId="0" xfId="0" applyFont="1" applyAlignment="1">
      <alignment vertical="top"/>
    </xf>
    <xf numFmtId="0" fontId="0" fillId="0" borderId="0" xfId="0" applyAlignment="1">
      <alignment vertical="top" wrapText="1"/>
    </xf>
    <xf numFmtId="0" fontId="4" fillId="3" borderId="1" xfId="0" applyFont="1" applyFill="1" applyBorder="1" applyAlignment="1">
      <alignment horizontal="center" vertical="center" wrapText="1"/>
    </xf>
    <xf numFmtId="0" fontId="5" fillId="0" borderId="0" xfId="0" applyFont="1" applyAlignment="1">
      <alignment vertical="top" wrapText="1"/>
    </xf>
    <xf numFmtId="164" fontId="5" fillId="0" borderId="0" xfId="0" applyNumberFormat="1" applyFont="1" applyAlignment="1">
      <alignment vertical="top" wrapText="1"/>
    </xf>
    <xf numFmtId="165" fontId="5" fillId="0" borderId="0" xfId="0" applyNumberFormat="1" applyFont="1" applyAlignment="1">
      <alignment vertical="top" wrapText="1"/>
    </xf>
    <xf numFmtId="164" fontId="5" fillId="4" borderId="0" xfId="0" applyNumberFormat="1" applyFont="1" applyFill="1" applyAlignment="1">
      <alignment vertical="top"/>
    </xf>
    <xf numFmtId="164" fontId="5" fillId="5" borderId="0" xfId="0" applyNumberFormat="1" applyFont="1" applyFill="1" applyAlignment="1">
      <alignment vertical="top"/>
    </xf>
    <xf numFmtId="165" fontId="5" fillId="4" borderId="0" xfId="0" applyNumberFormat="1" applyFont="1" applyFill="1" applyAlignment="1">
      <alignment vertical="top"/>
    </xf>
    <xf numFmtId="165" fontId="5" fillId="0" borderId="0" xfId="0" applyNumberFormat="1" applyFont="1" applyAlignment="1">
      <alignment vertical="top"/>
    </xf>
    <xf numFmtId="0" fontId="6" fillId="0" borderId="0" xfId="0" applyFont="1" applyAlignment="1">
      <alignment vertical="top"/>
    </xf>
    <xf numFmtId="165" fontId="8" fillId="0" borderId="0" xfId="0" applyNumberFormat="1" applyFont="1" applyAlignment="1">
      <alignment vertical="top"/>
    </xf>
    <xf numFmtId="166" fontId="5" fillId="0" borderId="0" xfId="0" applyNumberFormat="1" applyFont="1" applyAlignment="1">
      <alignment vertical="top"/>
    </xf>
    <xf numFmtId="0" fontId="0" fillId="0" borderId="0" xfId="0" applyAlignment="1">
      <alignment wrapText="1"/>
    </xf>
    <xf numFmtId="164" fontId="7" fillId="0" borderId="0" xfId="0" applyNumberFormat="1" applyFont="1" applyAlignment="1">
      <alignment vertical="top"/>
    </xf>
    <xf numFmtId="0" fontId="5" fillId="0" borderId="0" xfId="0" applyFont="1" applyAlignment="1">
      <alignment vertical="top"/>
    </xf>
    <xf numFmtId="164" fontId="5" fillId="0" borderId="0" xfId="0" applyNumberFormat="1" applyFont="1" applyAlignment="1">
      <alignment vertical="top"/>
    </xf>
    <xf numFmtId="164" fontId="0" fillId="0" borderId="0" xfId="0" applyNumberFormat="1" applyAlignment="1">
      <alignment vertical="top"/>
    </xf>
    <xf numFmtId="165" fontId="0" fillId="0" borderId="0" xfId="0" applyNumberFormat="1" applyAlignment="1">
      <alignment vertical="top"/>
    </xf>
    <xf numFmtId="165" fontId="5" fillId="9" borderId="0" xfId="0" applyNumberFormat="1" applyFont="1" applyFill="1" applyAlignment="1">
      <alignment vertical="top"/>
    </xf>
    <xf numFmtId="165" fontId="5" fillId="5" borderId="0" xfId="0" applyNumberFormat="1" applyFont="1" applyFill="1" applyAlignment="1">
      <alignment vertical="top"/>
    </xf>
    <xf numFmtId="0" fontId="9" fillId="0" borderId="0" xfId="0" applyFont="1" applyAlignment="1">
      <alignment vertical="top"/>
    </xf>
    <xf numFmtId="164" fontId="8" fillId="0" borderId="0" xfId="0" applyNumberFormat="1" applyFont="1" applyAlignment="1">
      <alignment vertical="top"/>
    </xf>
    <xf numFmtId="167" fontId="5" fillId="0" borderId="0" xfId="0" applyNumberFormat="1" applyFont="1" applyAlignment="1">
      <alignment vertical="top"/>
    </xf>
    <xf numFmtId="0" fontId="4" fillId="3" borderId="0" xfId="0" applyFont="1" applyFill="1" applyAlignment="1">
      <alignment vertical="top" wrapText="1"/>
    </xf>
    <xf numFmtId="164" fontId="12" fillId="0" borderId="0" xfId="0" applyNumberFormat="1" applyFont="1" applyAlignment="1">
      <alignment vertical="top" wrapText="1"/>
    </xf>
    <xf numFmtId="166" fontId="0" fillId="0" borderId="0" xfId="0" applyNumberFormat="1" applyAlignment="1">
      <alignment vertical="top" wrapText="1"/>
    </xf>
    <xf numFmtId="166" fontId="12" fillId="0" borderId="0" xfId="0" applyNumberFormat="1" applyFont="1" applyAlignment="1">
      <alignment vertical="top" wrapText="1"/>
    </xf>
    <xf numFmtId="165" fontId="12" fillId="0" borderId="0" xfId="0" applyNumberFormat="1" applyFont="1" applyAlignment="1">
      <alignment vertical="top" wrapText="1"/>
    </xf>
    <xf numFmtId="164" fontId="0" fillId="0" borderId="0" xfId="0" applyNumberFormat="1" applyAlignment="1">
      <alignment vertical="top" wrapText="1"/>
    </xf>
    <xf numFmtId="0" fontId="0" fillId="0" borderId="0" xfId="0" applyAlignment="1">
      <alignment vertical="top" wrapText="1"/>
    </xf>
    <xf numFmtId="0" fontId="0" fillId="0" borderId="0" xfId="0"/>
    <xf numFmtId="0" fontId="3" fillId="2" borderId="0" xfId="0" applyFont="1" applyFill="1" applyAlignment="1">
      <alignment horizontal="left" vertical="center"/>
    </xf>
    <xf numFmtId="0" fontId="5" fillId="0" borderId="0" xfId="0" applyFont="1" applyAlignment="1">
      <alignment vertical="top" wrapText="1"/>
    </xf>
    <xf numFmtId="0" fontId="4" fillId="3" borderId="3" xfId="0" applyFont="1" applyFill="1" applyBorder="1" applyAlignment="1">
      <alignment horizontal="center" vertical="center" wrapText="1"/>
    </xf>
    <xf numFmtId="0" fontId="0" fillId="0" borderId="2" xfId="0" applyBorder="1"/>
    <xf numFmtId="0" fontId="1" fillId="2" borderId="0" xfId="0" applyFont="1" applyFill="1" applyAlignment="1">
      <alignment horizontal="left" vertical="center"/>
    </xf>
    <xf numFmtId="0" fontId="0" fillId="6" borderId="0" xfId="0" applyFill="1" applyAlignment="1">
      <alignment vertical="top" wrapText="1"/>
    </xf>
    <xf numFmtId="0" fontId="7" fillId="0" borderId="0" xfId="0" applyFont="1" applyAlignment="1">
      <alignment vertical="top"/>
    </xf>
    <xf numFmtId="0" fontId="0" fillId="5" borderId="0" xfId="0" applyFill="1" applyAlignment="1">
      <alignment vertical="top" wrapText="1"/>
    </xf>
    <xf numFmtId="0" fontId="0" fillId="0" borderId="0" xfId="0" applyAlignment="1">
      <alignment wrapText="1"/>
    </xf>
    <xf numFmtId="164" fontId="5" fillId="0" borderId="0" xfId="0" applyNumberFormat="1" applyFont="1" applyAlignment="1">
      <alignment vertical="top"/>
    </xf>
    <xf numFmtId="0" fontId="10" fillId="0" borderId="0" xfId="0" applyFont="1" applyAlignment="1">
      <alignment vertical="top" wrapText="1"/>
    </xf>
    <xf numFmtId="0" fontId="11" fillId="8" borderId="0" xfId="0" applyFont="1" applyFill="1" applyAlignment="1">
      <alignment vertical="top" wrapText="1"/>
    </xf>
    <xf numFmtId="0" fontId="5" fillId="9" borderId="0" xfId="0" applyFont="1" applyFill="1" applyAlignment="1">
      <alignment vertical="top"/>
    </xf>
    <xf numFmtId="0" fontId="3" fillId="2" borderId="0" xfId="0" applyFont="1" applyFill="1" applyAlignment="1">
      <alignment vertical="top" wrapText="1"/>
    </xf>
    <xf numFmtId="0" fontId="4" fillId="3" borderId="0" xfId="0" applyFont="1" applyFill="1" applyAlignment="1">
      <alignment vertical="top" wrapText="1"/>
    </xf>
    <xf numFmtId="0" fontId="1" fillId="2" borderId="0" xfId="0" applyFont="1" applyFill="1" applyAlignment="1">
      <alignment vertical="top" wrapText="1"/>
    </xf>
    <xf numFmtId="0" fontId="1" fillId="2" borderId="0" xfId="0" applyFont="1" applyFill="1" applyAlignment="1">
      <alignment horizontal="center" vertical="center"/>
    </xf>
    <xf numFmtId="0" fontId="0" fillId="0" borderId="0" xfId="0" applyAlignment="1">
      <alignment horizontal="center" vertical="center"/>
    </xf>
    <xf numFmtId="0" fontId="0" fillId="0" borderId="0" xfId="0" applyAlignment="1">
      <alignment horizontal="center" vertical="top"/>
    </xf>
    <xf numFmtId="0" fontId="2" fillId="0" borderId="0" xfId="0" applyFont="1" applyAlignment="1">
      <alignment horizontal="center" vertical="center" wrapText="1"/>
    </xf>
    <xf numFmtId="0" fontId="0" fillId="0" borderId="0" xfId="0" applyAlignment="1">
      <alignment horizontal="center"/>
    </xf>
    <xf numFmtId="0" fontId="5" fillId="6" borderId="0" xfId="0" applyFont="1" applyFill="1" applyAlignment="1">
      <alignment horizontal="center" vertical="center" wrapText="1"/>
    </xf>
    <xf numFmtId="0" fontId="5" fillId="0" borderId="0" xfId="0" applyFont="1" applyAlignment="1">
      <alignment horizontal="center" vertical="center" wrapText="1"/>
    </xf>
    <xf numFmtId="0" fontId="0" fillId="0" borderId="0" xfId="0" applyAlignment="1">
      <alignment vertical="center"/>
    </xf>
    <xf numFmtId="0" fontId="0" fillId="0" borderId="0" xfId="0" applyAlignment="1">
      <alignment vertical="center" wrapText="1"/>
    </xf>
    <xf numFmtId="164" fontId="7" fillId="0" borderId="0" xfId="0" applyNumberFormat="1" applyFont="1" applyAlignment="1">
      <alignment vertical="center"/>
    </xf>
    <xf numFmtId="0" fontId="5" fillId="0" borderId="0" xfId="0" applyFont="1" applyAlignment="1">
      <alignment vertical="center"/>
    </xf>
    <xf numFmtId="164" fontId="5" fillId="0" borderId="0" xfId="0" applyNumberFormat="1" applyFont="1" applyAlignment="1">
      <alignment vertical="center"/>
    </xf>
    <xf numFmtId="0" fontId="6" fillId="7" borderId="0" xfId="0" applyFont="1" applyFill="1" applyAlignment="1">
      <alignment vertical="center"/>
    </xf>
    <xf numFmtId="164" fontId="0" fillId="0" borderId="0" xfId="0" applyNumberFormat="1" applyAlignment="1">
      <alignment horizontal="center" vertical="center"/>
    </xf>
    <xf numFmtId="0" fontId="0" fillId="0" borderId="0" xfId="0" applyAlignment="1">
      <alignment horizontal="center" vertical="center"/>
    </xf>
    <xf numFmtId="164" fontId="5" fillId="0" borderId="0" xfId="0" applyNumberFormat="1" applyFont="1" applyAlignment="1">
      <alignment horizontal="center" vertical="center"/>
    </xf>
    <xf numFmtId="165" fontId="5" fillId="0" borderId="0" xfId="0" applyNumberFormat="1" applyFont="1" applyAlignment="1">
      <alignment horizontal="center" vertical="center"/>
    </xf>
    <xf numFmtId="0" fontId="0" fillId="0" borderId="0" xfId="0" applyAlignment="1">
      <alignment horizontal="left" vertical="center" wrapText="1"/>
    </xf>
    <xf numFmtId="0" fontId="0" fillId="0" borderId="0" xfId="0" applyAlignment="1">
      <alignment horizontal="left" vertical="center"/>
    </xf>
    <xf numFmtId="0" fontId="14" fillId="0" borderId="0" xfId="0" applyFont="1"/>
    <xf numFmtId="0" fontId="16" fillId="0" borderId="0" xfId="0" applyFont="1" applyAlignment="1">
      <alignment vertical="top" wrapText="1"/>
    </xf>
    <xf numFmtId="0" fontId="15" fillId="3" borderId="1"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7" fillId="0" borderId="0" xfId="0" applyFont="1" applyAlignment="1">
      <alignment vertical="top" wrapText="1"/>
    </xf>
    <xf numFmtId="0" fontId="18" fillId="0" borderId="0" xfId="0" applyFont="1" applyAlignment="1">
      <alignment vertical="top" wrapText="1"/>
    </xf>
    <xf numFmtId="0" fontId="15" fillId="2" borderId="0" xfId="0" applyFont="1" applyFill="1" applyAlignment="1">
      <alignment horizontal="left" vertical="center" wrapText="1"/>
    </xf>
    <xf numFmtId="0" fontId="16" fillId="0" borderId="0" xfId="0" applyFont="1" applyAlignment="1">
      <alignment wrapText="1"/>
    </xf>
    <xf numFmtId="0" fontId="16" fillId="0" borderId="0" xfId="0" applyFont="1" applyAlignment="1">
      <alignment wrapText="1"/>
    </xf>
    <xf numFmtId="0" fontId="16" fillId="0" borderId="0" xfId="0" applyFont="1" applyAlignment="1">
      <alignment vertical="top" wrapText="1"/>
    </xf>
    <xf numFmtId="0" fontId="16" fillId="0" borderId="2" xfId="0" applyFont="1" applyBorder="1" applyAlignment="1">
      <alignment wrapText="1"/>
    </xf>
    <xf numFmtId="0" fontId="17" fillId="0" borderId="0" xfId="0" applyFont="1" applyAlignment="1">
      <alignment vertical="top" wrapText="1"/>
    </xf>
    <xf numFmtId="0" fontId="18" fillId="0" borderId="0" xfId="0" applyFont="1" applyAlignment="1">
      <alignment vertical="top" wrapText="1"/>
    </xf>
    <xf numFmtId="0" fontId="19" fillId="6" borderId="0" xfId="0" applyFont="1" applyFill="1" applyAlignment="1">
      <alignment vertical="center" wrapText="1"/>
    </xf>
    <xf numFmtId="0" fontId="19" fillId="0" borderId="0" xfId="0" applyFont="1" applyAlignment="1">
      <alignment vertical="center" wrapText="1"/>
    </xf>
    <xf numFmtId="0" fontId="14" fillId="5" borderId="0" xfId="0" applyFont="1" applyFill="1" applyAlignment="1">
      <alignmen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10</xdr:col>
      <xdr:colOff>876300</xdr:colOff>
      <xdr:row>1</xdr:row>
      <xdr:rowOff>76200</xdr:rowOff>
    </xdr:from>
    <xdr:to>
      <xdr:col>11</xdr:col>
      <xdr:colOff>736600</xdr:colOff>
      <xdr:row>5</xdr:row>
      <xdr:rowOff>139700</xdr:rowOff>
    </xdr:to>
    <xdr:pic>
      <xdr:nvPicPr>
        <xdr:cNvPr id="3" name="Imagen 2">
          <a:extLst>
            <a:ext uri="{FF2B5EF4-FFF2-40B4-BE49-F238E27FC236}">
              <a16:creationId xmlns:a16="http://schemas.microsoft.com/office/drawing/2014/main" id="{A5B63885-0DEB-3360-BF41-CCD5EE9EF62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4074" t="5185" r="14074" b="16297"/>
        <a:stretch/>
      </xdr:blipFill>
      <xdr:spPr bwMode="auto">
        <a:xfrm>
          <a:off x="15443200" y="406400"/>
          <a:ext cx="927100" cy="82550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8"/>
  <sheetViews>
    <sheetView showGridLines="0" zoomScale="120" zoomScaleNormal="120" workbookViewId="0">
      <pane ySplit="7" topLeftCell="A8" activePane="bottomLeft" state="frozen"/>
      <selection pane="bottomLeft" activeCell="E44" sqref="E44"/>
    </sheetView>
  </sheetViews>
  <sheetFormatPr baseColWidth="10" defaultColWidth="8.83203125" defaultRowHeight="15" x14ac:dyDescent="0.2"/>
  <cols>
    <col min="1" max="1" width="36.1640625" customWidth="1"/>
    <col min="2" max="2" width="17" customWidth="1"/>
    <col min="3" max="3" width="16" customWidth="1"/>
    <col min="4" max="6" width="20" customWidth="1"/>
    <col min="7" max="7" width="16" customWidth="1"/>
    <col min="8" max="8" width="18" customWidth="1"/>
    <col min="9" max="12" width="14" customWidth="1"/>
  </cols>
  <sheetData>
    <row r="1" spans="1:12" ht="26" customHeight="1" x14ac:dyDescent="0.2">
      <c r="A1" s="50" t="s">
        <v>352</v>
      </c>
      <c r="B1" s="51"/>
      <c r="C1" s="51"/>
      <c r="D1" s="51"/>
      <c r="E1" s="51"/>
      <c r="F1" s="51"/>
      <c r="G1" s="51"/>
      <c r="H1" s="51"/>
      <c r="I1" s="51"/>
      <c r="J1" s="51"/>
      <c r="K1" s="51"/>
      <c r="L1" s="51"/>
    </row>
    <row r="2" spans="1:12" x14ac:dyDescent="0.2">
      <c r="A2" s="1"/>
      <c r="B2" s="1"/>
      <c r="C2" s="1"/>
      <c r="D2" s="1"/>
      <c r="E2" s="1"/>
      <c r="F2" s="1"/>
      <c r="G2" s="1"/>
      <c r="H2" s="1"/>
      <c r="I2" s="1"/>
      <c r="J2" s="1"/>
      <c r="K2" s="1"/>
      <c r="L2" s="1"/>
    </row>
    <row r="3" spans="1:12" x14ac:dyDescent="0.2">
      <c r="A3" s="2" t="s">
        <v>0</v>
      </c>
      <c r="B3" s="32" t="s">
        <v>1</v>
      </c>
      <c r="C3" s="33"/>
      <c r="D3" s="33"/>
      <c r="E3" s="33"/>
      <c r="F3" s="33"/>
      <c r="G3" s="33"/>
      <c r="H3" s="33"/>
      <c r="I3" s="33"/>
      <c r="J3" s="33"/>
      <c r="K3" s="33"/>
      <c r="L3" s="33"/>
    </row>
    <row r="4" spans="1:12" x14ac:dyDescent="0.2">
      <c r="A4" s="2" t="s">
        <v>2</v>
      </c>
      <c r="B4" s="32" t="s">
        <v>3</v>
      </c>
      <c r="C4" s="33"/>
      <c r="D4" s="33"/>
      <c r="E4" s="33"/>
      <c r="F4" s="33"/>
      <c r="G4" s="33"/>
      <c r="H4" s="33"/>
      <c r="I4" s="33"/>
      <c r="J4" s="33"/>
      <c r="K4" s="33"/>
      <c r="L4" s="33"/>
    </row>
    <row r="5" spans="1:12" x14ac:dyDescent="0.2">
      <c r="A5" s="2" t="s">
        <v>4</v>
      </c>
      <c r="B5" s="32" t="s">
        <v>5</v>
      </c>
      <c r="C5" s="33"/>
      <c r="D5" s="33"/>
      <c r="E5" s="33"/>
      <c r="F5" s="33"/>
      <c r="G5" s="33"/>
      <c r="H5" s="33"/>
      <c r="I5" s="33"/>
      <c r="J5" s="33"/>
      <c r="K5" s="33"/>
      <c r="L5" s="33"/>
    </row>
    <row r="6" spans="1:12" x14ac:dyDescent="0.2">
      <c r="A6" s="1"/>
      <c r="B6" s="1"/>
      <c r="C6" s="1"/>
      <c r="D6" s="1"/>
      <c r="E6" s="1"/>
      <c r="F6" s="1"/>
      <c r="G6" s="1"/>
      <c r="H6" s="1"/>
      <c r="I6" s="1"/>
      <c r="J6" s="1"/>
      <c r="K6" s="1"/>
      <c r="L6" s="1"/>
    </row>
    <row r="7" spans="1:12" ht="20" customHeight="1" x14ac:dyDescent="0.2">
      <c r="A7" s="34" t="s">
        <v>6</v>
      </c>
      <c r="B7" s="33"/>
      <c r="C7" s="33"/>
      <c r="D7" s="33"/>
      <c r="E7" s="33"/>
      <c r="F7" s="33"/>
      <c r="G7" s="33"/>
      <c r="H7" s="33"/>
      <c r="I7" s="33"/>
      <c r="J7" s="33"/>
      <c r="K7" s="33"/>
      <c r="L7" s="33"/>
    </row>
    <row r="8" spans="1:12" ht="34" customHeight="1" x14ac:dyDescent="0.2">
      <c r="A8" s="4" t="s">
        <v>7</v>
      </c>
      <c r="B8" s="4" t="s">
        <v>8</v>
      </c>
      <c r="C8" s="4" t="s">
        <v>9</v>
      </c>
      <c r="D8" s="4" t="s">
        <v>10</v>
      </c>
      <c r="E8" s="4" t="s">
        <v>11</v>
      </c>
      <c r="F8" s="4" t="s">
        <v>12</v>
      </c>
      <c r="G8" s="4" t="s">
        <v>13</v>
      </c>
      <c r="H8" s="36" t="s">
        <v>14</v>
      </c>
      <c r="I8" s="37"/>
      <c r="J8" s="37"/>
      <c r="K8" s="37"/>
      <c r="L8" s="37"/>
    </row>
    <row r="9" spans="1:12" x14ac:dyDescent="0.2">
      <c r="A9" s="56">
        <v>1</v>
      </c>
      <c r="B9" s="5" t="s">
        <v>15</v>
      </c>
      <c r="C9" s="5">
        <v>365</v>
      </c>
      <c r="D9" s="6">
        <f>'07_Precio_Referencia'!H8</f>
        <v>8617100</v>
      </c>
      <c r="E9" s="6">
        <f>C9*D9</f>
        <v>3145241500</v>
      </c>
      <c r="F9" s="6">
        <f>'04_Historicos_IPC'!D17</f>
        <v>9472616.8880000003</v>
      </c>
      <c r="G9" s="7">
        <f>D9/F9-1</f>
        <v>-9.0314735422666215E-2</v>
      </c>
      <c r="H9" s="35" t="s">
        <v>16</v>
      </c>
      <c r="I9" s="33"/>
      <c r="J9" s="33"/>
      <c r="K9" s="33"/>
      <c r="L9" s="33"/>
    </row>
    <row r="10" spans="1:12" x14ac:dyDescent="0.2">
      <c r="A10" s="56">
        <v>2</v>
      </c>
      <c r="B10" s="5" t="s">
        <v>15</v>
      </c>
      <c r="C10" s="5">
        <v>365</v>
      </c>
      <c r="D10" s="6">
        <f>'07_Precio_Referencia'!H9</f>
        <v>982543</v>
      </c>
      <c r="E10" s="6">
        <f>C10*D10</f>
        <v>358628195</v>
      </c>
      <c r="F10" s="6">
        <f>'04_Historicos_IPC'!D18</f>
        <v>200586.40000000002</v>
      </c>
      <c r="G10" s="5" t="s">
        <v>17</v>
      </c>
      <c r="H10" s="35" t="s">
        <v>18</v>
      </c>
      <c r="I10" s="33"/>
      <c r="J10" s="33"/>
      <c r="K10" s="33"/>
      <c r="L10" s="33"/>
    </row>
    <row r="11" spans="1:12" x14ac:dyDescent="0.2">
      <c r="A11" s="56">
        <v>3</v>
      </c>
      <c r="B11" s="5" t="s">
        <v>15</v>
      </c>
      <c r="C11" s="5">
        <v>365</v>
      </c>
      <c r="D11" s="6">
        <f>'07_Precio_Referencia'!H10</f>
        <v>2863933</v>
      </c>
      <c r="E11" s="6">
        <f>C11*D11</f>
        <v>1045335545</v>
      </c>
      <c r="F11" s="6">
        <f>'04_Historicos_IPC'!D19</f>
        <v>2324973.3640000001</v>
      </c>
      <c r="G11" s="7">
        <f>D11/F11-1</f>
        <v>0.23181325186140933</v>
      </c>
      <c r="H11" s="35" t="s">
        <v>19</v>
      </c>
      <c r="I11" s="33"/>
      <c r="J11" s="33"/>
      <c r="K11" s="33"/>
      <c r="L11" s="33"/>
    </row>
    <row r="12" spans="1:12" x14ac:dyDescent="0.2">
      <c r="A12" s="56">
        <v>4</v>
      </c>
      <c r="B12" s="5" t="s">
        <v>20</v>
      </c>
      <c r="C12" s="5">
        <v>3000</v>
      </c>
      <c r="D12" s="6">
        <f>'07_Precio_Referencia'!H11</f>
        <v>145973</v>
      </c>
      <c r="E12" s="6">
        <f>C12*D12</f>
        <v>437919000</v>
      </c>
      <c r="F12" s="6">
        <f>'04_Historicos_IPC'!D20</f>
        <v>105213.04500000001</v>
      </c>
      <c r="G12" s="7">
        <f>D12/F12-1</f>
        <v>0.38740400489311932</v>
      </c>
      <c r="H12" s="35" t="s">
        <v>21</v>
      </c>
      <c r="I12" s="33"/>
      <c r="J12" s="33"/>
      <c r="K12" s="33"/>
      <c r="L12" s="33"/>
    </row>
    <row r="13" spans="1:12" x14ac:dyDescent="0.2">
      <c r="A13" s="56">
        <v>5</v>
      </c>
      <c r="B13" s="5" t="s">
        <v>22</v>
      </c>
      <c r="C13" s="5">
        <v>1</v>
      </c>
      <c r="D13" s="6">
        <f>'07_Precio_Referencia'!H12</f>
        <v>99960000</v>
      </c>
      <c r="E13" s="6">
        <f>C13*D13</f>
        <v>99960000</v>
      </c>
      <c r="F13" s="6" t="s">
        <v>23</v>
      </c>
      <c r="G13" s="5" t="s">
        <v>23</v>
      </c>
      <c r="H13" s="35" t="s">
        <v>24</v>
      </c>
      <c r="I13" s="33"/>
      <c r="J13" s="33"/>
      <c r="K13" s="33"/>
      <c r="L13" s="33"/>
    </row>
    <row r="14" spans="1:12" x14ac:dyDescent="0.2">
      <c r="A14" s="1"/>
      <c r="B14" s="1"/>
      <c r="C14" s="1"/>
      <c r="D14" s="1"/>
      <c r="E14" s="1"/>
      <c r="F14" s="1"/>
      <c r="G14" s="1"/>
      <c r="H14" s="1"/>
      <c r="I14" s="1"/>
      <c r="J14" s="1"/>
      <c r="K14" s="1"/>
      <c r="L14" s="1"/>
    </row>
    <row r="15" spans="1:12" ht="20" customHeight="1" x14ac:dyDescent="0.2">
      <c r="A15" s="34" t="s">
        <v>25</v>
      </c>
      <c r="B15" s="33"/>
      <c r="C15" s="33"/>
      <c r="D15" s="33"/>
      <c r="E15" s="33"/>
      <c r="F15" s="33"/>
      <c r="G15" s="33"/>
      <c r="H15" s="33"/>
      <c r="I15" s="33"/>
      <c r="J15" s="33"/>
      <c r="K15" s="33"/>
      <c r="L15" s="33"/>
    </row>
    <row r="16" spans="1:12" x14ac:dyDescent="0.2">
      <c r="A16" s="2" t="s">
        <v>26</v>
      </c>
      <c r="B16" s="8">
        <f>'08_Control_Presupuesto'!B5</f>
        <v>4500000000</v>
      </c>
      <c r="C16" s="1"/>
      <c r="D16" s="53" t="s">
        <v>27</v>
      </c>
      <c r="E16" s="55" t="s">
        <v>28</v>
      </c>
      <c r="F16" s="51"/>
      <c r="G16" s="51"/>
      <c r="H16" s="51"/>
      <c r="I16" s="51"/>
      <c r="J16" s="51"/>
      <c r="K16" s="51"/>
      <c r="L16" s="51"/>
    </row>
    <row r="17" spans="1:12" x14ac:dyDescent="0.2">
      <c r="A17" s="2" t="s">
        <v>29</v>
      </c>
      <c r="B17" s="8">
        <f>'08_Control_Presupuesto'!B9</f>
        <v>4987124240</v>
      </c>
      <c r="C17" s="1"/>
      <c r="D17" s="53"/>
      <c r="E17" s="51"/>
      <c r="F17" s="51"/>
      <c r="G17" s="51"/>
      <c r="H17" s="51"/>
      <c r="I17" s="51"/>
      <c r="J17" s="51"/>
      <c r="K17" s="51"/>
      <c r="L17" s="51"/>
    </row>
    <row r="18" spans="1:12" x14ac:dyDescent="0.2">
      <c r="A18" s="2" t="s">
        <v>30</v>
      </c>
      <c r="B18" s="8">
        <f>'08_Control_Presupuesto'!B10</f>
        <v>5087084240</v>
      </c>
      <c r="C18" s="1"/>
      <c r="D18" s="53"/>
      <c r="E18" s="51"/>
      <c r="F18" s="51"/>
      <c r="G18" s="51"/>
      <c r="H18" s="51"/>
      <c r="I18" s="51"/>
      <c r="J18" s="51"/>
      <c r="K18" s="51"/>
      <c r="L18" s="51"/>
    </row>
    <row r="19" spans="1:12" x14ac:dyDescent="0.2">
      <c r="A19" s="2" t="s">
        <v>31</v>
      </c>
      <c r="B19" s="9">
        <f>'08_Control_Presupuesto'!B12</f>
        <v>487124240</v>
      </c>
      <c r="C19" s="1"/>
      <c r="D19" s="53"/>
      <c r="E19" s="51"/>
      <c r="F19" s="51"/>
      <c r="G19" s="51"/>
      <c r="H19" s="51"/>
      <c r="I19" s="51"/>
      <c r="J19" s="51"/>
      <c r="K19" s="51"/>
      <c r="L19" s="51"/>
    </row>
    <row r="20" spans="1:12" x14ac:dyDescent="0.2">
      <c r="A20" s="2" t="s">
        <v>32</v>
      </c>
      <c r="B20" s="9">
        <f>'08_Control_Presupuesto'!B13</f>
        <v>587084240</v>
      </c>
      <c r="C20" s="1"/>
      <c r="D20" s="53"/>
      <c r="E20" s="51"/>
      <c r="F20" s="51"/>
      <c r="G20" s="51"/>
      <c r="H20" s="51"/>
      <c r="I20" s="51"/>
      <c r="J20" s="51"/>
      <c r="K20" s="51"/>
      <c r="L20" s="51"/>
    </row>
    <row r="21" spans="1:12" x14ac:dyDescent="0.2">
      <c r="A21" s="2" t="s">
        <v>33</v>
      </c>
      <c r="B21" s="10">
        <f>'08_Control_Presupuesto'!B15</f>
        <v>0.90232362047591574</v>
      </c>
      <c r="C21" s="1"/>
      <c r="D21" s="53"/>
      <c r="E21" s="51"/>
      <c r="F21" s="51"/>
      <c r="G21" s="51"/>
      <c r="H21" s="51"/>
      <c r="I21" s="51"/>
      <c r="J21" s="51"/>
      <c r="K21" s="51"/>
      <c r="L21" s="51"/>
    </row>
    <row r="22" spans="1:12" x14ac:dyDescent="0.2">
      <c r="A22" s="1"/>
      <c r="B22" s="1"/>
      <c r="C22" s="1"/>
      <c r="D22" s="1"/>
      <c r="E22" s="1"/>
      <c r="F22" s="1"/>
      <c r="G22" s="1"/>
      <c r="H22" s="1"/>
      <c r="I22" s="1"/>
      <c r="J22" s="1"/>
      <c r="K22" s="1"/>
      <c r="L22" s="1"/>
    </row>
    <row r="23" spans="1:12" ht="20" customHeight="1" x14ac:dyDescent="0.2">
      <c r="A23" s="34" t="s">
        <v>34</v>
      </c>
      <c r="B23" s="33"/>
      <c r="C23" s="33"/>
      <c r="D23" s="33"/>
      <c r="E23" s="33"/>
      <c r="F23" s="33"/>
      <c r="G23" s="33"/>
      <c r="H23" s="33"/>
      <c r="I23" s="33"/>
      <c r="J23" s="33"/>
      <c r="K23" s="33"/>
      <c r="L23" s="33"/>
    </row>
    <row r="24" spans="1:12" ht="34" customHeight="1" x14ac:dyDescent="0.2">
      <c r="A24" s="4" t="s">
        <v>35</v>
      </c>
      <c r="B24" s="4" t="s">
        <v>36</v>
      </c>
      <c r="C24" s="36" t="s">
        <v>37</v>
      </c>
      <c r="D24" s="37"/>
      <c r="E24" s="37"/>
      <c r="F24" s="37"/>
      <c r="G24" s="37"/>
      <c r="H24" s="37"/>
      <c r="I24" s="37"/>
      <c r="J24" s="37"/>
      <c r="K24" s="37"/>
      <c r="L24" s="37"/>
    </row>
    <row r="25" spans="1:12" x14ac:dyDescent="0.2">
      <c r="A25" s="1" t="s">
        <v>38</v>
      </c>
      <c r="B25" s="11">
        <f>('08_Control_Presupuesto'!B10-'06_Integracion_Historica'!B19)/'08_Control_Presupuesto'!B10</f>
        <v>3.3088607518991735E-4</v>
      </c>
      <c r="C25" s="32" t="s">
        <v>39</v>
      </c>
      <c r="D25" s="33"/>
      <c r="E25" s="33"/>
      <c r="F25" s="33"/>
      <c r="G25" s="33"/>
      <c r="H25" s="33"/>
      <c r="I25" s="33"/>
      <c r="J25" s="33"/>
      <c r="K25" s="33"/>
      <c r="L25" s="33"/>
    </row>
    <row r="26" spans="1:12" x14ac:dyDescent="0.2">
      <c r="A26" s="1" t="s">
        <v>40</v>
      </c>
      <c r="B26" s="12">
        <v>3</v>
      </c>
      <c r="C26" s="32" t="s">
        <v>41</v>
      </c>
      <c r="D26" s="33"/>
      <c r="E26" s="33"/>
      <c r="F26" s="33"/>
      <c r="G26" s="33"/>
      <c r="H26" s="33"/>
      <c r="I26" s="33"/>
      <c r="J26" s="33"/>
      <c r="K26" s="33"/>
      <c r="L26" s="33"/>
    </row>
    <row r="27" spans="1:12" x14ac:dyDescent="0.2">
      <c r="A27" s="1" t="s">
        <v>42</v>
      </c>
      <c r="B27" s="12">
        <v>3</v>
      </c>
      <c r="C27" s="32" t="s">
        <v>43</v>
      </c>
      <c r="D27" s="33"/>
      <c r="E27" s="33"/>
      <c r="F27" s="33"/>
      <c r="G27" s="33"/>
      <c r="H27" s="33"/>
      <c r="I27" s="33"/>
      <c r="J27" s="33"/>
      <c r="K27" s="33"/>
      <c r="L27" s="33"/>
    </row>
    <row r="28" spans="1:12" x14ac:dyDescent="0.2">
      <c r="A28" s="1" t="s">
        <v>44</v>
      </c>
      <c r="B28" s="12">
        <v>5</v>
      </c>
      <c r="C28" s="32" t="s">
        <v>45</v>
      </c>
      <c r="D28" s="33"/>
      <c r="E28" s="33"/>
      <c r="F28" s="33"/>
      <c r="G28" s="33"/>
      <c r="H28" s="33"/>
      <c r="I28" s="33"/>
      <c r="J28" s="33"/>
      <c r="K28" s="33"/>
      <c r="L28" s="33"/>
    </row>
  </sheetData>
  <mergeCells count="20">
    <mergeCell ref="A1:L1"/>
    <mergeCell ref="B5:L5"/>
    <mergeCell ref="H8:L8"/>
    <mergeCell ref="D16:D21"/>
    <mergeCell ref="C28:L28"/>
    <mergeCell ref="H9:L9"/>
    <mergeCell ref="A23:L23"/>
    <mergeCell ref="C24:L24"/>
    <mergeCell ref="H11:L11"/>
    <mergeCell ref="E16:L21"/>
    <mergeCell ref="C26:L26"/>
    <mergeCell ref="H13:L13"/>
    <mergeCell ref="C25:L25"/>
    <mergeCell ref="A15:L15"/>
    <mergeCell ref="H12:L12"/>
    <mergeCell ref="C27:L27"/>
    <mergeCell ref="B4:L4"/>
    <mergeCell ref="A7:L7"/>
    <mergeCell ref="B3:L3"/>
    <mergeCell ref="H10:L10"/>
  </mergeCells>
  <pageMargins left="0.25" right="0.25" top="0.5" bottom="0.5" header="0.5" footer="0.5"/>
  <pageSetup fitToHeight="0"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34"/>
  <sheetViews>
    <sheetView showGridLines="0" zoomScale="50" workbookViewId="0">
      <pane ySplit="14" topLeftCell="A27" activePane="bottomLeft" state="frozen"/>
      <selection pane="bottomLeft" activeCell="A30" sqref="A30:J34"/>
    </sheetView>
  </sheetViews>
  <sheetFormatPr baseColWidth="10" defaultColWidth="8.83203125" defaultRowHeight="46" customHeight="1" x14ac:dyDescent="0.25"/>
  <cols>
    <col min="1" max="1" width="18" style="77" customWidth="1"/>
    <col min="2" max="2" width="35" style="77" customWidth="1"/>
    <col min="3" max="3" width="45" style="77" customWidth="1"/>
    <col min="4" max="4" width="55" style="77" customWidth="1"/>
    <col min="5" max="10" width="12" style="77" customWidth="1"/>
    <col min="11" max="16384" width="8.83203125" style="77"/>
  </cols>
  <sheetData>
    <row r="1" spans="1:10" ht="46" customHeight="1" x14ac:dyDescent="0.25">
      <c r="A1" s="75" t="s">
        <v>46</v>
      </c>
      <c r="B1" s="76"/>
      <c r="C1" s="76"/>
      <c r="D1" s="76"/>
      <c r="E1" s="76"/>
      <c r="F1" s="76"/>
      <c r="G1" s="76"/>
      <c r="H1" s="76"/>
      <c r="I1" s="76"/>
      <c r="J1" s="76"/>
    </row>
    <row r="2" spans="1:10" ht="46" customHeight="1" x14ac:dyDescent="0.25">
      <c r="A2" s="78"/>
      <c r="B2" s="78"/>
      <c r="C2" s="78"/>
      <c r="D2" s="78"/>
      <c r="E2" s="78"/>
      <c r="F2" s="78"/>
      <c r="G2" s="78"/>
      <c r="H2" s="78"/>
      <c r="I2" s="78"/>
      <c r="J2" s="78"/>
    </row>
    <row r="3" spans="1:10" ht="46" customHeight="1" x14ac:dyDescent="0.25">
      <c r="A3" s="75" t="s">
        <v>47</v>
      </c>
      <c r="B3" s="76"/>
      <c r="C3" s="76"/>
      <c r="D3" s="76"/>
      <c r="E3" s="76"/>
      <c r="F3" s="76"/>
      <c r="G3" s="76"/>
      <c r="H3" s="76"/>
      <c r="I3" s="76"/>
      <c r="J3" s="76"/>
    </row>
    <row r="4" spans="1:10" ht="46" customHeight="1" x14ac:dyDescent="0.25">
      <c r="A4" s="70" t="s">
        <v>48</v>
      </c>
      <c r="B4" s="76"/>
      <c r="C4" s="76"/>
      <c r="D4" s="76"/>
      <c r="E4" s="76"/>
      <c r="F4" s="76"/>
      <c r="G4" s="76"/>
      <c r="H4" s="76"/>
      <c r="I4" s="76"/>
      <c r="J4" s="76"/>
    </row>
    <row r="5" spans="1:10" ht="46" customHeight="1" x14ac:dyDescent="0.25">
      <c r="A5" s="70" t="s">
        <v>49</v>
      </c>
      <c r="B5" s="76"/>
      <c r="C5" s="76"/>
      <c r="D5" s="76"/>
      <c r="E5" s="76"/>
      <c r="F5" s="76"/>
      <c r="G5" s="76"/>
      <c r="H5" s="76"/>
      <c r="I5" s="76"/>
      <c r="J5" s="76"/>
    </row>
    <row r="6" spans="1:10" ht="46" customHeight="1" x14ac:dyDescent="0.25">
      <c r="A6" s="70" t="s">
        <v>50</v>
      </c>
      <c r="B6" s="76"/>
      <c r="C6" s="76"/>
      <c r="D6" s="76"/>
      <c r="E6" s="76"/>
      <c r="F6" s="76"/>
      <c r="G6" s="76"/>
      <c r="H6" s="76"/>
      <c r="I6" s="76"/>
      <c r="J6" s="76"/>
    </row>
    <row r="7" spans="1:10" ht="46" customHeight="1" x14ac:dyDescent="0.25">
      <c r="A7" s="70" t="s">
        <v>51</v>
      </c>
      <c r="B7" s="76"/>
      <c r="C7" s="76"/>
      <c r="D7" s="76"/>
      <c r="E7" s="76"/>
      <c r="F7" s="76"/>
      <c r="G7" s="76"/>
      <c r="H7" s="76"/>
      <c r="I7" s="76"/>
      <c r="J7" s="76"/>
    </row>
    <row r="8" spans="1:10" ht="46" customHeight="1" x14ac:dyDescent="0.25">
      <c r="A8" s="70" t="s">
        <v>52</v>
      </c>
      <c r="B8" s="76"/>
      <c r="C8" s="76"/>
      <c r="D8" s="76"/>
      <c r="E8" s="76"/>
      <c r="F8" s="76"/>
      <c r="G8" s="76"/>
      <c r="H8" s="76"/>
      <c r="I8" s="76"/>
      <c r="J8" s="76"/>
    </row>
    <row r="9" spans="1:10" ht="46" customHeight="1" x14ac:dyDescent="0.25">
      <c r="A9" s="70" t="s">
        <v>53</v>
      </c>
      <c r="B9" s="76"/>
      <c r="C9" s="76"/>
      <c r="D9" s="76"/>
      <c r="E9" s="76"/>
      <c r="F9" s="76"/>
      <c r="G9" s="76"/>
      <c r="H9" s="76"/>
      <c r="I9" s="76"/>
      <c r="J9" s="76"/>
    </row>
    <row r="10" spans="1:10" ht="46" customHeight="1" x14ac:dyDescent="0.25">
      <c r="A10" s="70" t="s">
        <v>54</v>
      </c>
      <c r="B10" s="76"/>
      <c r="C10" s="76"/>
      <c r="D10" s="76"/>
      <c r="E10" s="76"/>
      <c r="F10" s="76"/>
      <c r="G10" s="76"/>
      <c r="H10" s="76"/>
      <c r="I10" s="76"/>
      <c r="J10" s="76"/>
    </row>
    <row r="11" spans="1:10" ht="46" customHeight="1" x14ac:dyDescent="0.25">
      <c r="A11" s="70" t="s">
        <v>55</v>
      </c>
      <c r="B11" s="76"/>
      <c r="C11" s="76"/>
      <c r="D11" s="76"/>
      <c r="E11" s="76"/>
      <c r="F11" s="76"/>
      <c r="G11" s="76"/>
      <c r="H11" s="76"/>
      <c r="I11" s="76"/>
      <c r="J11" s="76"/>
    </row>
    <row r="12" spans="1:10" ht="46" customHeight="1" x14ac:dyDescent="0.25">
      <c r="A12" s="70" t="s">
        <v>56</v>
      </c>
      <c r="B12" s="76"/>
      <c r="C12" s="76"/>
      <c r="D12" s="76"/>
      <c r="E12" s="76"/>
      <c r="F12" s="76"/>
      <c r="G12" s="76"/>
      <c r="H12" s="76"/>
      <c r="I12" s="76"/>
      <c r="J12" s="76"/>
    </row>
    <row r="13" spans="1:10" ht="46" customHeight="1" x14ac:dyDescent="0.25">
      <c r="A13" s="78"/>
      <c r="B13" s="78"/>
      <c r="C13" s="78"/>
      <c r="D13" s="78"/>
      <c r="E13" s="78"/>
      <c r="F13" s="78"/>
      <c r="G13" s="78"/>
      <c r="H13" s="78"/>
      <c r="I13" s="78"/>
      <c r="J13" s="78"/>
    </row>
    <row r="14" spans="1:10" ht="46" customHeight="1" x14ac:dyDescent="0.25">
      <c r="A14" s="75" t="s">
        <v>57</v>
      </c>
      <c r="B14" s="76"/>
      <c r="C14" s="76"/>
      <c r="D14" s="76"/>
      <c r="E14" s="76"/>
      <c r="F14" s="76"/>
      <c r="G14" s="76"/>
      <c r="H14" s="76"/>
      <c r="I14" s="76"/>
      <c r="J14" s="76"/>
    </row>
    <row r="15" spans="1:10" ht="46" customHeight="1" x14ac:dyDescent="0.25">
      <c r="A15" s="71" t="s">
        <v>58</v>
      </c>
      <c r="B15" s="71" t="s">
        <v>59</v>
      </c>
      <c r="C15" s="71" t="s">
        <v>60</v>
      </c>
      <c r="D15" s="72" t="s">
        <v>61</v>
      </c>
      <c r="E15" s="79"/>
      <c r="F15" s="79"/>
      <c r="G15" s="79"/>
      <c r="H15" s="79"/>
      <c r="I15" s="79"/>
      <c r="J15" s="79"/>
    </row>
    <row r="16" spans="1:10" ht="46" customHeight="1" x14ac:dyDescent="0.25">
      <c r="A16" s="80" t="s">
        <v>62</v>
      </c>
      <c r="B16" s="80" t="s">
        <v>63</v>
      </c>
      <c r="C16" s="80" t="s">
        <v>64</v>
      </c>
      <c r="D16" s="73" t="s">
        <v>65</v>
      </c>
      <c r="E16" s="76"/>
      <c r="F16" s="76"/>
      <c r="G16" s="76"/>
      <c r="H16" s="76"/>
      <c r="I16" s="76"/>
      <c r="J16" s="76"/>
    </row>
    <row r="17" spans="1:10" ht="46" customHeight="1" x14ac:dyDescent="0.25">
      <c r="A17" s="80" t="s">
        <v>62</v>
      </c>
      <c r="B17" s="80" t="s">
        <v>66</v>
      </c>
      <c r="C17" s="80" t="s">
        <v>67</v>
      </c>
      <c r="D17" s="73" t="s">
        <v>68</v>
      </c>
      <c r="E17" s="76"/>
      <c r="F17" s="76"/>
      <c r="G17" s="76"/>
      <c r="H17" s="76"/>
      <c r="I17" s="76"/>
      <c r="J17" s="76"/>
    </row>
    <row r="18" spans="1:10" ht="46" customHeight="1" x14ac:dyDescent="0.25">
      <c r="A18" s="80" t="s">
        <v>62</v>
      </c>
      <c r="B18" s="80" t="s">
        <v>69</v>
      </c>
      <c r="C18" s="80" t="s">
        <v>70</v>
      </c>
      <c r="D18" s="73" t="s">
        <v>71</v>
      </c>
      <c r="E18" s="76"/>
      <c r="F18" s="76"/>
      <c r="G18" s="76"/>
      <c r="H18" s="76"/>
      <c r="I18" s="76"/>
      <c r="J18" s="76"/>
    </row>
    <row r="19" spans="1:10" ht="46" customHeight="1" x14ac:dyDescent="0.25">
      <c r="A19" s="80" t="s">
        <v>62</v>
      </c>
      <c r="B19" s="80" t="s">
        <v>72</v>
      </c>
      <c r="C19" s="80" t="s">
        <v>73</v>
      </c>
      <c r="D19" s="73" t="s">
        <v>74</v>
      </c>
      <c r="E19" s="76"/>
      <c r="F19" s="76"/>
      <c r="G19" s="76"/>
      <c r="H19" s="76"/>
      <c r="I19" s="76"/>
      <c r="J19" s="76"/>
    </row>
    <row r="20" spans="1:10" ht="46" customHeight="1" x14ac:dyDescent="0.25">
      <c r="A20" s="80" t="s">
        <v>62</v>
      </c>
      <c r="B20" s="80" t="s">
        <v>75</v>
      </c>
      <c r="C20" s="80" t="s">
        <v>76</v>
      </c>
      <c r="D20" s="73" t="s">
        <v>77</v>
      </c>
      <c r="E20" s="76"/>
      <c r="F20" s="76"/>
      <c r="G20" s="76"/>
      <c r="H20" s="76"/>
      <c r="I20" s="76"/>
      <c r="J20" s="76"/>
    </row>
    <row r="21" spans="1:10" ht="46" customHeight="1" x14ac:dyDescent="0.25">
      <c r="A21" s="80" t="s">
        <v>78</v>
      </c>
      <c r="B21" s="80" t="s">
        <v>79</v>
      </c>
      <c r="C21" s="80" t="s">
        <v>80</v>
      </c>
      <c r="D21" s="73" t="s">
        <v>81</v>
      </c>
      <c r="E21" s="76"/>
      <c r="F21" s="76"/>
      <c r="G21" s="76"/>
      <c r="H21" s="76"/>
      <c r="I21" s="76"/>
      <c r="J21" s="76"/>
    </row>
    <row r="22" spans="1:10" ht="46" customHeight="1" x14ac:dyDescent="0.25">
      <c r="A22" s="81" t="s">
        <v>82</v>
      </c>
      <c r="B22" s="81" t="s">
        <v>83</v>
      </c>
      <c r="C22" s="81" t="s">
        <v>84</v>
      </c>
      <c r="D22" s="74" t="s">
        <v>85</v>
      </c>
      <c r="E22" s="76"/>
      <c r="F22" s="76"/>
      <c r="G22" s="76"/>
      <c r="H22" s="76"/>
      <c r="I22" s="76"/>
      <c r="J22" s="76"/>
    </row>
    <row r="23" spans="1:10" ht="46" customHeight="1" x14ac:dyDescent="0.25">
      <c r="A23" s="81" t="s">
        <v>82</v>
      </c>
      <c r="B23" s="81" t="s">
        <v>86</v>
      </c>
      <c r="C23" s="81" t="s">
        <v>87</v>
      </c>
      <c r="D23" s="74" t="s">
        <v>88</v>
      </c>
      <c r="E23" s="76"/>
      <c r="F23" s="76"/>
      <c r="G23" s="76"/>
      <c r="H23" s="76"/>
      <c r="I23" s="76"/>
      <c r="J23" s="76"/>
    </row>
    <row r="24" spans="1:10" ht="46" customHeight="1" x14ac:dyDescent="0.25">
      <c r="A24" s="81" t="s">
        <v>82</v>
      </c>
      <c r="B24" s="81" t="s">
        <v>89</v>
      </c>
      <c r="C24" s="81" t="s">
        <v>90</v>
      </c>
      <c r="D24" s="74" t="s">
        <v>91</v>
      </c>
      <c r="E24" s="76"/>
      <c r="F24" s="76"/>
      <c r="G24" s="76"/>
      <c r="H24" s="76"/>
      <c r="I24" s="76"/>
      <c r="J24" s="76"/>
    </row>
    <row r="25" spans="1:10" ht="46" customHeight="1" x14ac:dyDescent="0.25">
      <c r="A25" s="81" t="s">
        <v>82</v>
      </c>
      <c r="B25" s="81" t="s">
        <v>92</v>
      </c>
      <c r="C25" s="81" t="s">
        <v>93</v>
      </c>
      <c r="D25" s="74" t="s">
        <v>94</v>
      </c>
      <c r="E25" s="76"/>
      <c r="F25" s="76"/>
      <c r="G25" s="76"/>
      <c r="H25" s="76"/>
      <c r="I25" s="76"/>
      <c r="J25" s="76"/>
    </row>
    <row r="26" spans="1:10" ht="46" customHeight="1" x14ac:dyDescent="0.25">
      <c r="A26" s="81" t="s">
        <v>82</v>
      </c>
      <c r="B26" s="81" t="s">
        <v>95</v>
      </c>
      <c r="C26" s="81" t="s">
        <v>96</v>
      </c>
      <c r="D26" s="74" t="s">
        <v>97</v>
      </c>
      <c r="E26" s="76"/>
      <c r="F26" s="76"/>
      <c r="G26" s="76"/>
      <c r="H26" s="76"/>
      <c r="I26" s="76"/>
      <c r="J26" s="76"/>
    </row>
    <row r="27" spans="1:10" ht="46" customHeight="1" x14ac:dyDescent="0.25">
      <c r="A27" s="81" t="s">
        <v>82</v>
      </c>
      <c r="B27" s="81" t="s">
        <v>98</v>
      </c>
      <c r="C27" s="81" t="s">
        <v>99</v>
      </c>
      <c r="D27" s="74" t="s">
        <v>100</v>
      </c>
      <c r="E27" s="76"/>
      <c r="F27" s="76"/>
      <c r="G27" s="76"/>
      <c r="H27" s="76"/>
      <c r="I27" s="76"/>
      <c r="J27" s="76"/>
    </row>
    <row r="28" spans="1:10" ht="46" customHeight="1" x14ac:dyDescent="0.25">
      <c r="A28" s="78"/>
      <c r="B28" s="78"/>
      <c r="C28" s="78"/>
      <c r="D28" s="78"/>
      <c r="E28" s="78"/>
      <c r="F28" s="78"/>
      <c r="G28" s="78"/>
      <c r="H28" s="78"/>
      <c r="I28" s="78"/>
      <c r="J28" s="78"/>
    </row>
    <row r="29" spans="1:10" ht="46" customHeight="1" x14ac:dyDescent="0.25">
      <c r="A29" s="75" t="s">
        <v>101</v>
      </c>
      <c r="B29" s="76"/>
      <c r="C29" s="76"/>
      <c r="D29" s="76"/>
      <c r="E29" s="76"/>
      <c r="F29" s="76"/>
      <c r="G29" s="76"/>
      <c r="H29" s="76"/>
      <c r="I29" s="76"/>
      <c r="J29" s="76"/>
    </row>
    <row r="30" spans="1:10" ht="46" customHeight="1" x14ac:dyDescent="0.25">
      <c r="A30" s="82" t="s">
        <v>102</v>
      </c>
      <c r="B30" s="83"/>
      <c r="C30" s="83"/>
      <c r="D30" s="83"/>
      <c r="E30" s="83"/>
      <c r="F30" s="83"/>
      <c r="G30" s="83"/>
      <c r="H30" s="83"/>
      <c r="I30" s="83"/>
      <c r="J30" s="83"/>
    </row>
    <row r="31" spans="1:10" ht="46" customHeight="1" x14ac:dyDescent="0.25">
      <c r="A31" s="83"/>
      <c r="B31" s="83"/>
      <c r="C31" s="83"/>
      <c r="D31" s="83"/>
      <c r="E31" s="83"/>
      <c r="F31" s="83"/>
      <c r="G31" s="83"/>
      <c r="H31" s="83"/>
      <c r="I31" s="83"/>
      <c r="J31" s="83"/>
    </row>
    <row r="32" spans="1:10" ht="46" customHeight="1" x14ac:dyDescent="0.25">
      <c r="A32" s="83"/>
      <c r="B32" s="83"/>
      <c r="C32" s="83"/>
      <c r="D32" s="83"/>
      <c r="E32" s="83"/>
      <c r="F32" s="83"/>
      <c r="G32" s="83"/>
      <c r="H32" s="83"/>
      <c r="I32" s="83"/>
      <c r="J32" s="83"/>
    </row>
    <row r="33" spans="1:10" ht="46" customHeight="1" x14ac:dyDescent="0.25">
      <c r="A33" s="83"/>
      <c r="B33" s="83"/>
      <c r="C33" s="83"/>
      <c r="D33" s="83"/>
      <c r="E33" s="83"/>
      <c r="F33" s="83"/>
      <c r="G33" s="83"/>
      <c r="H33" s="83"/>
      <c r="I33" s="83"/>
      <c r="J33" s="83"/>
    </row>
    <row r="34" spans="1:10" ht="46" customHeight="1" x14ac:dyDescent="0.25">
      <c r="A34" s="83"/>
      <c r="B34" s="83"/>
      <c r="C34" s="83"/>
      <c r="D34" s="83"/>
      <c r="E34" s="83"/>
      <c r="F34" s="83"/>
      <c r="G34" s="83"/>
      <c r="H34" s="83"/>
      <c r="I34" s="83"/>
      <c r="J34" s="83"/>
    </row>
  </sheetData>
  <mergeCells count="27">
    <mergeCell ref="A1:J1"/>
    <mergeCell ref="D22:J22"/>
    <mergeCell ref="A6:J6"/>
    <mergeCell ref="A30:J34"/>
    <mergeCell ref="D21:J21"/>
    <mergeCell ref="A7:J7"/>
    <mergeCell ref="D27:J27"/>
    <mergeCell ref="D17:J17"/>
    <mergeCell ref="A3:J3"/>
    <mergeCell ref="A12:J12"/>
    <mergeCell ref="D16:J16"/>
    <mergeCell ref="A29:J29"/>
    <mergeCell ref="A4:J4"/>
    <mergeCell ref="D24:J24"/>
    <mergeCell ref="D15:J15"/>
    <mergeCell ref="A10:J10"/>
    <mergeCell ref="D23:J23"/>
    <mergeCell ref="D26:J26"/>
    <mergeCell ref="A9:J9"/>
    <mergeCell ref="D20:J20"/>
    <mergeCell ref="D19:J19"/>
    <mergeCell ref="A11:J11"/>
    <mergeCell ref="A5:J5"/>
    <mergeCell ref="A14:J14"/>
    <mergeCell ref="D18:J18"/>
    <mergeCell ref="A8:J8"/>
    <mergeCell ref="D25:J25"/>
  </mergeCells>
  <pageMargins left="0.25" right="0.25" top="0.5" bottom="0.5" header="0.5" footer="0.5"/>
  <pageSetup fitToHeight="0" orientation="portrai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17"/>
  <sheetViews>
    <sheetView showGridLines="0" workbookViewId="0">
      <pane ySplit="3" topLeftCell="A4" activePane="bottomLeft" state="frozen"/>
      <selection pane="bottomLeft" activeCell="B15" sqref="B15:I17"/>
    </sheetView>
  </sheetViews>
  <sheetFormatPr baseColWidth="10" defaultColWidth="8.83203125" defaultRowHeight="15" x14ac:dyDescent="0.2"/>
  <cols>
    <col min="1" max="1" width="38" customWidth="1"/>
    <col min="2" max="2" width="18" customWidth="1"/>
    <col min="3" max="3" width="50" customWidth="1"/>
    <col min="4" max="4" width="60" customWidth="1"/>
    <col min="5" max="9" width="12" customWidth="1"/>
  </cols>
  <sheetData>
    <row r="1" spans="1:9" ht="26" customHeight="1" x14ac:dyDescent="0.2">
      <c r="A1" s="38" t="s">
        <v>103</v>
      </c>
      <c r="B1" s="33"/>
      <c r="C1" s="33"/>
      <c r="D1" s="33"/>
      <c r="E1" s="33"/>
      <c r="F1" s="33"/>
      <c r="G1" s="33"/>
      <c r="H1" s="33"/>
      <c r="I1" s="33"/>
    </row>
    <row r="2" spans="1:9" x14ac:dyDescent="0.2">
      <c r="A2" s="1"/>
      <c r="B2" s="1"/>
      <c r="C2" s="1"/>
      <c r="D2" s="1"/>
      <c r="E2" s="1"/>
      <c r="F2" s="1"/>
      <c r="G2" s="1"/>
      <c r="H2" s="1"/>
      <c r="I2" s="1"/>
    </row>
    <row r="3" spans="1:9" ht="20" customHeight="1" x14ac:dyDescent="0.2">
      <c r="A3" s="34" t="s">
        <v>104</v>
      </c>
      <c r="B3" s="33"/>
      <c r="C3" s="33"/>
      <c r="D3" s="33"/>
      <c r="E3" s="33"/>
      <c r="F3" s="33"/>
      <c r="G3" s="33"/>
      <c r="H3" s="33"/>
      <c r="I3" s="33"/>
    </row>
    <row r="4" spans="1:9" ht="34" customHeight="1" x14ac:dyDescent="0.2">
      <c r="A4" s="4" t="s">
        <v>105</v>
      </c>
      <c r="B4" s="4" t="s">
        <v>106</v>
      </c>
      <c r="C4" s="4" t="s">
        <v>107</v>
      </c>
      <c r="D4" s="36" t="s">
        <v>108</v>
      </c>
      <c r="E4" s="37"/>
      <c r="F4" s="37"/>
      <c r="G4" s="37"/>
      <c r="H4" s="37"/>
      <c r="I4" s="37"/>
    </row>
    <row r="5" spans="1:9" x14ac:dyDescent="0.2">
      <c r="A5" s="1" t="s">
        <v>109</v>
      </c>
      <c r="B5" s="13">
        <v>5.3499999999999999E-2</v>
      </c>
      <c r="C5" s="1" t="s">
        <v>110</v>
      </c>
      <c r="D5" s="40" t="s">
        <v>71</v>
      </c>
      <c r="E5" s="33"/>
      <c r="F5" s="33"/>
      <c r="G5" s="33"/>
      <c r="H5" s="33"/>
      <c r="I5" s="33"/>
    </row>
    <row r="6" spans="1:9" x14ac:dyDescent="0.2">
      <c r="A6" s="1" t="s">
        <v>111</v>
      </c>
      <c r="B6" s="13">
        <v>5.0999999999999997E-2</v>
      </c>
      <c r="C6" s="1" t="s">
        <v>112</v>
      </c>
      <c r="D6" s="40" t="s">
        <v>74</v>
      </c>
      <c r="E6" s="33"/>
      <c r="F6" s="33"/>
      <c r="G6" s="33"/>
      <c r="H6" s="33"/>
      <c r="I6" s="33"/>
    </row>
    <row r="7" spans="1:9" x14ac:dyDescent="0.2">
      <c r="A7" s="1" t="s">
        <v>113</v>
      </c>
      <c r="B7" s="13">
        <v>3.6299999999999999E-2</v>
      </c>
      <c r="C7" s="1" t="s">
        <v>114</v>
      </c>
      <c r="D7" s="40" t="s">
        <v>77</v>
      </c>
      <c r="E7" s="33"/>
      <c r="F7" s="33"/>
      <c r="G7" s="33"/>
      <c r="H7" s="33"/>
      <c r="I7" s="33"/>
    </row>
    <row r="8" spans="1:9" x14ac:dyDescent="0.2">
      <c r="A8" s="1"/>
      <c r="B8" s="1"/>
      <c r="C8" s="1"/>
      <c r="D8" s="1"/>
      <c r="E8" s="1"/>
      <c r="F8" s="1"/>
      <c r="G8" s="1"/>
      <c r="H8" s="1"/>
      <c r="I8" s="1"/>
    </row>
    <row r="9" spans="1:9" x14ac:dyDescent="0.2">
      <c r="A9" s="1"/>
      <c r="B9" s="1"/>
      <c r="C9" s="1"/>
      <c r="D9" s="1"/>
      <c r="E9" s="1"/>
      <c r="F9" s="1"/>
      <c r="G9" s="1"/>
      <c r="H9" s="1"/>
      <c r="I9" s="1"/>
    </row>
    <row r="10" spans="1:9" ht="20" customHeight="1" x14ac:dyDescent="0.2">
      <c r="A10" s="34" t="s">
        <v>115</v>
      </c>
      <c r="B10" s="33"/>
      <c r="C10" s="33"/>
      <c r="D10" s="33"/>
      <c r="E10" s="33"/>
      <c r="F10" s="33"/>
      <c r="G10" s="33"/>
      <c r="H10" s="33"/>
      <c r="I10" s="33"/>
    </row>
    <row r="11" spans="1:9" ht="16" x14ac:dyDescent="0.2">
      <c r="A11" s="1" t="s">
        <v>116</v>
      </c>
      <c r="B11" s="14">
        <f>1+B5</f>
        <v>1.0535000000000001</v>
      </c>
      <c r="C11" s="15" t="s">
        <v>117</v>
      </c>
      <c r="D11" s="1"/>
      <c r="E11" s="1"/>
      <c r="F11" s="1"/>
      <c r="G11" s="1"/>
      <c r="H11" s="1"/>
      <c r="I11" s="1"/>
    </row>
    <row r="12" spans="1:9" ht="32" x14ac:dyDescent="0.2">
      <c r="A12" s="1" t="s">
        <v>118</v>
      </c>
      <c r="B12" s="14">
        <f>((1+B6)/(1+B7))*(1+B5)</f>
        <v>1.0684439834024897</v>
      </c>
      <c r="C12" s="15" t="s">
        <v>119</v>
      </c>
      <c r="D12" s="1"/>
      <c r="E12" s="1"/>
      <c r="F12" s="1"/>
      <c r="G12" s="1"/>
      <c r="H12" s="1"/>
      <c r="I12" s="1"/>
    </row>
    <row r="13" spans="1:9" x14ac:dyDescent="0.2">
      <c r="A13" s="1"/>
      <c r="B13" s="1"/>
      <c r="C13" s="1"/>
      <c r="D13" s="1"/>
      <c r="E13" s="1"/>
      <c r="F13" s="1"/>
      <c r="G13" s="1"/>
      <c r="H13" s="1"/>
      <c r="I13" s="1"/>
    </row>
    <row r="14" spans="1:9" x14ac:dyDescent="0.2">
      <c r="A14" s="1"/>
      <c r="B14" s="1"/>
      <c r="C14" s="1"/>
      <c r="D14" s="1"/>
      <c r="E14" s="1"/>
      <c r="F14" s="1"/>
      <c r="G14" s="1"/>
      <c r="H14" s="1"/>
      <c r="I14" s="1"/>
    </row>
    <row r="15" spans="1:9" x14ac:dyDescent="0.2">
      <c r="A15" s="1" t="s">
        <v>120</v>
      </c>
      <c r="B15" s="84" t="s">
        <v>121</v>
      </c>
      <c r="C15" s="69"/>
      <c r="D15" s="69"/>
      <c r="E15" s="69"/>
      <c r="F15" s="69"/>
      <c r="G15" s="69"/>
      <c r="H15" s="69"/>
      <c r="I15" s="69"/>
    </row>
    <row r="16" spans="1:9" x14ac:dyDescent="0.2">
      <c r="A16" s="1"/>
      <c r="B16" s="69"/>
      <c r="C16" s="69"/>
      <c r="D16" s="69"/>
      <c r="E16" s="69"/>
      <c r="F16" s="69"/>
      <c r="G16" s="69"/>
      <c r="H16" s="69"/>
      <c r="I16" s="69"/>
    </row>
    <row r="17" spans="1:9" x14ac:dyDescent="0.2">
      <c r="A17" s="1"/>
      <c r="B17" s="69"/>
      <c r="C17" s="69"/>
      <c r="D17" s="69"/>
      <c r="E17" s="69"/>
      <c r="F17" s="69"/>
      <c r="G17" s="69"/>
      <c r="H17" s="69"/>
      <c r="I17" s="69"/>
    </row>
  </sheetData>
  <mergeCells count="8">
    <mergeCell ref="A10:I10"/>
    <mergeCell ref="D4:I4"/>
    <mergeCell ref="D5:I5"/>
    <mergeCell ref="B15:I17"/>
    <mergeCell ref="A1:I1"/>
    <mergeCell ref="A3:I3"/>
    <mergeCell ref="D6:I6"/>
    <mergeCell ref="D7:I7"/>
  </mergeCells>
  <pageMargins left="0.25" right="0.25" top="0.5" bottom="0.5" header="0.5" footer="0.5"/>
  <pageSetup fitToHeight="0" orientation="portrait"/>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17"/>
  <sheetViews>
    <sheetView showGridLines="0" topLeftCell="B1" workbookViewId="0">
      <pane ySplit="6" topLeftCell="A9" activePane="bottomLeft" state="frozen"/>
      <selection pane="bottomLeft" activeCell="F19" sqref="F19"/>
    </sheetView>
  </sheetViews>
  <sheetFormatPr baseColWidth="10" defaultColWidth="8.83203125" defaultRowHeight="15" x14ac:dyDescent="0.2"/>
  <cols>
    <col min="1" max="1" width="7" customWidth="1"/>
    <col min="2" max="2" width="55" customWidth="1"/>
    <col min="3" max="3" width="12" customWidth="1"/>
    <col min="4" max="4" width="14" customWidth="1"/>
    <col min="5" max="7" width="17" customWidth="1"/>
    <col min="8" max="8" width="10" customWidth="1"/>
    <col min="9" max="13" width="17" customWidth="1"/>
    <col min="14" max="14" width="54" customWidth="1"/>
  </cols>
  <sheetData>
    <row r="1" spans="1:14" ht="26" customHeight="1" x14ac:dyDescent="0.2">
      <c r="A1" s="38" t="s">
        <v>353</v>
      </c>
      <c r="B1" s="33"/>
      <c r="C1" s="33"/>
      <c r="D1" s="33"/>
      <c r="E1" s="33"/>
      <c r="F1" s="33"/>
      <c r="G1" s="33"/>
      <c r="H1" s="33"/>
      <c r="I1" s="33"/>
      <c r="J1" s="33"/>
      <c r="K1" s="33"/>
      <c r="L1" s="33"/>
      <c r="M1" s="33"/>
      <c r="N1" s="33"/>
    </row>
    <row r="2" spans="1:14" x14ac:dyDescent="0.2">
      <c r="A2" s="1"/>
      <c r="B2" s="1"/>
      <c r="C2" s="1"/>
      <c r="D2" s="1"/>
      <c r="E2" s="1"/>
      <c r="F2" s="1"/>
      <c r="G2" s="1"/>
      <c r="H2" s="1"/>
      <c r="I2" s="1"/>
      <c r="J2" s="1"/>
      <c r="K2" s="1"/>
      <c r="L2" s="1"/>
      <c r="M2" s="1"/>
      <c r="N2" s="1"/>
    </row>
    <row r="3" spans="1:14" x14ac:dyDescent="0.2">
      <c r="A3" s="1" t="s">
        <v>122</v>
      </c>
      <c r="B3" s="1" t="s">
        <v>123</v>
      </c>
      <c r="C3" s="1"/>
      <c r="D3" s="1" t="s">
        <v>124</v>
      </c>
      <c r="E3" s="1" t="s">
        <v>125</v>
      </c>
      <c r="F3" s="1"/>
      <c r="G3" s="1" t="s">
        <v>126</v>
      </c>
      <c r="H3" s="1" t="s">
        <v>127</v>
      </c>
      <c r="I3" s="1"/>
      <c r="J3" s="1"/>
      <c r="K3" s="1"/>
      <c r="L3" s="1"/>
      <c r="M3" s="1"/>
      <c r="N3" s="1"/>
    </row>
    <row r="4" spans="1:14" x14ac:dyDescent="0.2">
      <c r="A4" s="1"/>
      <c r="B4" s="1"/>
      <c r="C4" s="1"/>
      <c r="D4" s="1"/>
      <c r="E4" s="1"/>
      <c r="F4" s="1"/>
      <c r="G4" s="1"/>
      <c r="H4" s="1"/>
      <c r="I4" s="1"/>
      <c r="J4" s="1"/>
      <c r="K4" s="1"/>
      <c r="L4" s="1"/>
      <c r="M4" s="1"/>
      <c r="N4" s="1"/>
    </row>
    <row r="5" spans="1:14" ht="20" customHeight="1" x14ac:dyDescent="0.2">
      <c r="A5" s="34" t="s">
        <v>128</v>
      </c>
      <c r="B5" s="33"/>
      <c r="C5" s="33"/>
      <c r="D5" s="33"/>
      <c r="E5" s="33"/>
      <c r="F5" s="33"/>
      <c r="G5" s="33"/>
      <c r="H5" s="33"/>
      <c r="I5" s="33"/>
      <c r="J5" s="33"/>
      <c r="K5" s="33"/>
      <c r="L5" s="33"/>
      <c r="M5" s="33"/>
      <c r="N5" s="33"/>
    </row>
    <row r="6" spans="1:14" ht="34" customHeight="1" x14ac:dyDescent="0.2">
      <c r="A6" s="4" t="s">
        <v>7</v>
      </c>
      <c r="B6" s="4" t="s">
        <v>129</v>
      </c>
      <c r="C6" s="4" t="s">
        <v>8</v>
      </c>
      <c r="D6" s="4" t="s">
        <v>130</v>
      </c>
      <c r="E6" s="4" t="s">
        <v>131</v>
      </c>
      <c r="F6" s="4" t="s">
        <v>132</v>
      </c>
      <c r="G6" s="4" t="s">
        <v>133</v>
      </c>
      <c r="H6" s="4" t="s">
        <v>134</v>
      </c>
      <c r="I6" s="4" t="s">
        <v>135</v>
      </c>
      <c r="J6" s="4" t="s">
        <v>136</v>
      </c>
      <c r="K6" s="4" t="s">
        <v>137</v>
      </c>
      <c r="L6" s="4" t="s">
        <v>138</v>
      </c>
      <c r="M6" s="4" t="s">
        <v>139</v>
      </c>
      <c r="N6" s="4" t="s">
        <v>140</v>
      </c>
    </row>
    <row r="7" spans="1:14" s="57" customFormat="1" ht="67" customHeight="1" x14ac:dyDescent="0.2">
      <c r="A7" s="57">
        <v>1</v>
      </c>
      <c r="B7" s="58" t="s">
        <v>141</v>
      </c>
      <c r="C7" s="57" t="s">
        <v>15</v>
      </c>
      <c r="D7" s="57">
        <v>365</v>
      </c>
      <c r="E7" s="59">
        <v>8555300</v>
      </c>
      <c r="F7" s="59">
        <v>8350000</v>
      </c>
      <c r="G7" s="59">
        <v>8945999</v>
      </c>
      <c r="H7" s="60">
        <f>COUNT(E7:G7)</f>
        <v>3</v>
      </c>
      <c r="I7" s="61">
        <f>AVERAGE(E7:G7)</f>
        <v>8617099.666666666</v>
      </c>
      <c r="J7" s="61">
        <f>MEDIAN(E7:G7)</f>
        <v>8555300</v>
      </c>
      <c r="K7" s="61">
        <f>MIN(E7:G7)</f>
        <v>8350000</v>
      </c>
      <c r="L7" s="61">
        <f>MAX(E7:G7)</f>
        <v>8945999</v>
      </c>
      <c r="M7" s="61">
        <f>L7-K7</f>
        <v>595999</v>
      </c>
      <c r="N7" s="58" t="s">
        <v>142</v>
      </c>
    </row>
    <row r="8" spans="1:14" s="57" customFormat="1" ht="76" customHeight="1" x14ac:dyDescent="0.2">
      <c r="A8" s="57">
        <v>2</v>
      </c>
      <c r="B8" s="58" t="s">
        <v>143</v>
      </c>
      <c r="C8" s="57" t="s">
        <v>15</v>
      </c>
      <c r="D8" s="57">
        <v>365</v>
      </c>
      <c r="E8" s="59">
        <v>1132880</v>
      </c>
      <c r="F8" s="59">
        <v>714000</v>
      </c>
      <c r="G8" s="59">
        <v>1100750</v>
      </c>
      <c r="H8" s="60">
        <f>COUNT(E8:G8)</f>
        <v>3</v>
      </c>
      <c r="I8" s="61">
        <f>AVERAGE(E8:G8)</f>
        <v>982543.33333333337</v>
      </c>
      <c r="J8" s="61">
        <f>MEDIAN(E8:G8)</f>
        <v>1100750</v>
      </c>
      <c r="K8" s="61">
        <f>MIN(E8:G8)</f>
        <v>714000</v>
      </c>
      <c r="L8" s="61">
        <f>MAX(E8:G8)</f>
        <v>1132880</v>
      </c>
      <c r="M8" s="61">
        <f>L8-K8</f>
        <v>418880</v>
      </c>
      <c r="N8" s="58" t="s">
        <v>144</v>
      </c>
    </row>
    <row r="9" spans="1:14" s="57" customFormat="1" ht="54" customHeight="1" x14ac:dyDescent="0.2">
      <c r="A9" s="57">
        <v>3</v>
      </c>
      <c r="B9" s="58" t="s">
        <v>145</v>
      </c>
      <c r="C9" s="57" t="s">
        <v>15</v>
      </c>
      <c r="D9" s="57">
        <v>365</v>
      </c>
      <c r="E9" s="59">
        <v>2534700</v>
      </c>
      <c r="F9" s="59">
        <v>2796500</v>
      </c>
      <c r="G9" s="59">
        <v>3260600</v>
      </c>
      <c r="H9" s="60">
        <f>COUNT(E9:G9)</f>
        <v>3</v>
      </c>
      <c r="I9" s="61">
        <f>AVERAGE(E9:G9)</f>
        <v>2863933.3333333335</v>
      </c>
      <c r="J9" s="61">
        <f>MEDIAN(E9:G9)</f>
        <v>2796500</v>
      </c>
      <c r="K9" s="61">
        <f>MIN(E9:G9)</f>
        <v>2534700</v>
      </c>
      <c r="L9" s="61">
        <f>MAX(E9:G9)</f>
        <v>3260600</v>
      </c>
      <c r="M9" s="61">
        <f>L9-K9</f>
        <v>725900</v>
      </c>
      <c r="N9" s="58" t="s">
        <v>142</v>
      </c>
    </row>
    <row r="10" spans="1:14" s="57" customFormat="1" ht="54" customHeight="1" x14ac:dyDescent="0.2">
      <c r="A10" s="57">
        <v>4</v>
      </c>
      <c r="B10" s="58" t="s">
        <v>146</v>
      </c>
      <c r="C10" s="57" t="s">
        <v>20</v>
      </c>
      <c r="D10" s="57">
        <v>3000</v>
      </c>
      <c r="E10" s="59">
        <v>164220</v>
      </c>
      <c r="F10" s="59">
        <v>142800</v>
      </c>
      <c r="G10" s="59">
        <v>130900</v>
      </c>
      <c r="H10" s="60">
        <f>COUNT(E10:G10)</f>
        <v>3</v>
      </c>
      <c r="I10" s="61">
        <f>AVERAGE(E10:G10)</f>
        <v>145973.33333333334</v>
      </c>
      <c r="J10" s="61">
        <f>MEDIAN(E10:G10)</f>
        <v>142800</v>
      </c>
      <c r="K10" s="61">
        <f>MIN(E10:G10)</f>
        <v>130900</v>
      </c>
      <c r="L10" s="61">
        <f>MAX(E10:G10)</f>
        <v>164220</v>
      </c>
      <c r="M10" s="61">
        <f>L10-K10</f>
        <v>33320</v>
      </c>
      <c r="N10" s="58" t="s">
        <v>142</v>
      </c>
    </row>
    <row r="11" spans="1:14" s="57" customFormat="1" ht="54" customHeight="1" x14ac:dyDescent="0.2">
      <c r="A11" s="57">
        <v>5</v>
      </c>
      <c r="B11" s="58" t="s">
        <v>147</v>
      </c>
      <c r="C11" s="57" t="s">
        <v>22</v>
      </c>
      <c r="D11" s="57">
        <v>1</v>
      </c>
      <c r="E11" s="59">
        <v>86870000</v>
      </c>
      <c r="F11" s="62" t="s">
        <v>23</v>
      </c>
      <c r="G11" s="59">
        <v>113050000</v>
      </c>
      <c r="H11" s="60">
        <f>COUNT(E11:G11)</f>
        <v>2</v>
      </c>
      <c r="I11" s="61">
        <f>AVERAGE(E11:G11)</f>
        <v>99960000</v>
      </c>
      <c r="J11" s="61">
        <f>MEDIAN(E11:G11)</f>
        <v>99960000</v>
      </c>
      <c r="K11" s="61">
        <f>MIN(E11:G11)</f>
        <v>86870000</v>
      </c>
      <c r="L11" s="61">
        <f>MAX(E11:G11)</f>
        <v>113050000</v>
      </c>
      <c r="M11" s="61">
        <f>L11-K11</f>
        <v>26180000</v>
      </c>
      <c r="N11" s="58" t="s">
        <v>148</v>
      </c>
    </row>
    <row r="12" spans="1:14" x14ac:dyDescent="0.2">
      <c r="A12" s="1"/>
      <c r="B12" s="1"/>
      <c r="C12" s="1"/>
      <c r="D12" s="1"/>
      <c r="E12" s="1"/>
      <c r="F12" s="1"/>
      <c r="G12" s="1"/>
      <c r="H12" s="1"/>
      <c r="I12" s="1"/>
      <c r="J12" s="1"/>
      <c r="K12" s="1"/>
      <c r="L12" s="1"/>
      <c r="M12" s="1"/>
      <c r="N12" s="1"/>
    </row>
    <row r="13" spans="1:14" ht="20" customHeight="1" x14ac:dyDescent="0.2">
      <c r="A13" s="34" t="s">
        <v>149</v>
      </c>
      <c r="B13" s="33"/>
      <c r="C13" s="33"/>
      <c r="D13" s="33"/>
      <c r="E13" s="33"/>
      <c r="F13" s="33"/>
      <c r="G13" s="33"/>
      <c r="H13" s="33"/>
      <c r="I13" s="33"/>
      <c r="J13" s="33"/>
      <c r="K13" s="33"/>
      <c r="L13" s="33"/>
      <c r="M13" s="33"/>
      <c r="N13" s="33"/>
    </row>
    <row r="14" spans="1:14" ht="34" customHeight="1" x14ac:dyDescent="0.2">
      <c r="A14" s="4" t="s">
        <v>150</v>
      </c>
      <c r="B14" s="4" t="s">
        <v>151</v>
      </c>
      <c r="C14" s="4" t="s">
        <v>152</v>
      </c>
      <c r="D14" s="4" t="s">
        <v>153</v>
      </c>
      <c r="E14" s="36" t="s">
        <v>154</v>
      </c>
      <c r="F14" s="37"/>
      <c r="G14" s="37"/>
      <c r="H14" s="37"/>
      <c r="I14" s="37"/>
      <c r="J14" s="37"/>
      <c r="K14" s="37"/>
      <c r="L14" s="37"/>
      <c r="M14" s="37"/>
      <c r="N14" s="37"/>
    </row>
    <row r="15" spans="1:14" x14ac:dyDescent="0.2">
      <c r="A15" s="1" t="s">
        <v>131</v>
      </c>
      <c r="B15" s="1" t="s">
        <v>85</v>
      </c>
      <c r="C15" s="1" t="s">
        <v>127</v>
      </c>
      <c r="D15" s="1" t="s">
        <v>155</v>
      </c>
      <c r="E15" s="32" t="s">
        <v>156</v>
      </c>
      <c r="F15" s="33"/>
      <c r="G15" s="33"/>
      <c r="H15" s="33"/>
      <c r="I15" s="33"/>
      <c r="J15" s="33"/>
      <c r="K15" s="33"/>
      <c r="L15" s="33"/>
      <c r="M15" s="33"/>
      <c r="N15" s="33"/>
    </row>
    <row r="16" spans="1:14" x14ac:dyDescent="0.2">
      <c r="A16" s="1" t="s">
        <v>157</v>
      </c>
      <c r="B16" s="1" t="s">
        <v>88</v>
      </c>
      <c r="C16" s="1" t="s">
        <v>158</v>
      </c>
      <c r="D16" s="1" t="s">
        <v>159</v>
      </c>
      <c r="E16" s="32" t="s">
        <v>160</v>
      </c>
      <c r="F16" s="33"/>
      <c r="G16" s="33"/>
      <c r="H16" s="33"/>
      <c r="I16" s="33"/>
      <c r="J16" s="33"/>
      <c r="K16" s="33"/>
      <c r="L16" s="33"/>
      <c r="M16" s="33"/>
      <c r="N16" s="33"/>
    </row>
    <row r="17" spans="1:14" x14ac:dyDescent="0.2">
      <c r="A17" s="1" t="s">
        <v>133</v>
      </c>
      <c r="B17" s="1" t="s">
        <v>91</v>
      </c>
      <c r="C17" s="1" t="s">
        <v>158</v>
      </c>
      <c r="D17" s="1" t="s">
        <v>161</v>
      </c>
      <c r="E17" s="32" t="s">
        <v>162</v>
      </c>
      <c r="F17" s="33"/>
      <c r="G17" s="33"/>
      <c r="H17" s="33"/>
      <c r="I17" s="33"/>
      <c r="J17" s="33"/>
      <c r="K17" s="33"/>
      <c r="L17" s="33"/>
      <c r="M17" s="33"/>
      <c r="N17" s="33"/>
    </row>
  </sheetData>
  <mergeCells count="7">
    <mergeCell ref="A1:N1"/>
    <mergeCell ref="E14:N14"/>
    <mergeCell ref="E17:N17"/>
    <mergeCell ref="E15:N15"/>
    <mergeCell ref="A5:N5"/>
    <mergeCell ref="E16:N16"/>
    <mergeCell ref="A13:N13"/>
  </mergeCells>
  <pageMargins left="0.25" right="0.25" top="0.5" bottom="0.5" header="0.5" footer="0.5"/>
  <pageSetup fitToHeight="0" orientation="portrait"/>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21"/>
  <sheetViews>
    <sheetView showGridLines="0" workbookViewId="0">
      <pane ySplit="3" topLeftCell="A4" activePane="bottomLeft" state="frozen"/>
      <selection pane="bottomLeft" sqref="A1:M1"/>
    </sheetView>
  </sheetViews>
  <sheetFormatPr baseColWidth="10" defaultColWidth="8.83203125" defaultRowHeight="15" x14ac:dyDescent="0.2"/>
  <cols>
    <col min="1" max="2" width="18" customWidth="1"/>
    <col min="3" max="3" width="8" customWidth="1"/>
    <col min="4" max="4" width="12" customWidth="1"/>
    <col min="5" max="5" width="18" customWidth="1"/>
    <col min="6" max="6" width="14" customWidth="1"/>
    <col min="7" max="7" width="20" customWidth="1"/>
    <col min="8" max="8" width="55" customWidth="1"/>
    <col min="9" max="13" width="12" customWidth="1"/>
  </cols>
  <sheetData>
    <row r="1" spans="1:13" ht="26" customHeight="1" x14ac:dyDescent="0.2">
      <c r="A1" s="38" t="s">
        <v>163</v>
      </c>
      <c r="B1" s="33"/>
      <c r="C1" s="33"/>
      <c r="D1" s="33"/>
      <c r="E1" s="33"/>
      <c r="F1" s="33"/>
      <c r="G1" s="33"/>
      <c r="H1" s="33"/>
      <c r="I1" s="33"/>
      <c r="J1" s="33"/>
      <c r="K1" s="33"/>
      <c r="L1" s="33"/>
      <c r="M1" s="33"/>
    </row>
    <row r="2" spans="1:13" x14ac:dyDescent="0.2">
      <c r="A2" s="1"/>
      <c r="B2" s="1"/>
      <c r="C2" s="1"/>
      <c r="D2" s="1"/>
      <c r="E2" s="1"/>
      <c r="F2" s="1"/>
      <c r="G2" s="1"/>
      <c r="H2" s="1"/>
      <c r="I2" s="1"/>
      <c r="J2" s="1"/>
      <c r="K2" s="1"/>
      <c r="L2" s="1"/>
      <c r="M2" s="1"/>
    </row>
    <row r="3" spans="1:13" ht="20" customHeight="1" x14ac:dyDescent="0.2">
      <c r="A3" s="34" t="s">
        <v>164</v>
      </c>
      <c r="B3" s="33"/>
      <c r="C3" s="33"/>
      <c r="D3" s="33"/>
      <c r="E3" s="33"/>
      <c r="F3" s="33"/>
      <c r="G3" s="33"/>
      <c r="H3" s="33"/>
      <c r="I3" s="33"/>
      <c r="J3" s="33"/>
      <c r="K3" s="33"/>
      <c r="L3" s="33"/>
      <c r="M3" s="33"/>
    </row>
    <row r="4" spans="1:13" ht="34" customHeight="1" x14ac:dyDescent="0.2">
      <c r="A4" s="4" t="s">
        <v>165</v>
      </c>
      <c r="B4" s="4" t="s">
        <v>166</v>
      </c>
      <c r="C4" s="4" t="s">
        <v>7</v>
      </c>
      <c r="D4" s="4" t="s">
        <v>8</v>
      </c>
      <c r="E4" s="4" t="s">
        <v>167</v>
      </c>
      <c r="F4" s="4" t="s">
        <v>168</v>
      </c>
      <c r="G4" s="4" t="s">
        <v>169</v>
      </c>
      <c r="H4" s="36" t="s">
        <v>170</v>
      </c>
      <c r="I4" s="37"/>
      <c r="J4" s="37"/>
      <c r="K4" s="37"/>
      <c r="L4" s="37"/>
      <c r="M4" s="37"/>
    </row>
    <row r="5" spans="1:13" x14ac:dyDescent="0.2">
      <c r="A5" s="1" t="s">
        <v>171</v>
      </c>
      <c r="B5" s="1" t="s">
        <v>172</v>
      </c>
      <c r="C5" s="1">
        <v>1</v>
      </c>
      <c r="D5" s="1" t="s">
        <v>15</v>
      </c>
      <c r="E5" s="16">
        <v>8992600</v>
      </c>
      <c r="F5" s="14">
        <f>'02_Parametros_IPC'!B12</f>
        <v>1.0684439834024897</v>
      </c>
      <c r="G5" s="18">
        <f t="shared" ref="G5:G12" si="0">E5*F5</f>
        <v>9608089.3651452288</v>
      </c>
      <c r="H5" s="32" t="s">
        <v>173</v>
      </c>
      <c r="I5" s="33"/>
      <c r="J5" s="33"/>
      <c r="K5" s="33"/>
      <c r="L5" s="33"/>
      <c r="M5" s="33"/>
    </row>
    <row r="6" spans="1:13" x14ac:dyDescent="0.2">
      <c r="A6" s="1" t="s">
        <v>171</v>
      </c>
      <c r="B6" s="1" t="s">
        <v>172</v>
      </c>
      <c r="C6" s="1">
        <v>2</v>
      </c>
      <c r="D6" s="1" t="s">
        <v>15</v>
      </c>
      <c r="E6" s="16">
        <v>370500</v>
      </c>
      <c r="F6" s="14">
        <f>'02_Parametros_IPC'!B12</f>
        <v>1.0684439834024897</v>
      </c>
      <c r="G6" s="18">
        <f t="shared" si="0"/>
        <v>395858.49585062242</v>
      </c>
      <c r="H6" s="32" t="s">
        <v>174</v>
      </c>
      <c r="I6" s="33"/>
      <c r="J6" s="33"/>
      <c r="K6" s="33"/>
      <c r="L6" s="33"/>
      <c r="M6" s="33"/>
    </row>
    <row r="7" spans="1:13" x14ac:dyDescent="0.2">
      <c r="A7" s="1" t="s">
        <v>171</v>
      </c>
      <c r="B7" s="1" t="s">
        <v>172</v>
      </c>
      <c r="C7" s="1">
        <v>3</v>
      </c>
      <c r="D7" s="1" t="s">
        <v>15</v>
      </c>
      <c r="E7" s="16">
        <v>1914400</v>
      </c>
      <c r="F7" s="14">
        <f>'02_Parametros_IPC'!B12</f>
        <v>1.0684439834024897</v>
      </c>
      <c r="G7" s="18">
        <f t="shared" si="0"/>
        <v>2045429.1618257263</v>
      </c>
      <c r="H7" s="32" t="s">
        <v>173</v>
      </c>
      <c r="I7" s="33"/>
      <c r="J7" s="33"/>
      <c r="K7" s="33"/>
      <c r="L7" s="33"/>
      <c r="M7" s="33"/>
    </row>
    <row r="8" spans="1:13" x14ac:dyDescent="0.2">
      <c r="A8" s="1" t="s">
        <v>171</v>
      </c>
      <c r="B8" s="1" t="s">
        <v>172</v>
      </c>
      <c r="C8" s="1">
        <v>4</v>
      </c>
      <c r="D8" s="1" t="s">
        <v>20</v>
      </c>
      <c r="E8" s="16">
        <v>95200</v>
      </c>
      <c r="F8" s="14">
        <f>'02_Parametros_IPC'!B12</f>
        <v>1.0684439834024897</v>
      </c>
      <c r="G8" s="18">
        <f t="shared" si="0"/>
        <v>101715.86721991703</v>
      </c>
      <c r="H8" s="32" t="s">
        <v>173</v>
      </c>
      <c r="I8" s="33"/>
      <c r="J8" s="33"/>
      <c r="K8" s="33"/>
      <c r="L8" s="33"/>
      <c r="M8" s="33"/>
    </row>
    <row r="9" spans="1:13" x14ac:dyDescent="0.2">
      <c r="A9" s="1" t="s">
        <v>175</v>
      </c>
      <c r="B9" s="1" t="s">
        <v>176</v>
      </c>
      <c r="C9" s="1">
        <v>1</v>
      </c>
      <c r="D9" s="1" t="s">
        <v>15</v>
      </c>
      <c r="E9" s="16">
        <v>8991568</v>
      </c>
      <c r="F9" s="14">
        <f>'02_Parametros_IPC'!B11</f>
        <v>1.0535000000000001</v>
      </c>
      <c r="G9" s="18">
        <f t="shared" si="0"/>
        <v>9472616.8880000003</v>
      </c>
      <c r="H9" s="32" t="s">
        <v>173</v>
      </c>
      <c r="I9" s="33"/>
      <c r="J9" s="33"/>
      <c r="K9" s="33"/>
      <c r="L9" s="33"/>
      <c r="M9" s="33"/>
    </row>
    <row r="10" spans="1:13" x14ac:dyDescent="0.2">
      <c r="A10" s="1" t="s">
        <v>175</v>
      </c>
      <c r="B10" s="1" t="s">
        <v>176</v>
      </c>
      <c r="C10" s="1">
        <v>2</v>
      </c>
      <c r="D10" s="1" t="s">
        <v>15</v>
      </c>
      <c r="E10" s="16">
        <v>190400</v>
      </c>
      <c r="F10" s="14">
        <f>'02_Parametros_IPC'!B11</f>
        <v>1.0535000000000001</v>
      </c>
      <c r="G10" s="18">
        <f t="shared" si="0"/>
        <v>200586.40000000002</v>
      </c>
      <c r="H10" s="32" t="s">
        <v>174</v>
      </c>
      <c r="I10" s="33"/>
      <c r="J10" s="33"/>
      <c r="K10" s="33"/>
      <c r="L10" s="33"/>
      <c r="M10" s="33"/>
    </row>
    <row r="11" spans="1:13" x14ac:dyDescent="0.2">
      <c r="A11" s="1" t="s">
        <v>175</v>
      </c>
      <c r="B11" s="1" t="s">
        <v>176</v>
      </c>
      <c r="C11" s="1">
        <v>3</v>
      </c>
      <c r="D11" s="1" t="s">
        <v>15</v>
      </c>
      <c r="E11" s="16">
        <v>2206904</v>
      </c>
      <c r="F11" s="14">
        <f>'02_Parametros_IPC'!B11</f>
        <v>1.0535000000000001</v>
      </c>
      <c r="G11" s="18">
        <f t="shared" si="0"/>
        <v>2324973.3640000001</v>
      </c>
      <c r="H11" s="32" t="s">
        <v>173</v>
      </c>
      <c r="I11" s="33"/>
      <c r="J11" s="33"/>
      <c r="K11" s="33"/>
      <c r="L11" s="33"/>
      <c r="M11" s="33"/>
    </row>
    <row r="12" spans="1:13" x14ac:dyDescent="0.2">
      <c r="A12" s="1" t="s">
        <v>175</v>
      </c>
      <c r="B12" s="1" t="s">
        <v>176</v>
      </c>
      <c r="C12" s="1">
        <v>4</v>
      </c>
      <c r="D12" s="1" t="s">
        <v>20</v>
      </c>
      <c r="E12" s="16">
        <v>99870</v>
      </c>
      <c r="F12" s="14">
        <f>'02_Parametros_IPC'!B11</f>
        <v>1.0535000000000001</v>
      </c>
      <c r="G12" s="18">
        <f t="shared" si="0"/>
        <v>105213.04500000001</v>
      </c>
      <c r="H12" s="32" t="s">
        <v>173</v>
      </c>
      <c r="I12" s="33"/>
      <c r="J12" s="33"/>
      <c r="K12" s="33"/>
      <c r="L12" s="33"/>
      <c r="M12" s="33"/>
    </row>
    <row r="13" spans="1:13" x14ac:dyDescent="0.2">
      <c r="A13" s="1"/>
      <c r="B13" s="1"/>
      <c r="C13" s="1"/>
      <c r="D13" s="1"/>
      <c r="E13" s="1"/>
      <c r="F13" s="1"/>
      <c r="G13" s="1"/>
      <c r="H13" s="1"/>
      <c r="I13" s="1"/>
      <c r="J13" s="1"/>
      <c r="K13" s="1"/>
      <c r="L13" s="1"/>
      <c r="M13" s="1"/>
    </row>
    <row r="14" spans="1:13" x14ac:dyDescent="0.2">
      <c r="A14" s="1"/>
      <c r="B14" s="1"/>
      <c r="C14" s="1"/>
      <c r="D14" s="1"/>
      <c r="E14" s="1"/>
      <c r="F14" s="1"/>
      <c r="G14" s="1"/>
      <c r="H14" s="1"/>
      <c r="I14" s="1"/>
      <c r="J14" s="1"/>
      <c r="K14" s="1"/>
      <c r="L14" s="1"/>
      <c r="M14" s="1"/>
    </row>
    <row r="15" spans="1:13" ht="20" customHeight="1" x14ac:dyDescent="0.2">
      <c r="A15" s="34" t="s">
        <v>177</v>
      </c>
      <c r="B15" s="33"/>
      <c r="C15" s="33"/>
      <c r="D15" s="33"/>
      <c r="E15" s="33"/>
      <c r="F15" s="33"/>
      <c r="G15" s="33"/>
      <c r="H15" s="33"/>
      <c r="I15" s="33"/>
      <c r="J15" s="33"/>
      <c r="K15" s="33"/>
      <c r="L15" s="33"/>
      <c r="M15" s="33"/>
    </row>
    <row r="16" spans="1:13" ht="34" customHeight="1" x14ac:dyDescent="0.2">
      <c r="A16" s="4" t="s">
        <v>7</v>
      </c>
      <c r="B16" s="4" t="s">
        <v>178</v>
      </c>
      <c r="C16" s="4" t="s">
        <v>168</v>
      </c>
      <c r="D16" s="4" t="s">
        <v>179</v>
      </c>
      <c r="E16" s="4" t="s">
        <v>180</v>
      </c>
      <c r="F16" s="4" t="s">
        <v>181</v>
      </c>
      <c r="G16" s="36" t="s">
        <v>182</v>
      </c>
      <c r="H16" s="37"/>
      <c r="I16" s="37"/>
      <c r="J16" s="37"/>
      <c r="K16" s="37"/>
      <c r="L16" s="37"/>
      <c r="M16" s="37"/>
    </row>
    <row r="17" spans="1:13" ht="44" customHeight="1" x14ac:dyDescent="0.2">
      <c r="A17" s="1">
        <v>1</v>
      </c>
      <c r="B17" s="19">
        <v>8991568</v>
      </c>
      <c r="C17" s="17">
        <f>'02_Parametros_IPC'!B11</f>
        <v>1.0535000000000001</v>
      </c>
      <c r="D17" s="18">
        <f>B17*C17</f>
        <v>9472616.8880000003</v>
      </c>
      <c r="E17" s="18">
        <f>'03_Cotizaciones_Actuales'!I7</f>
        <v>8617099.666666666</v>
      </c>
      <c r="F17" s="11">
        <f>E17/D17-1</f>
        <v>-9.0314770611816031E-2</v>
      </c>
      <c r="G17" s="32" t="s">
        <v>183</v>
      </c>
      <c r="H17" s="33"/>
      <c r="I17" s="33"/>
      <c r="J17" s="33"/>
      <c r="K17" s="33"/>
      <c r="L17" s="33"/>
      <c r="M17" s="33"/>
    </row>
    <row r="18" spans="1:13" ht="44" customHeight="1" x14ac:dyDescent="0.2">
      <c r="A18" s="1">
        <v>2</v>
      </c>
      <c r="B18" s="19">
        <v>190400</v>
      </c>
      <c r="C18" s="17">
        <f>'02_Parametros_IPC'!B11</f>
        <v>1.0535000000000001</v>
      </c>
      <c r="D18" s="18">
        <f>B18*C18</f>
        <v>200586.40000000002</v>
      </c>
      <c r="E18" s="18">
        <f>'03_Cotizaciones_Actuales'!I8</f>
        <v>982543.33333333337</v>
      </c>
      <c r="F18" s="1" t="s">
        <v>17</v>
      </c>
      <c r="G18" s="32" t="s">
        <v>184</v>
      </c>
      <c r="H18" s="33"/>
      <c r="I18" s="33"/>
      <c r="J18" s="33"/>
      <c r="K18" s="33"/>
      <c r="L18" s="33"/>
      <c r="M18" s="33"/>
    </row>
    <row r="19" spans="1:13" ht="44" customHeight="1" x14ac:dyDescent="0.2">
      <c r="A19" s="1">
        <v>3</v>
      </c>
      <c r="B19" s="19">
        <v>2206904</v>
      </c>
      <c r="C19" s="17">
        <f>'02_Parametros_IPC'!B11</f>
        <v>1.0535000000000001</v>
      </c>
      <c r="D19" s="18">
        <f>B19*C19</f>
        <v>2324973.3640000001</v>
      </c>
      <c r="E19" s="18">
        <f>'03_Cotizaciones_Actuales'!I9</f>
        <v>2863933.3333333335</v>
      </c>
      <c r="F19" s="11">
        <f>E19/D19-1</f>
        <v>0.23181339523222744</v>
      </c>
      <c r="G19" s="32" t="s">
        <v>185</v>
      </c>
      <c r="H19" s="33"/>
      <c r="I19" s="33"/>
      <c r="J19" s="33"/>
      <c r="K19" s="33"/>
      <c r="L19" s="33"/>
      <c r="M19" s="33"/>
    </row>
    <row r="20" spans="1:13" ht="44" customHeight="1" x14ac:dyDescent="0.2">
      <c r="A20" s="1">
        <v>4</v>
      </c>
      <c r="B20" s="19">
        <v>99870</v>
      </c>
      <c r="C20" s="17">
        <f>'02_Parametros_IPC'!B11</f>
        <v>1.0535000000000001</v>
      </c>
      <c r="D20" s="18">
        <f>B20*C20</f>
        <v>105213.04500000001</v>
      </c>
      <c r="E20" s="18">
        <f>'03_Cotizaciones_Actuales'!I10</f>
        <v>145973.33333333334</v>
      </c>
      <c r="F20" s="11">
        <f>E20/D20-1</f>
        <v>0.38740717306806705</v>
      </c>
      <c r="G20" s="32" t="s">
        <v>186</v>
      </c>
      <c r="H20" s="33"/>
      <c r="I20" s="33"/>
      <c r="J20" s="33"/>
      <c r="K20" s="33"/>
      <c r="L20" s="33"/>
      <c r="M20" s="33"/>
    </row>
    <row r="21" spans="1:13" ht="44" customHeight="1" x14ac:dyDescent="0.2">
      <c r="A21" s="1">
        <v>5</v>
      </c>
      <c r="B21" s="19" t="s">
        <v>23</v>
      </c>
      <c r="C21" s="1" t="s">
        <v>23</v>
      </c>
      <c r="D21" s="19" t="s">
        <v>23</v>
      </c>
      <c r="E21" s="18">
        <f>'03_Cotizaciones_Actuales'!I11</f>
        <v>99960000</v>
      </c>
      <c r="F21" s="1" t="s">
        <v>23</v>
      </c>
      <c r="G21" s="32" t="s">
        <v>187</v>
      </c>
      <c r="H21" s="33"/>
      <c r="I21" s="33"/>
      <c r="J21" s="33"/>
      <c r="K21" s="33"/>
      <c r="L21" s="33"/>
      <c r="M21" s="33"/>
    </row>
  </sheetData>
  <mergeCells count="18">
    <mergeCell ref="G21:M21"/>
    <mergeCell ref="A3:M3"/>
    <mergeCell ref="H9:M9"/>
    <mergeCell ref="H8:M8"/>
    <mergeCell ref="G20:M20"/>
    <mergeCell ref="A15:M15"/>
    <mergeCell ref="H11:M11"/>
    <mergeCell ref="H12:M12"/>
    <mergeCell ref="H6:M6"/>
    <mergeCell ref="G16:M16"/>
    <mergeCell ref="G19:M19"/>
    <mergeCell ref="H7:M7"/>
    <mergeCell ref="A1:M1"/>
    <mergeCell ref="H10:M10"/>
    <mergeCell ref="H5:M5"/>
    <mergeCell ref="G18:M18"/>
    <mergeCell ref="G17:M17"/>
    <mergeCell ref="H4:M4"/>
  </mergeCells>
  <pageMargins left="0.25" right="0.25" top="0.5" bottom="0.5" header="0.5" footer="0.5"/>
  <pageSetup fitToHeight="0" orientation="portrait"/>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P15"/>
  <sheetViews>
    <sheetView showGridLines="0" workbookViewId="0">
      <pane ySplit="4" topLeftCell="A5" activePane="bottomLeft" state="frozen"/>
      <selection pane="bottomLeft" activeCell="F2" sqref="F1:F1048576"/>
    </sheetView>
  </sheetViews>
  <sheetFormatPr baseColWidth="10" defaultColWidth="8.83203125" defaultRowHeight="15" x14ac:dyDescent="0.2"/>
  <cols>
    <col min="1" max="1" width="7" customWidth="1"/>
    <col min="2" max="2" width="8" customWidth="1"/>
    <col min="3" max="4" width="16" customWidth="1"/>
    <col min="5" max="5" width="18" customWidth="1"/>
    <col min="6" max="6" width="14.33203125" customWidth="1"/>
    <col min="7" max="14" width="16" customWidth="1"/>
    <col min="15" max="15" width="18" customWidth="1"/>
    <col min="16" max="16" width="45" customWidth="1"/>
  </cols>
  <sheetData>
    <row r="1" spans="1:16" ht="26" customHeight="1" x14ac:dyDescent="0.2">
      <c r="A1" s="38" t="s">
        <v>188</v>
      </c>
      <c r="B1" s="33"/>
      <c r="C1" s="33"/>
      <c r="D1" s="33"/>
      <c r="E1" s="33"/>
      <c r="F1" s="33"/>
      <c r="G1" s="33"/>
      <c r="H1" s="33"/>
      <c r="I1" s="33"/>
      <c r="J1" s="33"/>
      <c r="K1" s="33"/>
      <c r="L1" s="33"/>
      <c r="M1" s="33"/>
      <c r="N1" s="33"/>
      <c r="O1" s="33"/>
      <c r="P1" s="33"/>
    </row>
    <row r="2" spans="1:16" x14ac:dyDescent="0.2">
      <c r="A2" s="1"/>
      <c r="B2" s="1"/>
      <c r="C2" s="1"/>
      <c r="D2" s="1"/>
      <c r="E2" s="1"/>
      <c r="F2" s="1"/>
      <c r="G2" s="1"/>
      <c r="H2" s="1"/>
      <c r="I2" s="1"/>
      <c r="J2" s="1"/>
      <c r="K2" s="1"/>
      <c r="L2" s="1"/>
      <c r="M2" s="1"/>
      <c r="N2" s="1"/>
      <c r="O2" s="1"/>
      <c r="P2" s="1"/>
    </row>
    <row r="3" spans="1:16" ht="20" customHeight="1" x14ac:dyDescent="0.2">
      <c r="A3" s="34" t="s">
        <v>189</v>
      </c>
      <c r="B3" s="33"/>
      <c r="C3" s="33"/>
      <c r="D3" s="33"/>
      <c r="E3" s="33"/>
      <c r="F3" s="33"/>
      <c r="G3" s="33"/>
      <c r="H3" s="33"/>
      <c r="I3" s="33"/>
      <c r="J3" s="33"/>
      <c r="K3" s="33"/>
      <c r="L3" s="33"/>
      <c r="M3" s="33"/>
      <c r="N3" s="33"/>
      <c r="O3" s="33"/>
      <c r="P3" s="33"/>
    </row>
    <row r="4" spans="1:16" ht="34" customHeight="1" thickBot="1" x14ac:dyDescent="0.25">
      <c r="A4" s="4" t="s">
        <v>7</v>
      </c>
      <c r="B4" s="4" t="s">
        <v>190</v>
      </c>
      <c r="C4" s="4" t="s">
        <v>135</v>
      </c>
      <c r="D4" s="4" t="s">
        <v>136</v>
      </c>
      <c r="E4" s="4" t="s">
        <v>191</v>
      </c>
      <c r="F4" s="4" t="s">
        <v>192</v>
      </c>
      <c r="G4" s="4" t="s">
        <v>137</v>
      </c>
      <c r="H4" s="4" t="s">
        <v>138</v>
      </c>
      <c r="I4" s="4" t="s">
        <v>139</v>
      </c>
      <c r="J4" s="4" t="s">
        <v>193</v>
      </c>
      <c r="K4" s="4" t="s">
        <v>194</v>
      </c>
      <c r="L4" s="4" t="s">
        <v>195</v>
      </c>
      <c r="M4" s="4" t="s">
        <v>196</v>
      </c>
      <c r="N4" s="4" t="s">
        <v>197</v>
      </c>
      <c r="O4" s="4" t="s">
        <v>198</v>
      </c>
      <c r="P4" s="4" t="s">
        <v>37</v>
      </c>
    </row>
    <row r="5" spans="1:16" ht="40" customHeight="1" x14ac:dyDescent="0.2">
      <c r="A5" s="1">
        <v>1</v>
      </c>
      <c r="B5" s="17">
        <f>'03_Cotizaciones_Actuales'!H7</f>
        <v>3</v>
      </c>
      <c r="C5" s="18">
        <f>'03_Cotizaciones_Actuales'!I7</f>
        <v>8617099.666666666</v>
      </c>
      <c r="D5" s="18">
        <f>'03_Cotizaciones_Actuales'!J7</f>
        <v>8555300</v>
      </c>
      <c r="E5" s="18" t="e">
        <f ca="1">_xludf.STDEV.P('03_Cotizaciones_Actuales'!E7:G7)</f>
        <v>#NAME?</v>
      </c>
      <c r="F5" s="11" t="e">
        <f ca="1">IF(C5=0,0,E5/C5)</f>
        <v>#NAME?</v>
      </c>
      <c r="G5" s="18">
        <f>'03_Cotizaciones_Actuales'!K7</f>
        <v>8350000</v>
      </c>
      <c r="H5" s="18">
        <f>'03_Cotizaciones_Actuales'!L7</f>
        <v>8945999</v>
      </c>
      <c r="I5" s="18">
        <f>H5-G5</f>
        <v>595999</v>
      </c>
      <c r="J5" s="18" t="e">
        <f ca="1">_xludf.QUARTILE.INC('03_Cotizaciones_Actuales'!E7:G7,1)</f>
        <v>#NAME?</v>
      </c>
      <c r="K5" s="18" t="e">
        <f ca="1">_xludf.QUARTILE.INC('03_Cotizaciones_Actuales'!E7:G7,3)</f>
        <v>#NAME?</v>
      </c>
      <c r="L5" s="18" t="e">
        <f ca="1">K5-J5</f>
        <v>#NAME?</v>
      </c>
      <c r="M5" s="18" t="e">
        <f ca="1">J5-1.5*L5</f>
        <v>#NAME?</v>
      </c>
      <c r="N5" s="18" t="e">
        <f ca="1">K5+1.5*L5</f>
        <v>#NAME?</v>
      </c>
      <c r="O5" s="17" t="e">
        <f ca="1">IF(OR(G5&lt;M5,H5&gt;N5),"REVISAR","SIN ALERTA RIC")</f>
        <v>#NAME?</v>
      </c>
      <c r="P5" s="3" t="s">
        <v>199</v>
      </c>
    </row>
    <row r="6" spans="1:16" ht="40" customHeight="1" x14ac:dyDescent="0.2">
      <c r="A6" s="1">
        <v>2</v>
      </c>
      <c r="B6" s="17">
        <f>'03_Cotizaciones_Actuales'!H8</f>
        <v>3</v>
      </c>
      <c r="C6" s="18">
        <f>'03_Cotizaciones_Actuales'!I8</f>
        <v>982543.33333333337</v>
      </c>
      <c r="D6" s="18">
        <f>'03_Cotizaciones_Actuales'!J8</f>
        <v>1100750</v>
      </c>
      <c r="E6" s="18" t="e">
        <f ca="1">_xludf.STDEV.P('03_Cotizaciones_Actuales'!E8:G8)</f>
        <v>#NAME?</v>
      </c>
      <c r="F6" s="11" t="e">
        <f ca="1">IF(C6=0,0,E6/C6)</f>
        <v>#NAME?</v>
      </c>
      <c r="G6" s="18">
        <f>'03_Cotizaciones_Actuales'!K8</f>
        <v>714000</v>
      </c>
      <c r="H6" s="18">
        <f>'03_Cotizaciones_Actuales'!L8</f>
        <v>1132880</v>
      </c>
      <c r="I6" s="18">
        <f>H6-G6</f>
        <v>418880</v>
      </c>
      <c r="J6" s="18" t="e">
        <f ca="1">_xludf.QUARTILE.INC('03_Cotizaciones_Actuales'!E8:G8,1)</f>
        <v>#NAME?</v>
      </c>
      <c r="K6" s="18" t="e">
        <f ca="1">_xludf.QUARTILE.INC('03_Cotizaciones_Actuales'!E8:G8,3)</f>
        <v>#NAME?</v>
      </c>
      <c r="L6" s="18" t="e">
        <f ca="1">K6-J6</f>
        <v>#NAME?</v>
      </c>
      <c r="M6" s="18" t="e">
        <f ca="1">J6-1.5*L6</f>
        <v>#NAME?</v>
      </c>
      <c r="N6" s="18" t="e">
        <f ca="1">K6+1.5*L6</f>
        <v>#NAME?</v>
      </c>
      <c r="O6" s="17" t="e">
        <f ca="1">IF(OR(G6&lt;M6,H6&gt;N6),"REVISAR","SIN ALERTA RIC")</f>
        <v>#NAME?</v>
      </c>
      <c r="P6" s="3" t="s">
        <v>200</v>
      </c>
    </row>
    <row r="7" spans="1:16" ht="40" customHeight="1" x14ac:dyDescent="0.2">
      <c r="A7" s="1">
        <v>3</v>
      </c>
      <c r="B7" s="17">
        <f>'03_Cotizaciones_Actuales'!H9</f>
        <v>3</v>
      </c>
      <c r="C7" s="18">
        <f>'03_Cotizaciones_Actuales'!I9</f>
        <v>2863933.3333333335</v>
      </c>
      <c r="D7" s="18">
        <f>'03_Cotizaciones_Actuales'!J9</f>
        <v>2796500</v>
      </c>
      <c r="E7" s="18" t="e">
        <f ca="1">_xludf.STDEV.P('03_Cotizaciones_Actuales'!E9:G9)</f>
        <v>#NAME?</v>
      </c>
      <c r="F7" s="11" t="e">
        <f ca="1">IF(C7=0,0,E7/C7)</f>
        <v>#NAME?</v>
      </c>
      <c r="G7" s="18">
        <f>'03_Cotizaciones_Actuales'!K9</f>
        <v>2534700</v>
      </c>
      <c r="H7" s="18">
        <f>'03_Cotizaciones_Actuales'!L9</f>
        <v>3260600</v>
      </c>
      <c r="I7" s="18">
        <f>H7-G7</f>
        <v>725900</v>
      </c>
      <c r="J7" s="18" t="e">
        <f ca="1">_xludf.QUARTILE.INC('03_Cotizaciones_Actuales'!E9:G9,1)</f>
        <v>#NAME?</v>
      </c>
      <c r="K7" s="18" t="e">
        <f ca="1">_xludf.QUARTILE.INC('03_Cotizaciones_Actuales'!E9:G9,3)</f>
        <v>#NAME?</v>
      </c>
      <c r="L7" s="18" t="e">
        <f ca="1">K7-J7</f>
        <v>#NAME?</v>
      </c>
      <c r="M7" s="18" t="e">
        <f ca="1">J7-1.5*L7</f>
        <v>#NAME?</v>
      </c>
      <c r="N7" s="18" t="e">
        <f ca="1">K7+1.5*L7</f>
        <v>#NAME?</v>
      </c>
      <c r="O7" s="17" t="e">
        <f ca="1">IF(OR(G7&lt;M7,H7&gt;N7),"REVISAR","SIN ALERTA RIC")</f>
        <v>#NAME?</v>
      </c>
      <c r="P7" s="3" t="s">
        <v>201</v>
      </c>
    </row>
    <row r="8" spans="1:16" ht="40" customHeight="1" x14ac:dyDescent="0.2">
      <c r="A8" s="1">
        <v>4</v>
      </c>
      <c r="B8" s="17">
        <f>'03_Cotizaciones_Actuales'!H10</f>
        <v>3</v>
      </c>
      <c r="C8" s="18">
        <f>'03_Cotizaciones_Actuales'!I10</f>
        <v>145973.33333333334</v>
      </c>
      <c r="D8" s="18">
        <f>'03_Cotizaciones_Actuales'!J10</f>
        <v>142800</v>
      </c>
      <c r="E8" s="18" t="e">
        <f ca="1">_xludf.STDEV.P('03_Cotizaciones_Actuales'!E10:G10)</f>
        <v>#NAME?</v>
      </c>
      <c r="F8" s="11" t="e">
        <f ca="1">IF(C8=0,0,E8/C8)</f>
        <v>#NAME?</v>
      </c>
      <c r="G8" s="18">
        <f>'03_Cotizaciones_Actuales'!K10</f>
        <v>130900</v>
      </c>
      <c r="H8" s="18">
        <f>'03_Cotizaciones_Actuales'!L10</f>
        <v>164220</v>
      </c>
      <c r="I8" s="18">
        <f>H8-G8</f>
        <v>33320</v>
      </c>
      <c r="J8" s="18" t="e">
        <f ca="1">_xludf.QUARTILE.INC('03_Cotizaciones_Actuales'!E10:G10,1)</f>
        <v>#NAME?</v>
      </c>
      <c r="K8" s="18" t="e">
        <f ca="1">_xludf.QUARTILE.INC('03_Cotizaciones_Actuales'!E10:G10,3)</f>
        <v>#NAME?</v>
      </c>
      <c r="L8" s="18" t="e">
        <f ca="1">K8-J8</f>
        <v>#NAME?</v>
      </c>
      <c r="M8" s="18" t="e">
        <f ca="1">J8-1.5*L8</f>
        <v>#NAME?</v>
      </c>
      <c r="N8" s="18" t="e">
        <f ca="1">K8+1.5*L8</f>
        <v>#NAME?</v>
      </c>
      <c r="O8" s="17" t="e">
        <f ca="1">IF(OR(G8&lt;M8,H8&gt;N8),"REVISAR","SIN ALERTA RIC")</f>
        <v>#NAME?</v>
      </c>
      <c r="P8" s="3" t="s">
        <v>202</v>
      </c>
    </row>
    <row r="9" spans="1:16" ht="40" customHeight="1" x14ac:dyDescent="0.2">
      <c r="A9" s="1">
        <v>5</v>
      </c>
      <c r="B9" s="17">
        <f>'03_Cotizaciones_Actuales'!H11</f>
        <v>2</v>
      </c>
      <c r="C9" s="18">
        <f>'03_Cotizaciones_Actuales'!I11</f>
        <v>99960000</v>
      </c>
      <c r="D9" s="18">
        <f>'03_Cotizaciones_Actuales'!J11</f>
        <v>99960000</v>
      </c>
      <c r="E9" s="18" t="e">
        <f ca="1">_xludf.STDEV.P('03_Cotizaciones_Actuales'!E11:G11)</f>
        <v>#NAME?</v>
      </c>
      <c r="F9" s="11" t="e">
        <f ca="1">IF(C9=0,0,E9/C9)</f>
        <v>#NAME?</v>
      </c>
      <c r="G9" s="18">
        <f>'03_Cotizaciones_Actuales'!K11</f>
        <v>86870000</v>
      </c>
      <c r="H9" s="18">
        <f>'03_Cotizaciones_Actuales'!L11</f>
        <v>113050000</v>
      </c>
      <c r="I9" s="18">
        <f>H9-G9</f>
        <v>26180000</v>
      </c>
      <c r="J9" s="18" t="e">
        <f ca="1">_xludf.QUARTILE.INC('03_Cotizaciones_Actuales'!E11:G11,1)</f>
        <v>#NAME?</v>
      </c>
      <c r="K9" s="18" t="e">
        <f ca="1">_xludf.QUARTILE.INC('03_Cotizaciones_Actuales'!E11:G11,3)</f>
        <v>#NAME?</v>
      </c>
      <c r="L9" s="18" t="e">
        <f ca="1">K9-J9</f>
        <v>#NAME?</v>
      </c>
      <c r="M9" s="18" t="e">
        <f ca="1">J9-1.5*L9</f>
        <v>#NAME?</v>
      </c>
      <c r="N9" s="18" t="e">
        <f ca="1">K9+1.5*L9</f>
        <v>#NAME?</v>
      </c>
      <c r="O9" s="17" t="e">
        <f ca="1">IF(OR(G9&lt;M9,H9&gt;N9),"REVISAR","SIN ALERTA RIC")</f>
        <v>#NAME?</v>
      </c>
      <c r="P9" s="3" t="s">
        <v>203</v>
      </c>
    </row>
    <row r="10" spans="1:16" x14ac:dyDescent="0.2">
      <c r="A10" s="1"/>
      <c r="B10" s="1"/>
      <c r="C10" s="1"/>
      <c r="D10" s="1"/>
      <c r="E10" s="1"/>
      <c r="F10" s="1"/>
      <c r="G10" s="1"/>
      <c r="H10" s="1"/>
      <c r="I10" s="1"/>
      <c r="J10" s="1"/>
      <c r="K10" s="1"/>
      <c r="L10" s="1"/>
      <c r="M10" s="1"/>
      <c r="N10" s="1"/>
      <c r="O10" s="1"/>
      <c r="P10" s="1"/>
    </row>
    <row r="11" spans="1:16" x14ac:dyDescent="0.2">
      <c r="A11" s="1"/>
      <c r="B11" s="1"/>
      <c r="C11" s="1"/>
      <c r="D11" s="1"/>
      <c r="E11" s="1"/>
      <c r="F11" s="1"/>
      <c r="G11" s="1"/>
      <c r="H11" s="1"/>
      <c r="I11" s="1"/>
      <c r="J11" s="1"/>
      <c r="K11" s="1"/>
      <c r="L11" s="1"/>
      <c r="M11" s="1"/>
      <c r="N11" s="1"/>
      <c r="O11" s="1"/>
      <c r="P11" s="1"/>
    </row>
    <row r="12" spans="1:16" x14ac:dyDescent="0.2">
      <c r="A12" s="1" t="s">
        <v>204</v>
      </c>
      <c r="B12" s="39" t="s">
        <v>205</v>
      </c>
      <c r="C12" s="33"/>
      <c r="D12" s="33"/>
      <c r="E12" s="33"/>
      <c r="F12" s="33"/>
      <c r="G12" s="33"/>
      <c r="H12" s="33"/>
      <c r="I12" s="33"/>
      <c r="J12" s="33"/>
      <c r="K12" s="33"/>
      <c r="L12" s="33"/>
      <c r="M12" s="33"/>
      <c r="N12" s="33"/>
      <c r="O12" s="33"/>
      <c r="P12" s="33"/>
    </row>
    <row r="13" spans="1:16" x14ac:dyDescent="0.2">
      <c r="A13" s="1"/>
      <c r="B13" s="33"/>
      <c r="C13" s="33"/>
      <c r="D13" s="33"/>
      <c r="E13" s="33"/>
      <c r="F13" s="33"/>
      <c r="G13" s="33"/>
      <c r="H13" s="33"/>
      <c r="I13" s="33"/>
      <c r="J13" s="33"/>
      <c r="K13" s="33"/>
      <c r="L13" s="33"/>
      <c r="M13" s="33"/>
      <c r="N13" s="33"/>
      <c r="O13" s="33"/>
      <c r="P13" s="33"/>
    </row>
    <row r="14" spans="1:16" x14ac:dyDescent="0.2">
      <c r="A14" s="1"/>
      <c r="B14" s="33"/>
      <c r="C14" s="33"/>
      <c r="D14" s="33"/>
      <c r="E14" s="33"/>
      <c r="F14" s="33"/>
      <c r="G14" s="33"/>
      <c r="H14" s="33"/>
      <c r="I14" s="33"/>
      <c r="J14" s="33"/>
      <c r="K14" s="33"/>
      <c r="L14" s="33"/>
      <c r="M14" s="33"/>
      <c r="N14" s="33"/>
      <c r="O14" s="33"/>
      <c r="P14" s="33"/>
    </row>
    <row r="15" spans="1:16" x14ac:dyDescent="0.2">
      <c r="A15" s="1"/>
      <c r="B15" s="33"/>
      <c r="C15" s="33"/>
      <c r="D15" s="33"/>
      <c r="E15" s="33"/>
      <c r="F15" s="33"/>
      <c r="G15" s="33"/>
      <c r="H15" s="33"/>
      <c r="I15" s="33"/>
      <c r="J15" s="33"/>
      <c r="K15" s="33"/>
      <c r="L15" s="33"/>
      <c r="M15" s="33"/>
      <c r="N15" s="33"/>
      <c r="O15" s="33"/>
      <c r="P15" s="33"/>
    </row>
  </sheetData>
  <mergeCells count="3">
    <mergeCell ref="A1:P1"/>
    <mergeCell ref="B12:P15"/>
    <mergeCell ref="A3:P3"/>
  </mergeCells>
  <pageMargins left="0.25" right="0.25" top="0.5" bottom="0.5" header="0.5" footer="0.5"/>
  <pageSetup fitToHeight="0"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M20"/>
  <sheetViews>
    <sheetView showGridLines="0" workbookViewId="0">
      <pane ySplit="3" topLeftCell="A4" activePane="bottomLeft" state="frozen"/>
      <selection pane="bottomLeft" activeCell="F13" sqref="F13:M13"/>
    </sheetView>
  </sheetViews>
  <sheetFormatPr baseColWidth="10" defaultColWidth="8.83203125" defaultRowHeight="15" x14ac:dyDescent="0.2"/>
  <cols>
    <col min="1" max="1" width="46" customWidth="1"/>
    <col min="2" max="3" width="20" customWidth="1"/>
    <col min="4" max="4" width="22" customWidth="1"/>
    <col min="5" max="5" width="18" customWidth="1"/>
    <col min="6" max="6" width="25" customWidth="1"/>
    <col min="7" max="7" width="60" customWidth="1"/>
    <col min="8" max="13" width="12" customWidth="1"/>
  </cols>
  <sheetData>
    <row r="1" spans="1:13" ht="26" customHeight="1" x14ac:dyDescent="0.2">
      <c r="A1" s="38" t="s">
        <v>206</v>
      </c>
      <c r="B1" s="33"/>
      <c r="C1" s="33"/>
      <c r="D1" s="33"/>
      <c r="E1" s="33"/>
      <c r="F1" s="33"/>
      <c r="G1" s="33"/>
      <c r="H1" s="33"/>
      <c r="I1" s="33"/>
      <c r="J1" s="33"/>
      <c r="K1" s="33"/>
      <c r="L1" s="33"/>
      <c r="M1" s="33"/>
    </row>
    <row r="2" spans="1:13" x14ac:dyDescent="0.2">
      <c r="A2" s="1"/>
      <c r="B2" s="1"/>
      <c r="C2" s="1"/>
      <c r="D2" s="1"/>
      <c r="E2" s="1"/>
      <c r="F2" s="1"/>
      <c r="G2" s="1"/>
      <c r="H2" s="1"/>
      <c r="I2" s="1"/>
      <c r="J2" s="1"/>
      <c r="K2" s="1"/>
      <c r="L2" s="1"/>
      <c r="M2" s="1"/>
    </row>
    <row r="3" spans="1:13" ht="20" customHeight="1" x14ac:dyDescent="0.2">
      <c r="A3" s="34" t="s">
        <v>207</v>
      </c>
      <c r="B3" s="33"/>
      <c r="C3" s="33"/>
      <c r="D3" s="33"/>
      <c r="E3" s="33"/>
      <c r="F3" s="33"/>
      <c r="G3" s="33"/>
      <c r="H3" s="33"/>
      <c r="I3" s="33"/>
      <c r="J3" s="33"/>
      <c r="K3" s="33"/>
      <c r="L3" s="33"/>
      <c r="M3" s="33"/>
    </row>
    <row r="4" spans="1:13" ht="34" customHeight="1" x14ac:dyDescent="0.2">
      <c r="A4" s="4" t="s">
        <v>7</v>
      </c>
      <c r="B4" s="4" t="s">
        <v>208</v>
      </c>
      <c r="C4" s="4" t="s">
        <v>12</v>
      </c>
      <c r="D4" s="4" t="s">
        <v>209</v>
      </c>
      <c r="E4" s="4" t="s">
        <v>210</v>
      </c>
      <c r="F4" s="4" t="s">
        <v>211</v>
      </c>
      <c r="G4" s="36" t="s">
        <v>212</v>
      </c>
      <c r="H4" s="37"/>
      <c r="I4" s="37"/>
      <c r="J4" s="37"/>
      <c r="K4" s="37"/>
      <c r="L4" s="37"/>
      <c r="M4" s="37"/>
    </row>
    <row r="5" spans="1:13" ht="50" customHeight="1" x14ac:dyDescent="0.2">
      <c r="A5" s="64">
        <v>1</v>
      </c>
      <c r="B5" s="65">
        <f>'03_Cotizaciones_Actuales'!I7</f>
        <v>8617099.666666666</v>
      </c>
      <c r="C5" s="65">
        <f>'04_Historicos_IPC'!G9</f>
        <v>9472616.8880000003</v>
      </c>
      <c r="D5" s="65">
        <f>B5-C5</f>
        <v>-855517.22133333422</v>
      </c>
      <c r="E5" s="66">
        <f>B5/C5-1</f>
        <v>-9.0314770611816031E-2</v>
      </c>
      <c r="F5" s="65">
        <f>'04_Historicos_IPC'!G5</f>
        <v>9608089.3651452288</v>
      </c>
      <c r="G5" s="67" t="s">
        <v>213</v>
      </c>
      <c r="H5" s="68"/>
      <c r="I5" s="68"/>
      <c r="J5" s="68"/>
      <c r="K5" s="68"/>
      <c r="L5" s="68"/>
      <c r="M5" s="68"/>
    </row>
    <row r="6" spans="1:13" ht="50" customHeight="1" x14ac:dyDescent="0.2">
      <c r="A6" s="64">
        <v>2</v>
      </c>
      <c r="B6" s="65">
        <f>'03_Cotizaciones_Actuales'!I8</f>
        <v>982543.33333333337</v>
      </c>
      <c r="C6" s="65">
        <f>'04_Historicos_IPC'!G10</f>
        <v>200586.40000000002</v>
      </c>
      <c r="D6" s="65">
        <f>B6-C6</f>
        <v>781956.93333333335</v>
      </c>
      <c r="E6" s="64" t="s">
        <v>17</v>
      </c>
      <c r="F6" s="65">
        <f>'04_Historicos_IPC'!G6</f>
        <v>395858.49585062242</v>
      </c>
      <c r="G6" s="67" t="s">
        <v>214</v>
      </c>
      <c r="H6" s="68"/>
      <c r="I6" s="68"/>
      <c r="J6" s="68"/>
      <c r="K6" s="68"/>
      <c r="L6" s="68"/>
      <c r="M6" s="68"/>
    </row>
    <row r="7" spans="1:13" ht="50" customHeight="1" x14ac:dyDescent="0.2">
      <c r="A7" s="64">
        <v>3</v>
      </c>
      <c r="B7" s="65">
        <f>'03_Cotizaciones_Actuales'!I9</f>
        <v>2863933.3333333335</v>
      </c>
      <c r="C7" s="65">
        <f>'04_Historicos_IPC'!G11</f>
        <v>2324973.3640000001</v>
      </c>
      <c r="D7" s="65">
        <f>B7-C7</f>
        <v>538959.96933333343</v>
      </c>
      <c r="E7" s="66">
        <f>B7/C7-1</f>
        <v>0.23181339523222744</v>
      </c>
      <c r="F7" s="65">
        <f>'04_Historicos_IPC'!G7</f>
        <v>2045429.1618257263</v>
      </c>
      <c r="G7" s="67" t="s">
        <v>215</v>
      </c>
      <c r="H7" s="68"/>
      <c r="I7" s="68"/>
      <c r="J7" s="68"/>
      <c r="K7" s="68"/>
      <c r="L7" s="68"/>
      <c r="M7" s="68"/>
    </row>
    <row r="8" spans="1:13" ht="50" customHeight="1" x14ac:dyDescent="0.2">
      <c r="A8" s="64">
        <v>4</v>
      </c>
      <c r="B8" s="65">
        <f>'03_Cotizaciones_Actuales'!I10</f>
        <v>145973.33333333334</v>
      </c>
      <c r="C8" s="65">
        <f>'04_Historicos_IPC'!G12</f>
        <v>105213.04500000001</v>
      </c>
      <c r="D8" s="65">
        <f>B8-C8</f>
        <v>40760.28833333333</v>
      </c>
      <c r="E8" s="66">
        <f>B8/C8-1</f>
        <v>0.38740717306806705</v>
      </c>
      <c r="F8" s="65">
        <f>'04_Historicos_IPC'!G8</f>
        <v>101715.86721991703</v>
      </c>
      <c r="G8" s="67" t="s">
        <v>216</v>
      </c>
      <c r="H8" s="68"/>
      <c r="I8" s="68"/>
      <c r="J8" s="68"/>
      <c r="K8" s="68"/>
      <c r="L8" s="68"/>
      <c r="M8" s="68"/>
    </row>
    <row r="9" spans="1:13" ht="50" customHeight="1" x14ac:dyDescent="0.2">
      <c r="A9" s="64">
        <v>5</v>
      </c>
      <c r="B9" s="65">
        <f>'03_Cotizaciones_Actuales'!I11</f>
        <v>99960000</v>
      </c>
      <c r="C9" s="63" t="s">
        <v>23</v>
      </c>
      <c r="D9" s="63" t="s">
        <v>23</v>
      </c>
      <c r="E9" s="64" t="s">
        <v>23</v>
      </c>
      <c r="F9" s="63" t="s">
        <v>23</v>
      </c>
      <c r="G9" s="67" t="s">
        <v>217</v>
      </c>
      <c r="H9" s="68"/>
      <c r="I9" s="68"/>
      <c r="J9" s="68"/>
      <c r="K9" s="68"/>
      <c r="L9" s="68"/>
      <c r="M9" s="68"/>
    </row>
    <row r="10" spans="1:13" x14ac:dyDescent="0.2">
      <c r="A10" s="1"/>
      <c r="B10" s="1"/>
      <c r="C10" s="1"/>
      <c r="D10" s="1"/>
      <c r="E10" s="1"/>
      <c r="F10" s="1"/>
      <c r="G10" s="1"/>
      <c r="H10" s="1"/>
      <c r="I10" s="1"/>
      <c r="J10" s="1"/>
      <c r="K10" s="1"/>
      <c r="L10" s="1"/>
      <c r="M10" s="1"/>
    </row>
    <row r="11" spans="1:13" ht="20" customHeight="1" x14ac:dyDescent="0.2">
      <c r="A11" s="34" t="s">
        <v>218</v>
      </c>
      <c r="B11" s="33"/>
      <c r="C11" s="33"/>
      <c r="D11" s="33"/>
      <c r="E11" s="33"/>
      <c r="F11" s="33"/>
      <c r="G11" s="33"/>
      <c r="H11" s="33"/>
      <c r="I11" s="33"/>
      <c r="J11" s="33"/>
      <c r="K11" s="33"/>
      <c r="L11" s="33"/>
      <c r="M11" s="33"/>
    </row>
    <row r="12" spans="1:13" ht="34" customHeight="1" x14ac:dyDescent="0.2">
      <c r="A12" s="4" t="s">
        <v>7</v>
      </c>
      <c r="B12" s="4" t="s">
        <v>180</v>
      </c>
      <c r="C12" s="4" t="s">
        <v>12</v>
      </c>
      <c r="D12" s="4" t="s">
        <v>219</v>
      </c>
      <c r="E12" s="4" t="s">
        <v>220</v>
      </c>
      <c r="F12" s="36" t="s">
        <v>221</v>
      </c>
      <c r="G12" s="37"/>
      <c r="H12" s="37"/>
      <c r="I12" s="37"/>
      <c r="J12" s="37"/>
      <c r="K12" s="37"/>
      <c r="L12" s="37"/>
      <c r="M12" s="37"/>
    </row>
    <row r="13" spans="1:13" x14ac:dyDescent="0.2">
      <c r="A13" s="52">
        <v>1</v>
      </c>
      <c r="B13" s="18">
        <f>'03_Cotizaciones_Actuales'!I7</f>
        <v>8617099.666666666</v>
      </c>
      <c r="C13" s="65">
        <f>'04_Historicos_IPC'!G9</f>
        <v>9472616.8880000003</v>
      </c>
      <c r="D13" s="18">
        <f>(B13*3+C13)/4</f>
        <v>8830978.9719999991</v>
      </c>
      <c r="E13" s="11">
        <f>D13/B13-1</f>
        <v>2.482033556611607E-2</v>
      </c>
      <c r="F13" s="42" t="s">
        <v>222</v>
      </c>
      <c r="G13" s="33"/>
      <c r="H13" s="33"/>
      <c r="I13" s="33"/>
      <c r="J13" s="33"/>
      <c r="K13" s="33"/>
      <c r="L13" s="33"/>
      <c r="M13" s="33"/>
    </row>
    <row r="14" spans="1:13" x14ac:dyDescent="0.2">
      <c r="A14" s="52">
        <v>2</v>
      </c>
      <c r="B14" s="18">
        <f>'03_Cotizaciones_Actuales'!I8</f>
        <v>982543.33333333337</v>
      </c>
      <c r="C14" s="63" t="s">
        <v>17</v>
      </c>
      <c r="D14" s="18">
        <f>B14</f>
        <v>982543.33333333337</v>
      </c>
      <c r="E14" s="20">
        <v>0</v>
      </c>
      <c r="F14" s="42" t="s">
        <v>223</v>
      </c>
      <c r="G14" s="33"/>
      <c r="H14" s="33"/>
      <c r="I14" s="33"/>
      <c r="J14" s="33"/>
      <c r="K14" s="33"/>
      <c r="L14" s="33"/>
      <c r="M14" s="33"/>
    </row>
    <row r="15" spans="1:13" x14ac:dyDescent="0.2">
      <c r="A15" s="52">
        <v>3</v>
      </c>
      <c r="B15" s="18">
        <f>'03_Cotizaciones_Actuales'!I9</f>
        <v>2863933.3333333335</v>
      </c>
      <c r="C15" s="65">
        <f>'04_Historicos_IPC'!G11</f>
        <v>2324973.3640000001</v>
      </c>
      <c r="D15" s="18">
        <f>(B15*3+C15)/4</f>
        <v>2729193.341</v>
      </c>
      <c r="E15" s="11">
        <f>D15/B15-1</f>
        <v>-4.7047181847808428E-2</v>
      </c>
      <c r="F15" s="42" t="s">
        <v>222</v>
      </c>
      <c r="G15" s="33"/>
      <c r="H15" s="33"/>
      <c r="I15" s="33"/>
      <c r="J15" s="33"/>
      <c r="K15" s="33"/>
      <c r="L15" s="33"/>
      <c r="M15" s="33"/>
    </row>
    <row r="16" spans="1:13" x14ac:dyDescent="0.2">
      <c r="A16" s="52">
        <v>4</v>
      </c>
      <c r="B16" s="18">
        <f>'03_Cotizaciones_Actuales'!I10</f>
        <v>145973.33333333334</v>
      </c>
      <c r="C16" s="65">
        <f>'04_Historicos_IPC'!G12</f>
        <v>105213.04500000001</v>
      </c>
      <c r="D16" s="18">
        <f>(B16*3+C16)/4</f>
        <v>135783.26125000001</v>
      </c>
      <c r="E16" s="11">
        <f>D16/B16-1</f>
        <v>-6.9807764546035767E-2</v>
      </c>
      <c r="F16" s="42" t="s">
        <v>222</v>
      </c>
      <c r="G16" s="33"/>
      <c r="H16" s="33"/>
      <c r="I16" s="33"/>
      <c r="J16" s="33"/>
      <c r="K16" s="33"/>
      <c r="L16" s="33"/>
      <c r="M16" s="33"/>
    </row>
    <row r="17" spans="1:13" x14ac:dyDescent="0.2">
      <c r="A17" s="52">
        <v>5</v>
      </c>
      <c r="B17" s="18">
        <f>'03_Cotizaciones_Actuales'!I11</f>
        <v>99960000</v>
      </c>
      <c r="C17" s="63" t="s">
        <v>23</v>
      </c>
      <c r="D17" s="18">
        <f>B17</f>
        <v>99960000</v>
      </c>
      <c r="E17" s="20">
        <v>0</v>
      </c>
      <c r="F17" s="42" t="s">
        <v>224</v>
      </c>
      <c r="G17" s="33"/>
      <c r="H17" s="33"/>
      <c r="I17" s="33"/>
      <c r="J17" s="33"/>
      <c r="K17" s="33"/>
      <c r="L17" s="33"/>
      <c r="M17" s="33"/>
    </row>
    <row r="18" spans="1:13" x14ac:dyDescent="0.2">
      <c r="A18" s="1" t="s">
        <v>225</v>
      </c>
      <c r="B18" s="18">
        <f>'08_Control_Presupuesto'!B10</f>
        <v>5087084240</v>
      </c>
      <c r="C18" s="64"/>
      <c r="D18" s="1"/>
      <c r="E18" s="1"/>
      <c r="F18" s="1"/>
      <c r="G18" s="1"/>
      <c r="H18" s="1"/>
      <c r="I18" s="1"/>
      <c r="J18" s="1"/>
      <c r="K18" s="1"/>
      <c r="L18" s="1"/>
      <c r="M18" s="1"/>
    </row>
    <row r="19" spans="1:13" x14ac:dyDescent="0.2">
      <c r="A19" s="1" t="s">
        <v>226</v>
      </c>
      <c r="B19" s="18">
        <f>D13*365+D14*365+D15*365+D16*3000+D17*1</f>
        <v>5085400994.6616659</v>
      </c>
      <c r="C19" s="64"/>
      <c r="D19" s="1"/>
      <c r="E19" s="1"/>
      <c r="F19" s="1"/>
      <c r="G19" s="1"/>
      <c r="H19" s="1"/>
      <c r="I19" s="1"/>
      <c r="J19" s="1"/>
      <c r="K19" s="1"/>
      <c r="L19" s="1"/>
      <c r="M19" s="1"/>
    </row>
    <row r="20" spans="1:13" x14ac:dyDescent="0.2">
      <c r="A20" s="1" t="s">
        <v>227</v>
      </c>
      <c r="B20" s="11">
        <f>B19/B18-1</f>
        <v>-3.3088607518994007E-4</v>
      </c>
      <c r="C20" s="64"/>
      <c r="D20" s="1"/>
      <c r="E20" s="1"/>
      <c r="F20" s="1"/>
      <c r="G20" s="1"/>
      <c r="H20" s="1"/>
      <c r="I20" s="1"/>
      <c r="J20" s="1"/>
      <c r="K20" s="1"/>
      <c r="L20" s="1"/>
      <c r="M20" s="1"/>
    </row>
  </sheetData>
  <mergeCells count="15">
    <mergeCell ref="F17:M17"/>
    <mergeCell ref="G6:M6"/>
    <mergeCell ref="A1:M1"/>
    <mergeCell ref="G8:M8"/>
    <mergeCell ref="G9:M9"/>
    <mergeCell ref="F12:M12"/>
    <mergeCell ref="F15:M15"/>
    <mergeCell ref="G4:M4"/>
    <mergeCell ref="G7:M7"/>
    <mergeCell ref="A3:M3"/>
    <mergeCell ref="F16:M16"/>
    <mergeCell ref="F14:M14"/>
    <mergeCell ref="F13:M13"/>
    <mergeCell ref="A11:M11"/>
    <mergeCell ref="G5:M5"/>
  </mergeCells>
  <pageMargins left="0.25" right="0.25" top="0.5" bottom="0.5" header="0.5" footer="0.5"/>
  <pageSetup fitToHeight="0" orientation="portrai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L23"/>
  <sheetViews>
    <sheetView showGridLines="0" tabSelected="1" topLeftCell="B1" workbookViewId="0">
      <pane ySplit="7" topLeftCell="A8" activePane="bottomLeft" state="frozen"/>
      <selection pane="bottomLeft" sqref="A1:L1"/>
    </sheetView>
  </sheetViews>
  <sheetFormatPr baseColWidth="10" defaultColWidth="8.83203125" defaultRowHeight="15" x14ac:dyDescent="0.2"/>
  <cols>
    <col min="1" max="1" width="7" customWidth="1"/>
    <col min="2" max="2" width="56" customWidth="1"/>
    <col min="3" max="3" width="14" customWidth="1"/>
    <col min="4" max="6" width="17" customWidth="1"/>
    <col min="7" max="7" width="10" customWidth="1"/>
    <col min="8" max="8" width="21" customWidth="1"/>
    <col min="9" max="9" width="18" customWidth="1"/>
    <col min="10" max="10" width="20" customWidth="1"/>
    <col min="11" max="11" width="16" customWidth="1"/>
    <col min="12" max="12" width="55" customWidth="1"/>
  </cols>
  <sheetData>
    <row r="1" spans="1:12" ht="26" customHeight="1" x14ac:dyDescent="0.2">
      <c r="A1" s="38" t="s">
        <v>228</v>
      </c>
      <c r="B1" s="33"/>
      <c r="C1" s="33"/>
      <c r="D1" s="33"/>
      <c r="E1" s="33"/>
      <c r="F1" s="33"/>
      <c r="G1" s="33"/>
      <c r="H1" s="33"/>
      <c r="I1" s="33"/>
      <c r="J1" s="33"/>
      <c r="K1" s="33"/>
      <c r="L1" s="33"/>
    </row>
    <row r="2" spans="1:12" x14ac:dyDescent="0.2">
      <c r="A2" s="1"/>
      <c r="B2" s="1"/>
      <c r="C2" s="1"/>
      <c r="D2" s="1"/>
      <c r="E2" s="1"/>
      <c r="F2" s="1"/>
      <c r="G2" s="1"/>
      <c r="H2" s="1"/>
      <c r="I2" s="1"/>
      <c r="J2" s="1"/>
      <c r="K2" s="1"/>
      <c r="L2" s="1"/>
    </row>
    <row r="3" spans="1:12" ht="20" customHeight="1" x14ac:dyDescent="0.2">
      <c r="A3" s="34" t="s">
        <v>229</v>
      </c>
      <c r="B3" s="33"/>
      <c r="C3" s="33"/>
      <c r="D3" s="33"/>
      <c r="E3" s="33"/>
      <c r="F3" s="33"/>
      <c r="G3" s="33"/>
      <c r="H3" s="33"/>
      <c r="I3" s="33"/>
      <c r="J3" s="33"/>
      <c r="K3" s="33"/>
      <c r="L3" s="33"/>
    </row>
    <row r="4" spans="1:12" x14ac:dyDescent="0.2">
      <c r="A4" s="1" t="s">
        <v>230</v>
      </c>
      <c r="B4" s="39" t="s">
        <v>231</v>
      </c>
      <c r="C4" s="33"/>
      <c r="D4" s="33"/>
      <c r="E4" s="33"/>
      <c r="F4" s="33"/>
      <c r="G4" s="33"/>
      <c r="H4" s="33"/>
      <c r="I4" s="33"/>
      <c r="J4" s="33"/>
      <c r="K4" s="33"/>
      <c r="L4" s="33"/>
    </row>
    <row r="5" spans="1:12" x14ac:dyDescent="0.2">
      <c r="A5" s="1"/>
      <c r="B5" s="33"/>
      <c r="C5" s="33"/>
      <c r="D5" s="33"/>
      <c r="E5" s="33"/>
      <c r="F5" s="33"/>
      <c r="G5" s="33"/>
      <c r="H5" s="33"/>
      <c r="I5" s="33"/>
      <c r="J5" s="33"/>
      <c r="K5" s="33"/>
      <c r="L5" s="33"/>
    </row>
    <row r="6" spans="1:12" x14ac:dyDescent="0.2">
      <c r="A6" s="1"/>
      <c r="B6" s="1"/>
      <c r="C6" s="1"/>
      <c r="D6" s="1"/>
      <c r="E6" s="1"/>
      <c r="F6" s="1"/>
      <c r="G6" s="1"/>
      <c r="H6" s="1"/>
      <c r="I6" s="1"/>
      <c r="J6" s="1"/>
      <c r="K6" s="1"/>
      <c r="L6" s="1"/>
    </row>
    <row r="7" spans="1:12" ht="34" customHeight="1" x14ac:dyDescent="0.2">
      <c r="A7" s="4" t="s">
        <v>7</v>
      </c>
      <c r="B7" s="4" t="s">
        <v>129</v>
      </c>
      <c r="C7" s="4" t="s">
        <v>8</v>
      </c>
      <c r="D7" s="4" t="s">
        <v>232</v>
      </c>
      <c r="E7" s="4" t="s">
        <v>132</v>
      </c>
      <c r="F7" s="4" t="s">
        <v>233</v>
      </c>
      <c r="G7" s="4" t="s">
        <v>134</v>
      </c>
      <c r="H7" s="4" t="s">
        <v>234</v>
      </c>
      <c r="I7" s="4" t="s">
        <v>235</v>
      </c>
      <c r="J7" s="4" t="s">
        <v>12</v>
      </c>
      <c r="K7" s="4" t="s">
        <v>236</v>
      </c>
      <c r="L7" s="4" t="s">
        <v>237</v>
      </c>
    </row>
    <row r="8" spans="1:12" ht="58" customHeight="1" x14ac:dyDescent="0.2">
      <c r="A8" s="1">
        <v>1</v>
      </c>
      <c r="B8" s="1" t="s">
        <v>141</v>
      </c>
      <c r="C8" s="1" t="s">
        <v>15</v>
      </c>
      <c r="D8" s="18">
        <f>'03_Cotizaciones_Actuales'!E7</f>
        <v>8555300</v>
      </c>
      <c r="E8" s="18">
        <f>'03_Cotizaciones_Actuales'!F7</f>
        <v>8350000</v>
      </c>
      <c r="F8" s="18">
        <f>'03_Cotizaciones_Actuales'!G7</f>
        <v>8945999</v>
      </c>
      <c r="G8" s="18">
        <f>'03_Cotizaciones_Actuales'!H7</f>
        <v>3</v>
      </c>
      <c r="H8" s="18">
        <f>ROUND(AVERAGE(D8:F8),0)</f>
        <v>8617100</v>
      </c>
      <c r="I8" s="18">
        <f>'03_Cotizaciones_Actuales'!J7</f>
        <v>8555300</v>
      </c>
      <c r="J8" s="18">
        <f>'04_Historicos_IPC'!G9</f>
        <v>9472616.8880000003</v>
      </c>
      <c r="K8" s="21">
        <f>H8/J8-1</f>
        <v>-9.0314735422666215E-2</v>
      </c>
      <c r="L8" s="3" t="s">
        <v>238</v>
      </c>
    </row>
    <row r="9" spans="1:12" ht="58" customHeight="1" x14ac:dyDescent="0.2">
      <c r="A9" s="1">
        <v>2</v>
      </c>
      <c r="B9" s="1" t="s">
        <v>143</v>
      </c>
      <c r="C9" s="1" t="s">
        <v>15</v>
      </c>
      <c r="D9" s="18">
        <f>'03_Cotizaciones_Actuales'!E8</f>
        <v>1132880</v>
      </c>
      <c r="E9" s="18">
        <f>'03_Cotizaciones_Actuales'!F8</f>
        <v>714000</v>
      </c>
      <c r="F9" s="18">
        <f>'03_Cotizaciones_Actuales'!G8</f>
        <v>1100750</v>
      </c>
      <c r="G9" s="18">
        <f>'03_Cotizaciones_Actuales'!H8</f>
        <v>3</v>
      </c>
      <c r="H9" s="18">
        <f>ROUND(AVERAGE(D9:F9),0)</f>
        <v>982543</v>
      </c>
      <c r="I9" s="18">
        <f>'03_Cotizaciones_Actuales'!J8</f>
        <v>1100750</v>
      </c>
      <c r="J9" s="18">
        <f>'04_Historicos_IPC'!G10</f>
        <v>200586.40000000002</v>
      </c>
      <c r="K9" s="1" t="s">
        <v>17</v>
      </c>
      <c r="L9" s="3" t="s">
        <v>239</v>
      </c>
    </row>
    <row r="10" spans="1:12" ht="58" customHeight="1" x14ac:dyDescent="0.2">
      <c r="A10" s="1">
        <v>3</v>
      </c>
      <c r="B10" s="1" t="s">
        <v>145</v>
      </c>
      <c r="C10" s="1" t="s">
        <v>15</v>
      </c>
      <c r="D10" s="18">
        <f>'03_Cotizaciones_Actuales'!E9</f>
        <v>2534700</v>
      </c>
      <c r="E10" s="18">
        <f>'03_Cotizaciones_Actuales'!F9</f>
        <v>2796500</v>
      </c>
      <c r="F10" s="18">
        <f>'03_Cotizaciones_Actuales'!G9</f>
        <v>3260600</v>
      </c>
      <c r="G10" s="18">
        <f>'03_Cotizaciones_Actuales'!H9</f>
        <v>3</v>
      </c>
      <c r="H10" s="18">
        <f>ROUND(AVERAGE(D10:F10),0)</f>
        <v>2863933</v>
      </c>
      <c r="I10" s="18">
        <f>'03_Cotizaciones_Actuales'!J9</f>
        <v>2796500</v>
      </c>
      <c r="J10" s="18">
        <f>'04_Historicos_IPC'!G11</f>
        <v>2324973.3640000001</v>
      </c>
      <c r="K10" s="22">
        <f>H10/J10-1</f>
        <v>0.23181325186140933</v>
      </c>
      <c r="L10" s="3" t="s">
        <v>240</v>
      </c>
    </row>
    <row r="11" spans="1:12" ht="58" customHeight="1" x14ac:dyDescent="0.2">
      <c r="A11" s="1">
        <v>4</v>
      </c>
      <c r="B11" s="1" t="s">
        <v>146</v>
      </c>
      <c r="C11" s="1" t="s">
        <v>20</v>
      </c>
      <c r="D11" s="18">
        <f>'03_Cotizaciones_Actuales'!E10</f>
        <v>164220</v>
      </c>
      <c r="E11" s="18">
        <f>'03_Cotizaciones_Actuales'!F10</f>
        <v>142800</v>
      </c>
      <c r="F11" s="18">
        <f>'03_Cotizaciones_Actuales'!G10</f>
        <v>130900</v>
      </c>
      <c r="G11" s="18">
        <f>'03_Cotizaciones_Actuales'!H10</f>
        <v>3</v>
      </c>
      <c r="H11" s="18">
        <f>ROUND(AVERAGE(D11:F11),0)</f>
        <v>145973</v>
      </c>
      <c r="I11" s="18">
        <f>'03_Cotizaciones_Actuales'!J10</f>
        <v>142800</v>
      </c>
      <c r="J11" s="18">
        <f>'04_Historicos_IPC'!G12</f>
        <v>105213.04500000001</v>
      </c>
      <c r="K11" s="22">
        <f>H11/J11-1</f>
        <v>0.38740400489311932</v>
      </c>
      <c r="L11" s="3" t="s">
        <v>241</v>
      </c>
    </row>
    <row r="12" spans="1:12" ht="58" customHeight="1" x14ac:dyDescent="0.2">
      <c r="A12" s="1">
        <v>5</v>
      </c>
      <c r="B12" s="1" t="s">
        <v>147</v>
      </c>
      <c r="C12" s="1" t="s">
        <v>22</v>
      </c>
      <c r="D12" s="18">
        <f>'03_Cotizaciones_Actuales'!E11</f>
        <v>86870000</v>
      </c>
      <c r="E12" s="18" t="str">
        <f>'03_Cotizaciones_Actuales'!F11</f>
        <v>N/A</v>
      </c>
      <c r="F12" s="18">
        <f>'03_Cotizaciones_Actuales'!G11</f>
        <v>113050000</v>
      </c>
      <c r="G12" s="18">
        <f>'03_Cotizaciones_Actuales'!H11</f>
        <v>2</v>
      </c>
      <c r="H12" s="18">
        <f>ROUND(AVERAGE(D12:F12),0)</f>
        <v>99960000</v>
      </c>
      <c r="I12" s="18">
        <f>'03_Cotizaciones_Actuales'!J11</f>
        <v>99960000</v>
      </c>
      <c r="J12" s="1" t="s">
        <v>23</v>
      </c>
      <c r="K12" s="1" t="s">
        <v>23</v>
      </c>
      <c r="L12" s="3" t="s">
        <v>242</v>
      </c>
    </row>
    <row r="13" spans="1:12" x14ac:dyDescent="0.2">
      <c r="A13" s="1"/>
      <c r="B13" s="1"/>
      <c r="C13" s="1"/>
      <c r="D13" s="1"/>
      <c r="E13" s="1"/>
      <c r="F13" s="1"/>
      <c r="G13" s="1"/>
      <c r="H13" s="1"/>
      <c r="I13" s="1"/>
      <c r="J13" s="1"/>
      <c r="K13" s="1"/>
      <c r="L13" s="1"/>
    </row>
    <row r="14" spans="1:12" ht="20" customHeight="1" x14ac:dyDescent="0.2">
      <c r="A14" s="34" t="s">
        <v>243</v>
      </c>
      <c r="B14" s="33"/>
      <c r="C14" s="33"/>
      <c r="D14" s="33"/>
      <c r="E14" s="33"/>
      <c r="F14" s="33"/>
      <c r="G14" s="33"/>
      <c r="H14" s="33"/>
      <c r="I14" s="33"/>
      <c r="J14" s="33"/>
      <c r="K14" s="33"/>
      <c r="L14" s="33"/>
    </row>
    <row r="15" spans="1:12" ht="34" customHeight="1" x14ac:dyDescent="0.2">
      <c r="A15" s="4" t="s">
        <v>7</v>
      </c>
      <c r="B15" s="4" t="s">
        <v>244</v>
      </c>
      <c r="C15" s="4" t="s">
        <v>10</v>
      </c>
      <c r="D15" s="36" t="s">
        <v>245</v>
      </c>
      <c r="E15" s="37"/>
      <c r="F15" s="37"/>
      <c r="G15" s="37"/>
      <c r="H15" s="37"/>
      <c r="I15" s="37"/>
      <c r="J15" s="37"/>
      <c r="K15" s="37"/>
      <c r="L15" s="37"/>
    </row>
    <row r="16" spans="1:12" x14ac:dyDescent="0.2">
      <c r="A16" s="1">
        <v>1</v>
      </c>
      <c r="B16" s="1">
        <v>365</v>
      </c>
      <c r="C16" s="18">
        <f>H8</f>
        <v>8617100</v>
      </c>
      <c r="D16" s="43">
        <f>B16*C16</f>
        <v>3145241500</v>
      </c>
      <c r="E16" s="33"/>
      <c r="F16" s="33"/>
      <c r="G16" s="33"/>
      <c r="H16" s="33"/>
      <c r="I16" s="33"/>
      <c r="J16" s="33"/>
      <c r="K16" s="33"/>
      <c r="L16" s="33"/>
    </row>
    <row r="17" spans="1:12" x14ac:dyDescent="0.2">
      <c r="A17" s="1">
        <v>2</v>
      </c>
      <c r="B17" s="1">
        <v>365</v>
      </c>
      <c r="C17" s="18">
        <f>H9</f>
        <v>982543</v>
      </c>
      <c r="D17" s="43">
        <f>B17*C17</f>
        <v>358628195</v>
      </c>
      <c r="E17" s="33"/>
      <c r="F17" s="33"/>
      <c r="G17" s="33"/>
      <c r="H17" s="33"/>
      <c r="I17" s="33"/>
      <c r="J17" s="33"/>
      <c r="K17" s="33"/>
      <c r="L17" s="33"/>
    </row>
    <row r="18" spans="1:12" x14ac:dyDescent="0.2">
      <c r="A18" s="1">
        <v>3</v>
      </c>
      <c r="B18" s="1">
        <v>365</v>
      </c>
      <c r="C18" s="18">
        <f>H10</f>
        <v>2863933</v>
      </c>
      <c r="D18" s="43">
        <f>B18*C18</f>
        <v>1045335545</v>
      </c>
      <c r="E18" s="33"/>
      <c r="F18" s="33"/>
      <c r="G18" s="33"/>
      <c r="H18" s="33"/>
      <c r="I18" s="33"/>
      <c r="J18" s="33"/>
      <c r="K18" s="33"/>
      <c r="L18" s="33"/>
    </row>
    <row r="19" spans="1:12" x14ac:dyDescent="0.2">
      <c r="A19" s="1">
        <v>4</v>
      </c>
      <c r="B19" s="1">
        <v>3000</v>
      </c>
      <c r="C19" s="18">
        <f>H11</f>
        <v>145973</v>
      </c>
      <c r="D19" s="43">
        <f>B19*C19</f>
        <v>437919000</v>
      </c>
      <c r="E19" s="33"/>
      <c r="F19" s="33"/>
      <c r="G19" s="33"/>
      <c r="H19" s="33"/>
      <c r="I19" s="33"/>
      <c r="J19" s="33"/>
      <c r="K19" s="33"/>
      <c r="L19" s="33"/>
    </row>
    <row r="20" spans="1:12" x14ac:dyDescent="0.2">
      <c r="A20" s="1">
        <v>5</v>
      </c>
      <c r="B20" s="1">
        <v>1</v>
      </c>
      <c r="C20" s="18">
        <f>H12</f>
        <v>99960000</v>
      </c>
      <c r="D20" s="43">
        <f>B20*C20</f>
        <v>99960000</v>
      </c>
      <c r="E20" s="33"/>
      <c r="F20" s="33"/>
      <c r="G20" s="33"/>
      <c r="H20" s="33"/>
      <c r="I20" s="33"/>
      <c r="J20" s="33"/>
      <c r="K20" s="33"/>
      <c r="L20" s="33"/>
    </row>
    <row r="21" spans="1:12" x14ac:dyDescent="0.2">
      <c r="A21" s="1"/>
      <c r="B21" s="1"/>
      <c r="C21" s="1"/>
      <c r="D21" s="1"/>
      <c r="E21" s="1"/>
      <c r="F21" s="1"/>
      <c r="G21" s="1"/>
      <c r="H21" s="1"/>
      <c r="I21" s="1"/>
      <c r="J21" s="1"/>
      <c r="K21" s="1"/>
      <c r="L21" s="1"/>
    </row>
    <row r="22" spans="1:12" x14ac:dyDescent="0.2">
      <c r="A22" s="23" t="s">
        <v>246</v>
      </c>
      <c r="B22" s="1"/>
      <c r="C22" s="1"/>
      <c r="D22" s="43">
        <f>SUM(D16:D20)</f>
        <v>5087084240</v>
      </c>
      <c r="E22" s="33"/>
      <c r="F22" s="33"/>
      <c r="G22" s="33"/>
      <c r="H22" s="33"/>
      <c r="I22" s="33"/>
      <c r="J22" s="33"/>
      <c r="K22" s="33"/>
      <c r="L22" s="33"/>
    </row>
    <row r="23" spans="1:12" x14ac:dyDescent="0.2">
      <c r="A23" s="23" t="s">
        <v>247</v>
      </c>
      <c r="B23" s="1"/>
      <c r="C23" s="1"/>
      <c r="D23" s="43">
        <f>SUM(D16:D19)</f>
        <v>4987124240</v>
      </c>
      <c r="E23" s="33"/>
      <c r="F23" s="33"/>
      <c r="G23" s="33"/>
      <c r="H23" s="33"/>
      <c r="I23" s="33"/>
      <c r="J23" s="33"/>
      <c r="K23" s="33"/>
      <c r="L23" s="33"/>
    </row>
  </sheetData>
  <mergeCells count="12">
    <mergeCell ref="D15:L15"/>
    <mergeCell ref="B4:L5"/>
    <mergeCell ref="D19:L19"/>
    <mergeCell ref="D23:L23"/>
    <mergeCell ref="A1:L1"/>
    <mergeCell ref="D22:L22"/>
    <mergeCell ref="A14:L14"/>
    <mergeCell ref="D18:L18"/>
    <mergeCell ref="D17:L17"/>
    <mergeCell ref="A3:L3"/>
    <mergeCell ref="D20:L20"/>
    <mergeCell ref="D16:L16"/>
  </mergeCells>
  <pageMargins left="0.25" right="0.25" top="0.5" bottom="0.5" header="0.5" footer="0.5"/>
  <pageSetup fitToHeight="0" orientation="portrait"/>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M37"/>
  <sheetViews>
    <sheetView showGridLines="0" workbookViewId="0">
      <pane ySplit="22" topLeftCell="A23" activePane="bottomLeft" state="frozen"/>
      <selection pane="bottomLeft" sqref="A1:L1"/>
    </sheetView>
  </sheetViews>
  <sheetFormatPr baseColWidth="10" defaultColWidth="8.83203125" defaultRowHeight="15" x14ac:dyDescent="0.2"/>
  <cols>
    <col min="1" max="1" width="26" customWidth="1"/>
    <col min="2" max="2" width="17" customWidth="1"/>
    <col min="3" max="3" width="16" customWidth="1"/>
    <col min="4" max="4" width="18" customWidth="1"/>
    <col min="5" max="5" width="19" customWidth="1"/>
    <col min="6" max="6" width="24" customWidth="1"/>
    <col min="7" max="7" width="22" customWidth="1"/>
    <col min="8" max="8" width="20" customWidth="1"/>
    <col min="9" max="9" width="17" customWidth="1"/>
    <col min="10" max="10" width="45" customWidth="1"/>
    <col min="11" max="11" width="12" customWidth="1"/>
    <col min="12" max="12" width="12" hidden="1" customWidth="1"/>
    <col min="13" max="13" width="13" hidden="1" customWidth="1"/>
  </cols>
  <sheetData>
    <row r="1" spans="1:13" ht="26" customHeight="1" x14ac:dyDescent="0.2">
      <c r="A1" s="38" t="s">
        <v>248</v>
      </c>
      <c r="B1" s="33"/>
      <c r="C1" s="33"/>
      <c r="D1" s="33"/>
      <c r="E1" s="33"/>
      <c r="F1" s="33"/>
      <c r="G1" s="33"/>
      <c r="H1" s="33"/>
      <c r="I1" s="33"/>
      <c r="J1" s="33"/>
      <c r="K1" s="33"/>
      <c r="L1" s="33"/>
      <c r="M1" s="1"/>
    </row>
    <row r="2" spans="1:13" x14ac:dyDescent="0.2">
      <c r="A2" s="1"/>
      <c r="B2" s="1"/>
      <c r="C2" s="1"/>
      <c r="D2" s="1"/>
      <c r="E2" s="1"/>
      <c r="F2" s="1"/>
      <c r="G2" s="1"/>
      <c r="H2" s="1"/>
      <c r="I2" s="1"/>
      <c r="J2" s="1"/>
      <c r="K2" s="1"/>
      <c r="L2" s="1"/>
      <c r="M2" s="1"/>
    </row>
    <row r="3" spans="1:13" ht="20" customHeight="1" x14ac:dyDescent="0.2">
      <c r="A3" s="34" t="s">
        <v>249</v>
      </c>
      <c r="B3" s="33"/>
      <c r="C3" s="33"/>
      <c r="D3" s="33"/>
      <c r="E3" s="33"/>
      <c r="F3" s="33"/>
      <c r="G3" s="33"/>
      <c r="H3" s="33"/>
      <c r="I3" s="33"/>
      <c r="J3" s="33"/>
      <c r="K3" s="33"/>
      <c r="L3" s="33"/>
      <c r="M3" s="1"/>
    </row>
    <row r="4" spans="1:13" x14ac:dyDescent="0.2">
      <c r="A4" s="1" t="s">
        <v>250</v>
      </c>
      <c r="B4" s="24">
        <v>700000000</v>
      </c>
      <c r="C4" s="1"/>
      <c r="D4" s="1"/>
      <c r="E4" s="1"/>
      <c r="F4" s="1"/>
      <c r="G4" s="1"/>
      <c r="H4" s="1"/>
      <c r="I4" s="1"/>
      <c r="J4" s="1"/>
      <c r="K4" s="1"/>
      <c r="L4" s="1"/>
      <c r="M4" s="1"/>
    </row>
    <row r="5" spans="1:13" x14ac:dyDescent="0.2">
      <c r="A5" s="1" t="s">
        <v>251</v>
      </c>
      <c r="B5" s="24">
        <v>4500000000</v>
      </c>
      <c r="C5" s="1"/>
      <c r="D5" s="1"/>
      <c r="E5" s="1"/>
      <c r="F5" s="1"/>
      <c r="G5" s="1"/>
      <c r="H5" s="1"/>
      <c r="I5" s="1"/>
      <c r="J5" s="1"/>
      <c r="K5" s="1"/>
      <c r="L5" s="1"/>
      <c r="M5" s="1"/>
    </row>
    <row r="6" spans="1:13" x14ac:dyDescent="0.2">
      <c r="A6" s="1" t="s">
        <v>252</v>
      </c>
      <c r="B6" s="18">
        <f>B5-B4</f>
        <v>3800000000</v>
      </c>
      <c r="C6" s="1"/>
      <c r="D6" s="1"/>
      <c r="E6" s="1"/>
      <c r="F6" s="1"/>
      <c r="G6" s="1"/>
      <c r="H6" s="1"/>
      <c r="I6" s="1"/>
      <c r="J6" s="1"/>
      <c r="K6" s="1"/>
      <c r="L6" s="1"/>
      <c r="M6" s="1"/>
    </row>
    <row r="7" spans="1:13" x14ac:dyDescent="0.2">
      <c r="A7" s="1"/>
      <c r="B7" s="1"/>
      <c r="C7" s="1"/>
      <c r="D7" s="1"/>
      <c r="E7" s="1"/>
      <c r="F7" s="1"/>
      <c r="G7" s="1"/>
      <c r="H7" s="1"/>
      <c r="I7" s="1"/>
      <c r="J7" s="1"/>
      <c r="K7" s="1"/>
      <c r="L7" s="1"/>
      <c r="M7" s="1"/>
    </row>
    <row r="8" spans="1:13" ht="20" customHeight="1" x14ac:dyDescent="0.2">
      <c r="A8" s="34" t="s">
        <v>253</v>
      </c>
      <c r="B8" s="33"/>
      <c r="C8" s="33"/>
      <c r="D8" s="33"/>
      <c r="E8" s="33"/>
      <c r="F8" s="33"/>
      <c r="G8" s="33"/>
      <c r="H8" s="33"/>
      <c r="I8" s="33"/>
      <c r="J8" s="33"/>
      <c r="K8" s="33"/>
      <c r="L8" s="33"/>
      <c r="M8" s="1"/>
    </row>
    <row r="9" spans="1:13" x14ac:dyDescent="0.2">
      <c r="A9" s="1" t="s">
        <v>254</v>
      </c>
      <c r="B9" s="18">
        <f>'07_Precio_Referencia'!D23</f>
        <v>4987124240</v>
      </c>
      <c r="C9" s="1"/>
      <c r="D9" s="1"/>
      <c r="E9" s="1"/>
      <c r="F9" s="1"/>
      <c r="G9" s="1"/>
      <c r="H9" s="1"/>
      <c r="I9" s="1"/>
      <c r="J9" s="1"/>
      <c r="K9" s="1"/>
      <c r="L9" s="1"/>
      <c r="M9" s="1"/>
    </row>
    <row r="10" spans="1:13" x14ac:dyDescent="0.2">
      <c r="A10" s="1" t="s">
        <v>255</v>
      </c>
      <c r="B10" s="18">
        <f>'07_Precio_Referencia'!D22</f>
        <v>5087084240</v>
      </c>
      <c r="C10" s="1"/>
      <c r="D10" s="1"/>
      <c r="E10" s="1"/>
      <c r="F10" s="1"/>
      <c r="G10" s="1"/>
      <c r="H10" s="1"/>
      <c r="I10" s="1"/>
      <c r="J10" s="1"/>
      <c r="K10" s="1"/>
      <c r="L10" s="1"/>
      <c r="M10" s="1"/>
    </row>
    <row r="11" spans="1:13" x14ac:dyDescent="0.2">
      <c r="A11" s="1"/>
      <c r="B11" s="1"/>
      <c r="C11" s="1"/>
      <c r="D11" s="1"/>
      <c r="E11" s="1"/>
      <c r="F11" s="1"/>
      <c r="G11" s="1"/>
      <c r="H11" s="1"/>
      <c r="I11" s="1"/>
      <c r="J11" s="1"/>
      <c r="K11" s="1"/>
      <c r="L11" s="1"/>
      <c r="M11" s="1"/>
    </row>
    <row r="12" spans="1:13" x14ac:dyDescent="0.2">
      <c r="A12" s="1" t="s">
        <v>256</v>
      </c>
      <c r="B12" s="18">
        <f>MAX(B9-B5,0)</f>
        <v>487124240</v>
      </c>
      <c r="C12" s="1"/>
      <c r="D12" s="1"/>
      <c r="E12" s="1"/>
      <c r="F12" s="1"/>
      <c r="G12" s="1"/>
      <c r="H12" s="1"/>
      <c r="I12" s="1"/>
      <c r="J12" s="1"/>
      <c r="K12" s="1"/>
      <c r="L12" s="1"/>
      <c r="M12" s="1"/>
    </row>
    <row r="13" spans="1:13" x14ac:dyDescent="0.2">
      <c r="A13" s="1" t="s">
        <v>257</v>
      </c>
      <c r="B13" s="18">
        <f>MAX(B10-B5,0)</f>
        <v>587084240</v>
      </c>
      <c r="C13" s="1"/>
      <c r="D13" s="1"/>
      <c r="E13" s="1"/>
      <c r="F13" s="1"/>
      <c r="G13" s="1"/>
      <c r="H13" s="1"/>
      <c r="I13" s="1"/>
      <c r="J13" s="1"/>
      <c r="K13" s="1"/>
      <c r="L13" s="1"/>
      <c r="M13" s="1"/>
    </row>
    <row r="14" spans="1:13" x14ac:dyDescent="0.2">
      <c r="A14" s="1"/>
      <c r="B14" s="1"/>
      <c r="C14" s="1"/>
      <c r="D14" s="1"/>
      <c r="E14" s="1"/>
      <c r="F14" s="1"/>
      <c r="G14" s="1"/>
      <c r="H14" s="1"/>
      <c r="I14" s="1"/>
      <c r="J14" s="1"/>
      <c r="K14" s="1"/>
      <c r="L14" s="1"/>
      <c r="M14" s="1"/>
    </row>
    <row r="15" spans="1:13" x14ac:dyDescent="0.2">
      <c r="A15" s="1" t="s">
        <v>258</v>
      </c>
      <c r="B15" s="11">
        <f>B5/B9</f>
        <v>0.90232362047591574</v>
      </c>
      <c r="C15" s="1"/>
      <c r="D15" s="1"/>
      <c r="E15" s="1"/>
      <c r="F15" s="1"/>
      <c r="G15" s="1"/>
      <c r="H15" s="1"/>
      <c r="I15" s="1"/>
      <c r="J15" s="1"/>
      <c r="K15" s="1"/>
      <c r="L15" s="1"/>
      <c r="M15" s="1"/>
    </row>
    <row r="16" spans="1:13" x14ac:dyDescent="0.2">
      <c r="A16" s="1" t="s">
        <v>259</v>
      </c>
      <c r="B16" s="11">
        <f>B5/B10</f>
        <v>0.88459317512697611</v>
      </c>
      <c r="C16" s="1"/>
      <c r="D16" s="1"/>
      <c r="E16" s="1"/>
      <c r="F16" s="1"/>
      <c r="G16" s="1"/>
      <c r="H16" s="1"/>
      <c r="I16" s="1"/>
      <c r="J16" s="1"/>
      <c r="K16" s="1"/>
      <c r="L16" s="1"/>
      <c r="M16" s="1"/>
    </row>
    <row r="17" spans="1:13" x14ac:dyDescent="0.2">
      <c r="A17" s="1" t="s">
        <v>260</v>
      </c>
      <c r="B17" s="19">
        <f>SUM('07_Precio_Referencia'!D16:D18)</f>
        <v>4549205240</v>
      </c>
      <c r="C17" s="41" t="s">
        <v>261</v>
      </c>
      <c r="D17" s="33"/>
      <c r="E17" s="33"/>
      <c r="F17" s="33"/>
      <c r="G17" s="33"/>
      <c r="H17" s="33"/>
      <c r="I17" s="33"/>
      <c r="J17" s="33"/>
      <c r="K17" s="33"/>
      <c r="L17" s="33"/>
      <c r="M17" s="1"/>
    </row>
    <row r="18" spans="1:13" ht="20" customHeight="1" x14ac:dyDescent="0.2">
      <c r="A18" s="34" t="s">
        <v>262</v>
      </c>
      <c r="B18" s="33"/>
      <c r="C18" s="33"/>
      <c r="D18" s="33"/>
      <c r="E18" s="33"/>
      <c r="F18" s="33"/>
      <c r="G18" s="33"/>
      <c r="H18" s="33"/>
      <c r="I18" s="33"/>
      <c r="J18" s="33"/>
      <c r="K18" s="33"/>
      <c r="L18" s="33"/>
      <c r="M18" s="1"/>
    </row>
    <row r="19" spans="1:13" x14ac:dyDescent="0.2">
      <c r="A19" s="1" t="s">
        <v>263</v>
      </c>
      <c r="B19" s="41" t="s">
        <v>264</v>
      </c>
      <c r="C19" s="33"/>
      <c r="D19" s="33"/>
      <c r="E19" s="33"/>
      <c r="F19" s="33"/>
      <c r="G19" s="33"/>
      <c r="H19" s="33"/>
      <c r="I19" s="33"/>
      <c r="J19" s="33"/>
      <c r="K19" s="33"/>
      <c r="L19" s="33"/>
      <c r="M19" s="1"/>
    </row>
    <row r="20" spans="1:13" x14ac:dyDescent="0.2">
      <c r="A20" s="1"/>
      <c r="B20" s="33"/>
      <c r="C20" s="33"/>
      <c r="D20" s="33"/>
      <c r="E20" s="33"/>
      <c r="F20" s="33"/>
      <c r="G20" s="33"/>
      <c r="H20" s="33"/>
      <c r="I20" s="33"/>
      <c r="J20" s="33"/>
      <c r="K20" s="33"/>
      <c r="L20" s="33"/>
      <c r="M20" s="1"/>
    </row>
    <row r="21" spans="1:13" x14ac:dyDescent="0.2">
      <c r="A21" s="1"/>
      <c r="B21" s="33"/>
      <c r="C21" s="33"/>
      <c r="D21" s="33"/>
      <c r="E21" s="33"/>
      <c r="F21" s="33"/>
      <c r="G21" s="33"/>
      <c r="H21" s="33"/>
      <c r="I21" s="33"/>
      <c r="J21" s="33"/>
      <c r="K21" s="33"/>
      <c r="L21" s="33"/>
      <c r="M21" s="1"/>
    </row>
    <row r="22" spans="1:13" x14ac:dyDescent="0.2">
      <c r="A22" s="1"/>
      <c r="B22" s="1"/>
      <c r="C22" s="1"/>
      <c r="D22" s="1"/>
      <c r="E22" s="1"/>
      <c r="F22" s="1"/>
      <c r="G22" s="1"/>
      <c r="H22" s="1"/>
      <c r="I22" s="1"/>
      <c r="J22" s="1"/>
      <c r="K22" s="1"/>
      <c r="L22" s="1" t="s">
        <v>265</v>
      </c>
      <c r="M22" s="17">
        <f>MIN($B$5/$B$9,1)</f>
        <v>0.90232362047591574</v>
      </c>
    </row>
    <row r="23" spans="1:13" ht="34" customHeight="1" x14ac:dyDescent="0.2">
      <c r="A23" s="4" t="s">
        <v>7</v>
      </c>
      <c r="B23" s="4" t="s">
        <v>8</v>
      </c>
      <c r="C23" s="4" t="s">
        <v>244</v>
      </c>
      <c r="D23" s="4" t="s">
        <v>266</v>
      </c>
      <c r="E23" s="4" t="s">
        <v>267</v>
      </c>
      <c r="F23" s="4" t="s">
        <v>268</v>
      </c>
      <c r="G23" s="4" t="s">
        <v>269</v>
      </c>
      <c r="H23" s="4" t="s">
        <v>270</v>
      </c>
      <c r="I23" s="4" t="s">
        <v>271</v>
      </c>
      <c r="J23" s="36" t="s">
        <v>140</v>
      </c>
      <c r="K23" s="37"/>
      <c r="L23" s="37"/>
      <c r="M23" s="1"/>
    </row>
    <row r="24" spans="1:13" x14ac:dyDescent="0.2">
      <c r="A24" s="1">
        <v>1</v>
      </c>
      <c r="B24" s="1" t="s">
        <v>15</v>
      </c>
      <c r="C24" s="1">
        <v>365</v>
      </c>
      <c r="D24" s="18">
        <f>'07_Precio_Referencia'!H8</f>
        <v>8617100</v>
      </c>
      <c r="E24" s="18">
        <f>C24*D24</f>
        <v>3145241500</v>
      </c>
      <c r="F24" s="25">
        <f>C24*$M$22</f>
        <v>329.34812147370923</v>
      </c>
      <c r="G24" s="17">
        <f>ROUNDDOWN(F24,0)</f>
        <v>329</v>
      </c>
      <c r="H24" s="18">
        <f>G24*D24</f>
        <v>2835025900</v>
      </c>
      <c r="I24" s="17">
        <f>C24-G24</f>
        <v>36</v>
      </c>
      <c r="J24" s="42" t="s">
        <v>272</v>
      </c>
      <c r="K24" s="33"/>
      <c r="L24" s="33"/>
      <c r="M24" s="1"/>
    </row>
    <row r="25" spans="1:13" x14ac:dyDescent="0.2">
      <c r="A25" s="1">
        <v>2</v>
      </c>
      <c r="B25" s="1" t="s">
        <v>15</v>
      </c>
      <c r="C25" s="1">
        <v>365</v>
      </c>
      <c r="D25" s="18">
        <f>'07_Precio_Referencia'!H9</f>
        <v>982543</v>
      </c>
      <c r="E25" s="18">
        <f>C25*D25</f>
        <v>358628195</v>
      </c>
      <c r="F25" s="25">
        <f>C25*$M$22</f>
        <v>329.34812147370923</v>
      </c>
      <c r="G25" s="17">
        <f>ROUNDDOWN(F25,0)</f>
        <v>329</v>
      </c>
      <c r="H25" s="18">
        <f>G25*D25</f>
        <v>323256647</v>
      </c>
      <c r="I25" s="17">
        <f>C25-G25</f>
        <v>36</v>
      </c>
      <c r="J25" s="42" t="s">
        <v>272</v>
      </c>
      <c r="K25" s="33"/>
      <c r="L25" s="33"/>
      <c r="M25" s="1"/>
    </row>
    <row r="26" spans="1:13" x14ac:dyDescent="0.2">
      <c r="A26" s="1">
        <v>3</v>
      </c>
      <c r="B26" s="1" t="s">
        <v>15</v>
      </c>
      <c r="C26" s="1">
        <v>365</v>
      </c>
      <c r="D26" s="18">
        <f>'07_Precio_Referencia'!H10</f>
        <v>2863933</v>
      </c>
      <c r="E26" s="18">
        <f>C26*D26</f>
        <v>1045335545</v>
      </c>
      <c r="F26" s="25">
        <f>C26*$M$22</f>
        <v>329.34812147370923</v>
      </c>
      <c r="G26" s="17">
        <f>ROUNDDOWN(F26,0)</f>
        <v>329</v>
      </c>
      <c r="H26" s="18">
        <f>G26*D26</f>
        <v>942233957</v>
      </c>
      <c r="I26" s="17">
        <f>C26-G26</f>
        <v>36</v>
      </c>
      <c r="J26" s="42" t="s">
        <v>272</v>
      </c>
      <c r="K26" s="33"/>
      <c r="L26" s="33"/>
      <c r="M26" s="1"/>
    </row>
    <row r="27" spans="1:13" x14ac:dyDescent="0.2">
      <c r="A27" s="1">
        <v>4</v>
      </c>
      <c r="B27" s="1" t="s">
        <v>20</v>
      </c>
      <c r="C27" s="1">
        <v>3000</v>
      </c>
      <c r="D27" s="18">
        <f>'07_Precio_Referencia'!H11</f>
        <v>145973</v>
      </c>
      <c r="E27" s="18">
        <f>C27*D27</f>
        <v>437919000</v>
      </c>
      <c r="F27" s="25">
        <f>C27*$M$22</f>
        <v>2706.9708614277474</v>
      </c>
      <c r="G27" s="17">
        <f>ROUNDDOWN(F27,0)</f>
        <v>2706</v>
      </c>
      <c r="H27" s="18">
        <f>G27*D27</f>
        <v>395002938</v>
      </c>
      <c r="I27" s="17">
        <f>C27-G27</f>
        <v>294</v>
      </c>
      <c r="J27" s="42" t="s">
        <v>272</v>
      </c>
      <c r="K27" s="33"/>
      <c r="L27" s="33"/>
      <c r="M27" s="1"/>
    </row>
    <row r="28" spans="1:13" x14ac:dyDescent="0.2">
      <c r="A28" s="1"/>
      <c r="B28" s="1"/>
      <c r="C28" s="1"/>
      <c r="D28" s="1"/>
      <c r="E28" s="1"/>
      <c r="F28" s="1"/>
      <c r="G28" s="1"/>
      <c r="H28" s="1"/>
      <c r="I28" s="1"/>
      <c r="J28" s="1"/>
      <c r="K28" s="1"/>
      <c r="L28" s="1"/>
      <c r="M28" s="1"/>
    </row>
    <row r="29" spans="1:13" x14ac:dyDescent="0.2">
      <c r="A29" s="1" t="s">
        <v>273</v>
      </c>
      <c r="B29" s="1"/>
      <c r="C29" s="1"/>
      <c r="D29" s="1"/>
      <c r="E29" s="1"/>
      <c r="F29" s="1"/>
      <c r="G29" s="1"/>
      <c r="H29" s="18">
        <f>SUM(H24:H27)</f>
        <v>4495519442</v>
      </c>
      <c r="I29" s="1"/>
      <c r="J29" s="1"/>
      <c r="K29" s="1"/>
      <c r="L29" s="1"/>
      <c r="M29" s="1"/>
    </row>
    <row r="30" spans="1:13" x14ac:dyDescent="0.2">
      <c r="A30" s="1" t="s">
        <v>274</v>
      </c>
      <c r="B30" s="1"/>
      <c r="C30" s="1"/>
      <c r="D30" s="1"/>
      <c r="E30" s="1"/>
      <c r="F30" s="1"/>
      <c r="G30" s="1"/>
      <c r="H30" s="18">
        <f>B5-H29</f>
        <v>4480558</v>
      </c>
      <c r="I30" s="1"/>
      <c r="J30" s="1"/>
      <c r="K30" s="1"/>
      <c r="L30" s="1"/>
      <c r="M30" s="1"/>
    </row>
    <row r="31" spans="1:13" x14ac:dyDescent="0.2">
      <c r="A31" s="1"/>
      <c r="B31" s="1"/>
      <c r="C31" s="1"/>
      <c r="D31" s="1"/>
      <c r="E31" s="1"/>
      <c r="F31" s="1"/>
      <c r="G31" s="1"/>
      <c r="H31" s="1"/>
      <c r="I31" s="1"/>
      <c r="J31" s="1"/>
      <c r="K31" s="1"/>
      <c r="L31" s="1"/>
      <c r="M31" s="1"/>
    </row>
    <row r="32" spans="1:13" ht="20" customHeight="1" x14ac:dyDescent="0.2">
      <c r="A32" s="34" t="s">
        <v>275</v>
      </c>
      <c r="B32" s="33"/>
      <c r="C32" s="33"/>
      <c r="D32" s="33"/>
      <c r="E32" s="33"/>
      <c r="F32" s="33"/>
      <c r="G32" s="33"/>
      <c r="H32" s="33"/>
      <c r="I32" s="33"/>
      <c r="J32" s="33"/>
      <c r="K32" s="33"/>
      <c r="L32" s="33"/>
      <c r="M32" s="1"/>
    </row>
    <row r="33" spans="1:13" x14ac:dyDescent="0.2">
      <c r="A33" s="39" t="s">
        <v>276</v>
      </c>
      <c r="B33" s="33"/>
      <c r="C33" s="33"/>
      <c r="D33" s="33"/>
      <c r="E33" s="33"/>
      <c r="F33" s="33"/>
      <c r="G33" s="33"/>
      <c r="H33" s="33"/>
      <c r="I33" s="33"/>
      <c r="J33" s="33"/>
      <c r="K33" s="33"/>
      <c r="L33" s="33"/>
      <c r="M33" s="1"/>
    </row>
    <row r="34" spans="1:13" x14ac:dyDescent="0.2">
      <c r="A34" s="33"/>
      <c r="B34" s="33"/>
      <c r="C34" s="33"/>
      <c r="D34" s="33"/>
      <c r="E34" s="33"/>
      <c r="F34" s="33"/>
      <c r="G34" s="33"/>
      <c r="H34" s="33"/>
      <c r="I34" s="33"/>
      <c r="J34" s="33"/>
      <c r="K34" s="33"/>
      <c r="L34" s="33"/>
      <c r="M34" s="1"/>
    </row>
    <row r="35" spans="1:13" x14ac:dyDescent="0.2">
      <c r="A35" s="33"/>
      <c r="B35" s="33"/>
      <c r="C35" s="33"/>
      <c r="D35" s="33"/>
      <c r="E35" s="33"/>
      <c r="F35" s="33"/>
      <c r="G35" s="33"/>
      <c r="H35" s="33"/>
      <c r="I35" s="33"/>
      <c r="J35" s="33"/>
      <c r="K35" s="33"/>
      <c r="L35" s="33"/>
      <c r="M35" s="1"/>
    </row>
    <row r="36" spans="1:13" x14ac:dyDescent="0.2">
      <c r="A36" s="33"/>
      <c r="B36" s="33"/>
      <c r="C36" s="33"/>
      <c r="D36" s="33"/>
      <c r="E36" s="33"/>
      <c r="F36" s="33"/>
      <c r="G36" s="33"/>
      <c r="H36" s="33"/>
      <c r="I36" s="33"/>
      <c r="J36" s="33"/>
      <c r="K36" s="33"/>
      <c r="L36" s="33"/>
      <c r="M36" s="1"/>
    </row>
    <row r="37" spans="1:13" x14ac:dyDescent="0.2">
      <c r="A37" s="33"/>
      <c r="B37" s="33"/>
      <c r="C37" s="33"/>
      <c r="D37" s="33"/>
      <c r="E37" s="33"/>
      <c r="F37" s="33"/>
      <c r="G37" s="33"/>
      <c r="H37" s="33"/>
      <c r="I37" s="33"/>
      <c r="J37" s="33"/>
      <c r="K37" s="33"/>
      <c r="L37" s="33"/>
      <c r="M37" s="1"/>
    </row>
  </sheetData>
  <mergeCells count="13">
    <mergeCell ref="J25:L25"/>
    <mergeCell ref="J24:L24"/>
    <mergeCell ref="A33:L37"/>
    <mergeCell ref="A1:L1"/>
    <mergeCell ref="J27:L27"/>
    <mergeCell ref="A32:L32"/>
    <mergeCell ref="J23:L23"/>
    <mergeCell ref="A8:L8"/>
    <mergeCell ref="C17:L17"/>
    <mergeCell ref="B19:L21"/>
    <mergeCell ref="A18:L18"/>
    <mergeCell ref="J26:L26"/>
    <mergeCell ref="A3:L3"/>
  </mergeCells>
  <pageMargins left="0.25" right="0.25" top="0.5" bottom="0.5" header="0.5" footer="0.5"/>
  <pageSetup fitToHeight="0" orientation="portrait"/>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J21"/>
  <sheetViews>
    <sheetView showGridLines="0" workbookViewId="0">
      <pane ySplit="2" topLeftCell="A3" activePane="bottomLeft" state="frozen"/>
      <selection pane="bottomLeft" activeCell="A7" sqref="A7:J9"/>
    </sheetView>
  </sheetViews>
  <sheetFormatPr baseColWidth="10" defaultColWidth="8.83203125" defaultRowHeight="15" x14ac:dyDescent="0.2"/>
  <cols>
    <col min="1" max="10" width="18" customWidth="1"/>
  </cols>
  <sheetData>
    <row r="1" spans="1:10" ht="26" customHeight="1" x14ac:dyDescent="0.2">
      <c r="A1" s="50" t="s">
        <v>354</v>
      </c>
      <c r="B1" s="54"/>
      <c r="C1" s="54"/>
      <c r="D1" s="54"/>
      <c r="E1" s="54"/>
      <c r="F1" s="54"/>
      <c r="G1" s="54"/>
      <c r="H1" s="54"/>
      <c r="I1" s="54"/>
      <c r="J1" s="54"/>
    </row>
    <row r="2" spans="1:10" x14ac:dyDescent="0.2">
      <c r="A2" s="1"/>
      <c r="B2" s="1"/>
      <c r="C2" s="1"/>
      <c r="D2" s="1"/>
      <c r="E2" s="1"/>
      <c r="F2" s="1"/>
      <c r="G2" s="1"/>
      <c r="H2" s="1"/>
      <c r="I2" s="1"/>
      <c r="J2" s="1"/>
    </row>
    <row r="3" spans="1:10" ht="20" customHeight="1" x14ac:dyDescent="0.2">
      <c r="A3" s="34" t="s">
        <v>277</v>
      </c>
      <c r="B3" s="33"/>
      <c r="C3" s="33"/>
      <c r="D3" s="33"/>
      <c r="E3" s="33"/>
      <c r="F3" s="33"/>
      <c r="G3" s="33"/>
      <c r="H3" s="33"/>
      <c r="I3" s="33"/>
      <c r="J3" s="33"/>
    </row>
    <row r="4" spans="1:10" ht="44" customHeight="1" x14ac:dyDescent="0.2">
      <c r="A4" s="44" t="s">
        <v>278</v>
      </c>
      <c r="B4" s="33"/>
      <c r="C4" s="33"/>
      <c r="D4" s="33"/>
      <c r="E4" s="33"/>
      <c r="F4" s="33"/>
      <c r="G4" s="33"/>
      <c r="H4" s="33"/>
      <c r="I4" s="33"/>
      <c r="J4" s="33"/>
    </row>
    <row r="5" spans="1:10" x14ac:dyDescent="0.2">
      <c r="A5" s="33"/>
      <c r="B5" s="33"/>
      <c r="C5" s="33"/>
      <c r="D5" s="33"/>
      <c r="E5" s="33"/>
      <c r="F5" s="33"/>
      <c r="G5" s="33"/>
      <c r="H5" s="33"/>
      <c r="I5" s="33"/>
      <c r="J5" s="33"/>
    </row>
    <row r="6" spans="1:10" x14ac:dyDescent="0.2">
      <c r="A6" s="33"/>
      <c r="B6" s="33"/>
      <c r="C6" s="33"/>
      <c r="D6" s="33"/>
      <c r="E6" s="33"/>
      <c r="F6" s="33"/>
      <c r="G6" s="33"/>
      <c r="H6" s="33"/>
      <c r="I6" s="33"/>
      <c r="J6" s="33"/>
    </row>
    <row r="7" spans="1:10" ht="44" customHeight="1" x14ac:dyDescent="0.2">
      <c r="A7" s="44" t="s">
        <v>279</v>
      </c>
      <c r="B7" s="33"/>
      <c r="C7" s="33"/>
      <c r="D7" s="33"/>
      <c r="E7" s="33"/>
      <c r="F7" s="33"/>
      <c r="G7" s="33"/>
      <c r="H7" s="33"/>
      <c r="I7" s="33"/>
      <c r="J7" s="33"/>
    </row>
    <row r="8" spans="1:10" x14ac:dyDescent="0.2">
      <c r="A8" s="33"/>
      <c r="B8" s="33"/>
      <c r="C8" s="33"/>
      <c r="D8" s="33"/>
      <c r="E8" s="33"/>
      <c r="F8" s="33"/>
      <c r="G8" s="33"/>
      <c r="H8" s="33"/>
      <c r="I8" s="33"/>
      <c r="J8" s="33"/>
    </row>
    <row r="9" spans="1:10" x14ac:dyDescent="0.2">
      <c r="A9" s="33"/>
      <c r="B9" s="33"/>
      <c r="C9" s="33"/>
      <c r="D9" s="33"/>
      <c r="E9" s="33"/>
      <c r="F9" s="33"/>
      <c r="G9" s="33"/>
      <c r="H9" s="33"/>
      <c r="I9" s="33"/>
      <c r="J9" s="33"/>
    </row>
    <row r="10" spans="1:10" ht="44" customHeight="1" x14ac:dyDescent="0.2">
      <c r="A10" s="44" t="s">
        <v>280</v>
      </c>
      <c r="B10" s="33"/>
      <c r="C10" s="33"/>
      <c r="D10" s="33"/>
      <c r="E10" s="33"/>
      <c r="F10" s="33"/>
      <c r="G10" s="33"/>
      <c r="H10" s="33"/>
      <c r="I10" s="33"/>
      <c r="J10" s="33"/>
    </row>
    <row r="11" spans="1:10" x14ac:dyDescent="0.2">
      <c r="A11" s="33"/>
      <c r="B11" s="33"/>
      <c r="C11" s="33"/>
      <c r="D11" s="33"/>
      <c r="E11" s="33"/>
      <c r="F11" s="33"/>
      <c r="G11" s="33"/>
      <c r="H11" s="33"/>
      <c r="I11" s="33"/>
      <c r="J11" s="33"/>
    </row>
    <row r="12" spans="1:10" x14ac:dyDescent="0.2">
      <c r="A12" s="33"/>
      <c r="B12" s="33"/>
      <c r="C12" s="33"/>
      <c r="D12" s="33"/>
      <c r="E12" s="33"/>
      <c r="F12" s="33"/>
      <c r="G12" s="33"/>
      <c r="H12" s="33"/>
      <c r="I12" s="33"/>
      <c r="J12" s="33"/>
    </row>
    <row r="13" spans="1:10" ht="44" customHeight="1" x14ac:dyDescent="0.2">
      <c r="A13" s="44" t="s">
        <v>281</v>
      </c>
      <c r="B13" s="33"/>
      <c r="C13" s="33"/>
      <c r="D13" s="33"/>
      <c r="E13" s="33"/>
      <c r="F13" s="33"/>
      <c r="G13" s="33"/>
      <c r="H13" s="33"/>
      <c r="I13" s="33"/>
      <c r="J13" s="33"/>
    </row>
    <row r="14" spans="1:10" x14ac:dyDescent="0.2">
      <c r="A14" s="33"/>
      <c r="B14" s="33"/>
      <c r="C14" s="33"/>
      <c r="D14" s="33"/>
      <c r="E14" s="33"/>
      <c r="F14" s="33"/>
      <c r="G14" s="33"/>
      <c r="H14" s="33"/>
      <c r="I14" s="33"/>
      <c r="J14" s="33"/>
    </row>
    <row r="15" spans="1:10" ht="44" customHeight="1" x14ac:dyDescent="0.2">
      <c r="A15" s="44" t="s">
        <v>282</v>
      </c>
      <c r="B15" s="33"/>
      <c r="C15" s="33"/>
      <c r="D15" s="33"/>
      <c r="E15" s="33"/>
      <c r="F15" s="33"/>
      <c r="G15" s="33"/>
      <c r="H15" s="33"/>
      <c r="I15" s="33"/>
      <c r="J15" s="33"/>
    </row>
    <row r="16" spans="1:10" x14ac:dyDescent="0.2">
      <c r="A16" s="33"/>
      <c r="B16" s="33"/>
      <c r="C16" s="33"/>
      <c r="D16" s="33"/>
      <c r="E16" s="33"/>
      <c r="F16" s="33"/>
      <c r="G16" s="33"/>
      <c r="H16" s="33"/>
      <c r="I16" s="33"/>
      <c r="J16" s="33"/>
    </row>
    <row r="17" spans="1:10" x14ac:dyDescent="0.2">
      <c r="A17" s="33"/>
      <c r="B17" s="33"/>
      <c r="C17" s="33"/>
      <c r="D17" s="33"/>
      <c r="E17" s="33"/>
      <c r="F17" s="33"/>
      <c r="G17" s="33"/>
      <c r="H17" s="33"/>
      <c r="I17" s="33"/>
      <c r="J17" s="33"/>
    </row>
    <row r="18" spans="1:10" ht="44" customHeight="1" x14ac:dyDescent="0.2">
      <c r="A18" s="44" t="s">
        <v>283</v>
      </c>
      <c r="B18" s="33"/>
      <c r="C18" s="33"/>
      <c r="D18" s="33"/>
      <c r="E18" s="33"/>
      <c r="F18" s="33"/>
      <c r="G18" s="33"/>
      <c r="H18" s="33"/>
      <c r="I18" s="33"/>
      <c r="J18" s="33"/>
    </row>
    <row r="19" spans="1:10" ht="44" customHeight="1" x14ac:dyDescent="0.2">
      <c r="A19" s="44" t="s">
        <v>284</v>
      </c>
      <c r="B19" s="33"/>
      <c r="C19" s="33"/>
      <c r="D19" s="33"/>
      <c r="E19" s="33"/>
      <c r="F19" s="33"/>
      <c r="G19" s="33"/>
      <c r="H19" s="33"/>
      <c r="I19" s="33"/>
      <c r="J19" s="33"/>
    </row>
    <row r="20" spans="1:10" x14ac:dyDescent="0.2">
      <c r="A20" s="33"/>
      <c r="B20" s="33"/>
      <c r="C20" s="33"/>
      <c r="D20" s="33"/>
      <c r="E20" s="33"/>
      <c r="F20" s="33"/>
      <c r="G20" s="33"/>
      <c r="H20" s="33"/>
      <c r="I20" s="33"/>
      <c r="J20" s="33"/>
    </row>
    <row r="21" spans="1:10" x14ac:dyDescent="0.2">
      <c r="A21" s="33"/>
      <c r="B21" s="33"/>
      <c r="C21" s="33"/>
      <c r="D21" s="33"/>
      <c r="E21" s="33"/>
      <c r="F21" s="33"/>
      <c r="G21" s="33"/>
      <c r="H21" s="33"/>
      <c r="I21" s="33"/>
      <c r="J21" s="33"/>
    </row>
  </sheetData>
  <mergeCells count="9">
    <mergeCell ref="A19:J21"/>
    <mergeCell ref="A1:J1"/>
    <mergeCell ref="A13:J14"/>
    <mergeCell ref="A4:J6"/>
    <mergeCell ref="A3:J3"/>
    <mergeCell ref="A15:J17"/>
    <mergeCell ref="A7:J9"/>
    <mergeCell ref="A10:J12"/>
    <mergeCell ref="A18:J18"/>
  </mergeCells>
  <pageMargins left="0.25" right="0.25" top="0.5" bottom="0.5" header="0.5" footer="0.5"/>
  <pageSetup fitToHeight="0"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J23"/>
  <sheetViews>
    <sheetView workbookViewId="0"/>
  </sheetViews>
  <sheetFormatPr baseColWidth="10" defaultColWidth="8.83203125" defaultRowHeight="15" x14ac:dyDescent="0.2"/>
  <cols>
    <col min="1" max="10" width="18" customWidth="1"/>
  </cols>
  <sheetData>
    <row r="1" spans="1:10" ht="26" customHeight="1" x14ac:dyDescent="0.2">
      <c r="A1" s="38" t="s">
        <v>285</v>
      </c>
      <c r="B1" s="33"/>
      <c r="C1" s="33"/>
      <c r="D1" s="33"/>
      <c r="E1" s="33"/>
      <c r="F1" s="33"/>
      <c r="G1" s="33"/>
      <c r="H1" s="33"/>
      <c r="I1" s="33"/>
      <c r="J1" s="33"/>
    </row>
    <row r="2" spans="1:10" x14ac:dyDescent="0.2">
      <c r="A2" s="1"/>
      <c r="B2" s="1"/>
      <c r="C2" s="1"/>
      <c r="D2" s="1"/>
      <c r="E2" s="1"/>
      <c r="F2" s="1"/>
      <c r="G2" s="1"/>
      <c r="H2" s="1"/>
      <c r="I2" s="1"/>
      <c r="J2" s="1"/>
    </row>
    <row r="3" spans="1:10" x14ac:dyDescent="0.2">
      <c r="A3" s="45" t="s">
        <v>286</v>
      </c>
      <c r="B3" s="33"/>
      <c r="C3" s="33"/>
      <c r="D3" s="33"/>
      <c r="E3" s="33"/>
      <c r="F3" s="33"/>
      <c r="G3" s="33"/>
      <c r="H3" s="33"/>
      <c r="I3" s="33"/>
      <c r="J3" s="33"/>
    </row>
    <row r="4" spans="1:10" x14ac:dyDescent="0.2">
      <c r="A4" s="33"/>
      <c r="B4" s="33"/>
      <c r="C4" s="33"/>
      <c r="D4" s="33"/>
      <c r="E4" s="33"/>
      <c r="F4" s="33"/>
      <c r="G4" s="33"/>
      <c r="H4" s="33"/>
      <c r="I4" s="33"/>
      <c r="J4" s="33"/>
    </row>
    <row r="5" spans="1:10" x14ac:dyDescent="0.2">
      <c r="A5" s="33"/>
      <c r="B5" s="33"/>
      <c r="C5" s="33"/>
      <c r="D5" s="33"/>
      <c r="E5" s="33"/>
      <c r="F5" s="33"/>
      <c r="G5" s="33"/>
      <c r="H5" s="33"/>
      <c r="I5" s="33"/>
      <c r="J5" s="33"/>
    </row>
    <row r="6" spans="1:10" x14ac:dyDescent="0.2">
      <c r="A6" s="33"/>
      <c r="B6" s="33"/>
      <c r="C6" s="33"/>
      <c r="D6" s="33"/>
      <c r="E6" s="33"/>
      <c r="F6" s="33"/>
      <c r="G6" s="33"/>
      <c r="H6" s="33"/>
      <c r="I6" s="33"/>
      <c r="J6" s="33"/>
    </row>
    <row r="7" spans="1:10" x14ac:dyDescent="0.2">
      <c r="A7" s="33"/>
      <c r="B7" s="33"/>
      <c r="C7" s="33"/>
      <c r="D7" s="33"/>
      <c r="E7" s="33"/>
      <c r="F7" s="33"/>
      <c r="G7" s="33"/>
      <c r="H7" s="33"/>
      <c r="I7" s="33"/>
      <c r="J7" s="33"/>
    </row>
    <row r="8" spans="1:10" x14ac:dyDescent="0.2">
      <c r="A8" s="33"/>
      <c r="B8" s="33"/>
      <c r="C8" s="33"/>
      <c r="D8" s="33"/>
      <c r="E8" s="33"/>
      <c r="F8" s="33"/>
      <c r="G8" s="33"/>
      <c r="H8" s="33"/>
      <c r="I8" s="33"/>
      <c r="J8" s="33"/>
    </row>
    <row r="9" spans="1:10" x14ac:dyDescent="0.2">
      <c r="A9" s="33"/>
      <c r="B9" s="33"/>
      <c r="C9" s="33"/>
      <c r="D9" s="33"/>
      <c r="E9" s="33"/>
      <c r="F9" s="33"/>
      <c r="G9" s="33"/>
      <c r="H9" s="33"/>
      <c r="I9" s="33"/>
      <c r="J9" s="33"/>
    </row>
    <row r="10" spans="1:10" x14ac:dyDescent="0.2">
      <c r="A10" s="33"/>
      <c r="B10" s="33"/>
      <c r="C10" s="33"/>
      <c r="D10" s="33"/>
      <c r="E10" s="33"/>
      <c r="F10" s="33"/>
      <c r="G10" s="33"/>
      <c r="H10" s="33"/>
      <c r="I10" s="33"/>
      <c r="J10" s="33"/>
    </row>
    <row r="11" spans="1:10" x14ac:dyDescent="0.2">
      <c r="A11" s="33"/>
      <c r="B11" s="33"/>
      <c r="C11" s="33"/>
      <c r="D11" s="33"/>
      <c r="E11" s="33"/>
      <c r="F11" s="33"/>
      <c r="G11" s="33"/>
      <c r="H11" s="33"/>
      <c r="I11" s="33"/>
      <c r="J11" s="33"/>
    </row>
    <row r="12" spans="1:10" x14ac:dyDescent="0.2">
      <c r="A12" s="33"/>
      <c r="B12" s="33"/>
      <c r="C12" s="33"/>
      <c r="D12" s="33"/>
      <c r="E12" s="33"/>
      <c r="F12" s="33"/>
      <c r="G12" s="33"/>
      <c r="H12" s="33"/>
      <c r="I12" s="33"/>
      <c r="J12" s="33"/>
    </row>
    <row r="13" spans="1:10" x14ac:dyDescent="0.2">
      <c r="A13" s="33"/>
      <c r="B13" s="33"/>
      <c r="C13" s="33"/>
      <c r="D13" s="33"/>
      <c r="E13" s="33"/>
      <c r="F13" s="33"/>
      <c r="G13" s="33"/>
      <c r="H13" s="33"/>
      <c r="I13" s="33"/>
      <c r="J13" s="33"/>
    </row>
    <row r="14" spans="1:10" x14ac:dyDescent="0.2">
      <c r="A14" s="33"/>
      <c r="B14" s="33"/>
      <c r="C14" s="33"/>
      <c r="D14" s="33"/>
      <c r="E14" s="33"/>
      <c r="F14" s="33"/>
      <c r="G14" s="33"/>
      <c r="H14" s="33"/>
      <c r="I14" s="33"/>
      <c r="J14" s="33"/>
    </row>
    <row r="15" spans="1:10" x14ac:dyDescent="0.2">
      <c r="A15" s="33"/>
      <c r="B15" s="33"/>
      <c r="C15" s="33"/>
      <c r="D15" s="33"/>
      <c r="E15" s="33"/>
      <c r="F15" s="33"/>
      <c r="G15" s="33"/>
      <c r="H15" s="33"/>
      <c r="I15" s="33"/>
      <c r="J15" s="33"/>
    </row>
    <row r="16" spans="1:10" x14ac:dyDescent="0.2">
      <c r="A16" s="33"/>
      <c r="B16" s="33"/>
      <c r="C16" s="33"/>
      <c r="D16" s="33"/>
      <c r="E16" s="33"/>
      <c r="F16" s="33"/>
      <c r="G16" s="33"/>
      <c r="H16" s="33"/>
      <c r="I16" s="33"/>
      <c r="J16" s="33"/>
    </row>
    <row r="17" spans="1:10" x14ac:dyDescent="0.2">
      <c r="A17" s="33"/>
      <c r="B17" s="33"/>
      <c r="C17" s="33"/>
      <c r="D17" s="33"/>
      <c r="E17" s="33"/>
      <c r="F17" s="33"/>
      <c r="G17" s="33"/>
      <c r="H17" s="33"/>
      <c r="I17" s="33"/>
      <c r="J17" s="33"/>
    </row>
    <row r="18" spans="1:10" x14ac:dyDescent="0.2">
      <c r="A18" s="33"/>
      <c r="B18" s="33"/>
      <c r="C18" s="33"/>
      <c r="D18" s="33"/>
      <c r="E18" s="33"/>
      <c r="F18" s="33"/>
      <c r="G18" s="33"/>
      <c r="H18" s="33"/>
      <c r="I18" s="33"/>
      <c r="J18" s="33"/>
    </row>
    <row r="19" spans="1:10" x14ac:dyDescent="0.2">
      <c r="A19" s="33"/>
      <c r="B19" s="33"/>
      <c r="C19" s="33"/>
      <c r="D19" s="33"/>
      <c r="E19" s="33"/>
      <c r="F19" s="33"/>
      <c r="G19" s="33"/>
      <c r="H19" s="33"/>
      <c r="I19" s="33"/>
      <c r="J19" s="33"/>
    </row>
    <row r="20" spans="1:10" x14ac:dyDescent="0.2">
      <c r="A20" s="33"/>
      <c r="B20" s="33"/>
      <c r="C20" s="33"/>
      <c r="D20" s="33"/>
      <c r="E20" s="33"/>
      <c r="F20" s="33"/>
      <c r="G20" s="33"/>
      <c r="H20" s="33"/>
      <c r="I20" s="33"/>
      <c r="J20" s="33"/>
    </row>
    <row r="21" spans="1:10" x14ac:dyDescent="0.2">
      <c r="A21" s="33"/>
      <c r="B21" s="33"/>
      <c r="C21" s="33"/>
      <c r="D21" s="33"/>
      <c r="E21" s="33"/>
      <c r="F21" s="33"/>
      <c r="G21" s="33"/>
      <c r="H21" s="33"/>
      <c r="I21" s="33"/>
      <c r="J21" s="33"/>
    </row>
    <row r="22" spans="1:10" x14ac:dyDescent="0.2">
      <c r="A22" s="33"/>
      <c r="B22" s="33"/>
      <c r="C22" s="33"/>
      <c r="D22" s="33"/>
      <c r="E22" s="33"/>
      <c r="F22" s="33"/>
      <c r="G22" s="33"/>
      <c r="H22" s="33"/>
      <c r="I22" s="33"/>
      <c r="J22" s="33"/>
    </row>
    <row r="23" spans="1:10" x14ac:dyDescent="0.2">
      <c r="A23" s="33"/>
      <c r="B23" s="33"/>
      <c r="C23" s="33"/>
      <c r="D23" s="33"/>
      <c r="E23" s="33"/>
      <c r="F23" s="33"/>
      <c r="G23" s="33"/>
      <c r="H23" s="33"/>
      <c r="I23" s="33"/>
      <c r="J23" s="33"/>
    </row>
  </sheetData>
  <mergeCells count="2">
    <mergeCell ref="A3:J23"/>
    <mergeCell ref="A1:J1"/>
  </mergeCells>
  <pageMargins left="0.25" right="0.25" top="0.5" bottom="0.5" header="0.5" footer="0.5"/>
  <pageSetup fitToHeight="0"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J18"/>
  <sheetViews>
    <sheetView showGridLines="0" workbookViewId="0">
      <pane ySplit="3" topLeftCell="A4" activePane="bottomLeft" state="frozen"/>
      <selection pane="bottomLeft"/>
    </sheetView>
  </sheetViews>
  <sheetFormatPr baseColWidth="10" defaultColWidth="8.83203125" defaultRowHeight="15" x14ac:dyDescent="0.2"/>
  <cols>
    <col min="1" max="1" width="40" customWidth="1"/>
    <col min="2" max="2" width="26" customWidth="1"/>
    <col min="3" max="3" width="20" customWidth="1"/>
    <col min="4" max="4" width="16" customWidth="1"/>
    <col min="5" max="10" width="12" customWidth="1"/>
  </cols>
  <sheetData>
    <row r="1" spans="1:10" ht="26" customHeight="1" x14ac:dyDescent="0.2">
      <c r="A1" s="38" t="s">
        <v>287</v>
      </c>
      <c r="B1" s="33"/>
      <c r="C1" s="33"/>
      <c r="D1" s="33"/>
      <c r="E1" s="33"/>
      <c r="F1" s="33"/>
      <c r="G1" s="33"/>
      <c r="H1" s="33"/>
      <c r="I1" s="33"/>
      <c r="J1" s="33"/>
    </row>
    <row r="2" spans="1:10" x14ac:dyDescent="0.2">
      <c r="A2" s="1"/>
      <c r="B2" s="1"/>
      <c r="C2" s="1"/>
      <c r="D2" s="1"/>
      <c r="E2" s="1"/>
      <c r="F2" s="1"/>
      <c r="G2" s="1"/>
      <c r="H2" s="1"/>
      <c r="I2" s="1"/>
      <c r="J2" s="1"/>
    </row>
    <row r="3" spans="1:10" ht="20" customHeight="1" x14ac:dyDescent="0.2">
      <c r="A3" s="34" t="s">
        <v>288</v>
      </c>
      <c r="B3" s="33"/>
      <c r="C3" s="33"/>
      <c r="D3" s="33"/>
      <c r="E3" s="33"/>
      <c r="F3" s="33"/>
      <c r="G3" s="33"/>
      <c r="H3" s="33"/>
      <c r="I3" s="33"/>
      <c r="J3" s="33"/>
    </row>
    <row r="4" spans="1:10" ht="34" customHeight="1" x14ac:dyDescent="0.2">
      <c r="A4" s="4" t="s">
        <v>289</v>
      </c>
      <c r="B4" s="4" t="s">
        <v>290</v>
      </c>
      <c r="C4" s="4" t="s">
        <v>291</v>
      </c>
      <c r="D4" s="36" t="s">
        <v>292</v>
      </c>
      <c r="E4" s="37"/>
      <c r="F4" s="37"/>
      <c r="G4" s="37"/>
      <c r="H4" s="37"/>
      <c r="I4" s="37"/>
      <c r="J4" s="37"/>
    </row>
    <row r="5" spans="1:10" x14ac:dyDescent="0.2">
      <c r="A5" s="1" t="s">
        <v>293</v>
      </c>
      <c r="B5" s="18">
        <f>SUMPRODUCT('03_Cotizaciones_Actuales'!D7:D11,'03_Cotizaciones_Actuales'!E7:E11)</f>
        <v>5040881200</v>
      </c>
      <c r="C5" s="19">
        <v>5040881200</v>
      </c>
      <c r="D5" s="46" t="str">
        <f t="shared" ref="D5:D13" si="0">IF(ABS(B5-C5)&lt;1,"OK","REVISAR")</f>
        <v>OK</v>
      </c>
      <c r="E5" s="33"/>
      <c r="F5" s="33"/>
      <c r="G5" s="33"/>
      <c r="H5" s="33"/>
      <c r="I5" s="33"/>
      <c r="J5" s="33"/>
    </row>
    <row r="6" spans="1:10" x14ac:dyDescent="0.2">
      <c r="A6" s="1" t="s">
        <v>294</v>
      </c>
      <c r="B6" s="18">
        <f>SUMPRODUCT('03_Cotizaciones_Actuales'!D7:D10,'03_Cotizaciones_Actuales'!F7:F10)</f>
        <v>4757482500</v>
      </c>
      <c r="C6" s="19">
        <v>4757482500</v>
      </c>
      <c r="D6" s="46" t="str">
        <f t="shared" si="0"/>
        <v>OK</v>
      </c>
      <c r="E6" s="33"/>
      <c r="F6" s="33"/>
      <c r="G6" s="33"/>
      <c r="H6" s="33"/>
      <c r="I6" s="33"/>
      <c r="J6" s="33"/>
    </row>
    <row r="7" spans="1:10" x14ac:dyDescent="0.2">
      <c r="A7" s="1" t="s">
        <v>295</v>
      </c>
      <c r="B7" s="17">
        <f>'03_Cotizaciones_Actuales'!G8</f>
        <v>1100750</v>
      </c>
      <c r="C7" s="1">
        <v>1100750</v>
      </c>
      <c r="D7" s="46" t="str">
        <f t="shared" si="0"/>
        <v>OK</v>
      </c>
      <c r="E7" s="33"/>
      <c r="F7" s="33"/>
      <c r="G7" s="33"/>
      <c r="H7" s="33"/>
      <c r="I7" s="33"/>
      <c r="J7" s="33"/>
    </row>
    <row r="8" spans="1:10" x14ac:dyDescent="0.2">
      <c r="A8" s="1" t="s">
        <v>296</v>
      </c>
      <c r="B8" s="18">
        <f>'07_Precio_Referencia'!H8</f>
        <v>8617100</v>
      </c>
      <c r="C8" s="19">
        <v>8617100</v>
      </c>
      <c r="D8" s="46" t="str">
        <f t="shared" si="0"/>
        <v>OK</v>
      </c>
      <c r="E8" s="33"/>
      <c r="F8" s="33"/>
      <c r="G8" s="33"/>
      <c r="H8" s="33"/>
      <c r="I8" s="33"/>
      <c r="J8" s="33"/>
    </row>
    <row r="9" spans="1:10" x14ac:dyDescent="0.2">
      <c r="A9" s="1" t="s">
        <v>297</v>
      </c>
      <c r="B9" s="18">
        <f>'07_Precio_Referencia'!H9</f>
        <v>982543</v>
      </c>
      <c r="C9" s="19">
        <v>982543</v>
      </c>
      <c r="D9" s="46" t="str">
        <f t="shared" si="0"/>
        <v>OK</v>
      </c>
      <c r="E9" s="33"/>
      <c r="F9" s="33"/>
      <c r="G9" s="33"/>
      <c r="H9" s="33"/>
      <c r="I9" s="33"/>
      <c r="J9" s="33"/>
    </row>
    <row r="10" spans="1:10" x14ac:dyDescent="0.2">
      <c r="A10" s="1" t="s">
        <v>298</v>
      </c>
      <c r="B10" s="18">
        <f>'07_Precio_Referencia'!H10</f>
        <v>2863933</v>
      </c>
      <c r="C10" s="19">
        <v>2863933</v>
      </c>
      <c r="D10" s="46" t="str">
        <f t="shared" si="0"/>
        <v>OK</v>
      </c>
      <c r="E10" s="33"/>
      <c r="F10" s="33"/>
      <c r="G10" s="33"/>
      <c r="H10" s="33"/>
      <c r="I10" s="33"/>
      <c r="J10" s="33"/>
    </row>
    <row r="11" spans="1:10" x14ac:dyDescent="0.2">
      <c r="A11" s="1" t="s">
        <v>299</v>
      </c>
      <c r="B11" s="18">
        <f>'07_Precio_Referencia'!H11</f>
        <v>145973</v>
      </c>
      <c r="C11" s="19">
        <v>145973</v>
      </c>
      <c r="D11" s="46" t="str">
        <f t="shared" si="0"/>
        <v>OK</v>
      </c>
      <c r="E11" s="33"/>
      <c r="F11" s="33"/>
      <c r="G11" s="33"/>
      <c r="H11" s="33"/>
      <c r="I11" s="33"/>
      <c r="J11" s="33"/>
    </row>
    <row r="12" spans="1:10" x14ac:dyDescent="0.2">
      <c r="A12" s="1" t="s">
        <v>300</v>
      </c>
      <c r="B12" s="18">
        <f>'07_Precio_Referencia'!H12</f>
        <v>99960000</v>
      </c>
      <c r="C12" s="19">
        <v>99960000</v>
      </c>
      <c r="D12" s="46" t="str">
        <f t="shared" si="0"/>
        <v>OK</v>
      </c>
      <c r="E12" s="33"/>
      <c r="F12" s="33"/>
      <c r="G12" s="33"/>
      <c r="H12" s="33"/>
      <c r="I12" s="33"/>
      <c r="J12" s="33"/>
    </row>
    <row r="13" spans="1:10" x14ac:dyDescent="0.2">
      <c r="A13" s="1" t="s">
        <v>301</v>
      </c>
      <c r="B13" s="18">
        <f>'08_Control_Presupuesto'!B5</f>
        <v>4500000000</v>
      </c>
      <c r="C13" s="19">
        <v>4500000000</v>
      </c>
      <c r="D13" s="46" t="str">
        <f t="shared" si="0"/>
        <v>OK</v>
      </c>
      <c r="E13" s="33"/>
      <c r="F13" s="33"/>
      <c r="G13" s="33"/>
      <c r="H13" s="33"/>
      <c r="I13" s="33"/>
      <c r="J13" s="33"/>
    </row>
    <row r="14" spans="1:10" x14ac:dyDescent="0.2">
      <c r="A14" s="1"/>
      <c r="B14" s="1"/>
      <c r="C14" s="1"/>
      <c r="D14" s="1"/>
      <c r="E14" s="1"/>
      <c r="F14" s="1"/>
      <c r="G14" s="1"/>
      <c r="H14" s="1"/>
      <c r="I14" s="1"/>
      <c r="J14" s="1"/>
    </row>
    <row r="15" spans="1:10" x14ac:dyDescent="0.2">
      <c r="A15" s="1"/>
      <c r="B15" s="1"/>
      <c r="C15" s="1"/>
      <c r="D15" s="1"/>
      <c r="E15" s="1"/>
      <c r="F15" s="1"/>
      <c r="G15" s="1"/>
      <c r="H15" s="1"/>
      <c r="I15" s="1"/>
      <c r="J15" s="1"/>
    </row>
    <row r="16" spans="1:10" x14ac:dyDescent="0.2">
      <c r="A16" s="1" t="s">
        <v>302</v>
      </c>
      <c r="B16" s="32" t="s">
        <v>303</v>
      </c>
      <c r="C16" s="33"/>
      <c r="D16" s="33"/>
      <c r="E16" s="33"/>
      <c r="F16" s="33"/>
      <c r="G16" s="33"/>
      <c r="H16" s="33"/>
      <c r="I16" s="33"/>
      <c r="J16" s="33"/>
    </row>
    <row r="17" spans="1:10" x14ac:dyDescent="0.2">
      <c r="A17" s="1"/>
      <c r="B17" s="33"/>
      <c r="C17" s="33"/>
      <c r="D17" s="33"/>
      <c r="E17" s="33"/>
      <c r="F17" s="33"/>
      <c r="G17" s="33"/>
      <c r="H17" s="33"/>
      <c r="I17" s="33"/>
      <c r="J17" s="33"/>
    </row>
    <row r="18" spans="1:10" x14ac:dyDescent="0.2">
      <c r="A18" s="1"/>
      <c r="B18" s="33"/>
      <c r="C18" s="33"/>
      <c r="D18" s="33"/>
      <c r="E18" s="33"/>
      <c r="F18" s="33"/>
      <c r="G18" s="33"/>
      <c r="H18" s="33"/>
      <c r="I18" s="33"/>
      <c r="J18" s="33"/>
    </row>
  </sheetData>
  <mergeCells count="13">
    <mergeCell ref="A1:J1"/>
    <mergeCell ref="D4:J4"/>
    <mergeCell ref="B16:J18"/>
    <mergeCell ref="D9:J9"/>
    <mergeCell ref="D12:J12"/>
    <mergeCell ref="A3:J3"/>
    <mergeCell ref="D7:J7"/>
    <mergeCell ref="D6:J6"/>
    <mergeCell ref="D8:J8"/>
    <mergeCell ref="D13:J13"/>
    <mergeCell ref="D10:J10"/>
    <mergeCell ref="D11:J11"/>
    <mergeCell ref="D5:J5"/>
  </mergeCells>
  <pageMargins left="0.25" right="0.25" top="0.5" bottom="0.5" header="0.5" footer="0.5"/>
  <pageSetup fitToHeight="0"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N35"/>
  <sheetViews>
    <sheetView showGridLines="0" workbookViewId="0">
      <pane ySplit="4" topLeftCell="A5" activePane="bottomLeft" state="frozen"/>
      <selection pane="bottomLeft"/>
    </sheetView>
  </sheetViews>
  <sheetFormatPr baseColWidth="10" defaultColWidth="8.83203125" defaultRowHeight="15" x14ac:dyDescent="0.2"/>
  <cols>
    <col min="1" max="1" width="7" customWidth="1"/>
    <col min="2" max="2" width="22" customWidth="1"/>
    <col min="3" max="3" width="20" customWidth="1"/>
    <col min="4" max="4" width="15" customWidth="1"/>
    <col min="5" max="5" width="18" customWidth="1"/>
    <col min="6" max="6" width="30" customWidth="1"/>
    <col min="7" max="7" width="13" customWidth="1"/>
    <col min="8" max="8" width="19" customWidth="1"/>
    <col min="9" max="10" width="18" customWidth="1"/>
    <col min="11" max="11" width="24" customWidth="1"/>
    <col min="12" max="12" width="55" customWidth="1"/>
    <col min="13" max="13" width="35" customWidth="1"/>
    <col min="14" max="14" width="45" customWidth="1"/>
  </cols>
  <sheetData>
    <row r="1" spans="1:14" ht="26" customHeight="1" x14ac:dyDescent="0.2">
      <c r="A1" s="49" t="s">
        <v>304</v>
      </c>
      <c r="B1" s="33"/>
      <c r="C1" s="33"/>
      <c r="D1" s="33"/>
      <c r="E1" s="33"/>
      <c r="F1" s="33"/>
      <c r="G1" s="33"/>
      <c r="H1" s="33"/>
      <c r="I1" s="33"/>
      <c r="J1" s="33"/>
      <c r="K1" s="33"/>
      <c r="L1" s="33"/>
      <c r="M1" s="33"/>
      <c r="N1" s="33"/>
    </row>
    <row r="3" spans="1:14" x14ac:dyDescent="0.2">
      <c r="A3" s="47" t="s">
        <v>305</v>
      </c>
      <c r="B3" s="33"/>
      <c r="C3" s="33"/>
      <c r="D3" s="33"/>
      <c r="E3" s="33"/>
      <c r="F3" s="33"/>
      <c r="G3" s="33"/>
      <c r="H3" s="33"/>
      <c r="I3" s="33"/>
      <c r="J3" s="33"/>
      <c r="K3" s="33"/>
      <c r="L3" s="33"/>
      <c r="M3" s="33"/>
      <c r="N3" s="33"/>
    </row>
    <row r="4" spans="1:14" ht="26" x14ac:dyDescent="0.2">
      <c r="A4" s="26" t="s">
        <v>7</v>
      </c>
      <c r="B4" s="26" t="s">
        <v>59</v>
      </c>
      <c r="C4" s="26" t="s">
        <v>58</v>
      </c>
      <c r="D4" s="26" t="s">
        <v>306</v>
      </c>
      <c r="E4" s="26" t="s">
        <v>307</v>
      </c>
      <c r="F4" s="26" t="s">
        <v>308</v>
      </c>
      <c r="G4" s="26" t="s">
        <v>168</v>
      </c>
      <c r="H4" s="26" t="s">
        <v>309</v>
      </c>
      <c r="I4" s="26" t="s">
        <v>310</v>
      </c>
      <c r="J4" s="26" t="s">
        <v>311</v>
      </c>
      <c r="K4" s="26" t="s">
        <v>312</v>
      </c>
      <c r="L4" s="26" t="s">
        <v>313</v>
      </c>
      <c r="M4" s="26" t="s">
        <v>314</v>
      </c>
      <c r="N4" s="26" t="s">
        <v>140</v>
      </c>
    </row>
    <row r="5" spans="1:14" ht="32" x14ac:dyDescent="0.2">
      <c r="A5" s="3">
        <v>1</v>
      </c>
      <c r="B5" s="3" t="s">
        <v>131</v>
      </c>
      <c r="C5" s="3" t="s">
        <v>315</v>
      </c>
      <c r="D5" s="3" t="s">
        <v>127</v>
      </c>
      <c r="E5" s="27">
        <f>'03_Cotizaciones_Actuales'!E7</f>
        <v>8555300</v>
      </c>
      <c r="F5" s="3" t="s">
        <v>316</v>
      </c>
      <c r="G5" s="28">
        <v>1</v>
      </c>
      <c r="H5" s="27">
        <f t="shared" ref="H5:H17" si="0">E5*G5</f>
        <v>8555300</v>
      </c>
      <c r="I5" s="3" t="s">
        <v>317</v>
      </c>
      <c r="J5" s="3" t="s">
        <v>318</v>
      </c>
      <c r="K5" s="3" t="s">
        <v>319</v>
      </c>
      <c r="L5" s="3" t="s">
        <v>320</v>
      </c>
      <c r="M5" s="3" t="s">
        <v>85</v>
      </c>
    </row>
    <row r="6" spans="1:14" ht="32" x14ac:dyDescent="0.2">
      <c r="A6" s="3">
        <v>1</v>
      </c>
      <c r="B6" s="3" t="s">
        <v>157</v>
      </c>
      <c r="C6" s="3" t="s">
        <v>315</v>
      </c>
      <c r="D6" s="3" t="s">
        <v>158</v>
      </c>
      <c r="E6" s="27">
        <f>'03_Cotizaciones_Actuales'!F7</f>
        <v>8350000</v>
      </c>
      <c r="F6" s="3" t="s">
        <v>316</v>
      </c>
      <c r="G6" s="28">
        <v>1</v>
      </c>
      <c r="H6" s="27">
        <f t="shared" si="0"/>
        <v>8350000</v>
      </c>
      <c r="I6" s="3" t="s">
        <v>317</v>
      </c>
      <c r="J6" s="3" t="s">
        <v>318</v>
      </c>
      <c r="K6" s="3" t="s">
        <v>319</v>
      </c>
      <c r="L6" s="3" t="s">
        <v>320</v>
      </c>
      <c r="M6" s="3" t="s">
        <v>88</v>
      </c>
    </row>
    <row r="7" spans="1:14" ht="32" x14ac:dyDescent="0.2">
      <c r="A7" s="3">
        <v>1</v>
      </c>
      <c r="B7" s="3" t="s">
        <v>133</v>
      </c>
      <c r="C7" s="3" t="s">
        <v>315</v>
      </c>
      <c r="D7" s="3" t="s">
        <v>158</v>
      </c>
      <c r="E7" s="27">
        <f>'03_Cotizaciones_Actuales'!G7</f>
        <v>8945999</v>
      </c>
      <c r="F7" s="3" t="s">
        <v>316</v>
      </c>
      <c r="G7" s="28">
        <v>1</v>
      </c>
      <c r="H7" s="27">
        <f t="shared" si="0"/>
        <v>8945999</v>
      </c>
      <c r="I7" s="3" t="s">
        <v>317</v>
      </c>
      <c r="J7" s="3" t="s">
        <v>318</v>
      </c>
      <c r="K7" s="3" t="s">
        <v>319</v>
      </c>
      <c r="L7" s="3" t="s">
        <v>320</v>
      </c>
      <c r="M7" s="3" t="s">
        <v>91</v>
      </c>
    </row>
    <row r="8" spans="1:14" ht="32" x14ac:dyDescent="0.2">
      <c r="A8" s="3">
        <v>2</v>
      </c>
      <c r="B8" s="3" t="s">
        <v>131</v>
      </c>
      <c r="C8" s="3" t="s">
        <v>315</v>
      </c>
      <c r="D8" s="3" t="s">
        <v>127</v>
      </c>
      <c r="E8" s="27">
        <f>'03_Cotizaciones_Actuales'!E8</f>
        <v>1132880</v>
      </c>
      <c r="F8" s="3" t="s">
        <v>316</v>
      </c>
      <c r="G8" s="28">
        <v>1</v>
      </c>
      <c r="H8" s="27">
        <f t="shared" si="0"/>
        <v>1132880</v>
      </c>
      <c r="I8" s="3" t="s">
        <v>317</v>
      </c>
      <c r="J8" s="3" t="s">
        <v>318</v>
      </c>
      <c r="K8" s="3" t="s">
        <v>319</v>
      </c>
      <c r="L8" s="3" t="s">
        <v>320</v>
      </c>
      <c r="M8" s="3" t="s">
        <v>85</v>
      </c>
    </row>
    <row r="9" spans="1:14" ht="32" x14ac:dyDescent="0.2">
      <c r="A9" s="3">
        <v>2</v>
      </c>
      <c r="B9" s="3" t="s">
        <v>157</v>
      </c>
      <c r="C9" s="3" t="s">
        <v>315</v>
      </c>
      <c r="D9" s="3" t="s">
        <v>158</v>
      </c>
      <c r="E9" s="27">
        <f>'03_Cotizaciones_Actuales'!F8</f>
        <v>714000</v>
      </c>
      <c r="F9" s="3" t="s">
        <v>316</v>
      </c>
      <c r="G9" s="28">
        <v>1</v>
      </c>
      <c r="H9" s="27">
        <f t="shared" si="0"/>
        <v>714000</v>
      </c>
      <c r="I9" s="3" t="s">
        <v>317</v>
      </c>
      <c r="J9" s="3" t="s">
        <v>318</v>
      </c>
      <c r="K9" s="3" t="s">
        <v>319</v>
      </c>
      <c r="L9" s="3" t="s">
        <v>320</v>
      </c>
      <c r="M9" s="3" t="s">
        <v>88</v>
      </c>
    </row>
    <row r="10" spans="1:14" ht="32" x14ac:dyDescent="0.2">
      <c r="A10" s="3">
        <v>2</v>
      </c>
      <c r="B10" s="3" t="s">
        <v>133</v>
      </c>
      <c r="C10" s="3" t="s">
        <v>315</v>
      </c>
      <c r="D10" s="3" t="s">
        <v>158</v>
      </c>
      <c r="E10" s="27">
        <f>'03_Cotizaciones_Actuales'!G8</f>
        <v>1100750</v>
      </c>
      <c r="F10" s="3" t="s">
        <v>316</v>
      </c>
      <c r="G10" s="28">
        <v>1</v>
      </c>
      <c r="H10" s="27">
        <f t="shared" si="0"/>
        <v>1100750</v>
      </c>
      <c r="I10" s="3" t="s">
        <v>317</v>
      </c>
      <c r="J10" s="3" t="s">
        <v>318</v>
      </c>
      <c r="K10" s="3" t="s">
        <v>319</v>
      </c>
      <c r="L10" s="3" t="s">
        <v>320</v>
      </c>
      <c r="M10" s="3" t="s">
        <v>91</v>
      </c>
      <c r="N10" s="3" t="s">
        <v>321</v>
      </c>
    </row>
    <row r="11" spans="1:14" ht="32" x14ac:dyDescent="0.2">
      <c r="A11" s="3">
        <v>3</v>
      </c>
      <c r="B11" s="3" t="s">
        <v>131</v>
      </c>
      <c r="C11" s="3" t="s">
        <v>315</v>
      </c>
      <c r="D11" s="3" t="s">
        <v>127</v>
      </c>
      <c r="E11" s="27">
        <f>'03_Cotizaciones_Actuales'!E9</f>
        <v>2534700</v>
      </c>
      <c r="F11" s="3" t="s">
        <v>316</v>
      </c>
      <c r="G11" s="28">
        <v>1</v>
      </c>
      <c r="H11" s="27">
        <f t="shared" si="0"/>
        <v>2534700</v>
      </c>
      <c r="I11" s="3" t="s">
        <v>317</v>
      </c>
      <c r="J11" s="3" t="s">
        <v>318</v>
      </c>
      <c r="K11" s="3" t="s">
        <v>319</v>
      </c>
      <c r="L11" s="3" t="s">
        <v>320</v>
      </c>
      <c r="M11" s="3" t="s">
        <v>85</v>
      </c>
    </row>
    <row r="12" spans="1:14" ht="32" x14ac:dyDescent="0.2">
      <c r="A12" s="3">
        <v>3</v>
      </c>
      <c r="B12" s="3" t="s">
        <v>157</v>
      </c>
      <c r="C12" s="3" t="s">
        <v>315</v>
      </c>
      <c r="D12" s="3" t="s">
        <v>158</v>
      </c>
      <c r="E12" s="27">
        <f>'03_Cotizaciones_Actuales'!F9</f>
        <v>2796500</v>
      </c>
      <c r="F12" s="3" t="s">
        <v>316</v>
      </c>
      <c r="G12" s="28">
        <v>1</v>
      </c>
      <c r="H12" s="27">
        <f t="shared" si="0"/>
        <v>2796500</v>
      </c>
      <c r="I12" s="3" t="s">
        <v>317</v>
      </c>
      <c r="J12" s="3" t="s">
        <v>318</v>
      </c>
      <c r="K12" s="3" t="s">
        <v>319</v>
      </c>
      <c r="L12" s="3" t="s">
        <v>320</v>
      </c>
      <c r="M12" s="3" t="s">
        <v>88</v>
      </c>
    </row>
    <row r="13" spans="1:14" ht="32" x14ac:dyDescent="0.2">
      <c r="A13" s="3">
        <v>3</v>
      </c>
      <c r="B13" s="3" t="s">
        <v>133</v>
      </c>
      <c r="C13" s="3" t="s">
        <v>315</v>
      </c>
      <c r="D13" s="3" t="s">
        <v>158</v>
      </c>
      <c r="E13" s="27">
        <f>'03_Cotizaciones_Actuales'!G9</f>
        <v>3260600</v>
      </c>
      <c r="F13" s="3" t="s">
        <v>316</v>
      </c>
      <c r="G13" s="28">
        <v>1</v>
      </c>
      <c r="H13" s="27">
        <f t="shared" si="0"/>
        <v>3260600</v>
      </c>
      <c r="I13" s="3" t="s">
        <v>317</v>
      </c>
      <c r="J13" s="3" t="s">
        <v>318</v>
      </c>
      <c r="K13" s="3" t="s">
        <v>319</v>
      </c>
      <c r="L13" s="3" t="s">
        <v>320</v>
      </c>
      <c r="M13" s="3" t="s">
        <v>91</v>
      </c>
    </row>
    <row r="14" spans="1:14" ht="32" x14ac:dyDescent="0.2">
      <c r="A14" s="3">
        <v>4</v>
      </c>
      <c r="B14" s="3" t="s">
        <v>131</v>
      </c>
      <c r="C14" s="3" t="s">
        <v>315</v>
      </c>
      <c r="D14" s="3" t="s">
        <v>127</v>
      </c>
      <c r="E14" s="27">
        <f>'03_Cotizaciones_Actuales'!E10</f>
        <v>164220</v>
      </c>
      <c r="F14" s="3" t="s">
        <v>316</v>
      </c>
      <c r="G14" s="28">
        <v>1</v>
      </c>
      <c r="H14" s="27">
        <f t="shared" si="0"/>
        <v>164220</v>
      </c>
      <c r="I14" s="3" t="s">
        <v>317</v>
      </c>
      <c r="J14" s="3" t="s">
        <v>318</v>
      </c>
      <c r="K14" s="3" t="s">
        <v>319</v>
      </c>
      <c r="L14" s="3" t="s">
        <v>320</v>
      </c>
      <c r="M14" s="3" t="s">
        <v>85</v>
      </c>
    </row>
    <row r="15" spans="1:14" ht="32" x14ac:dyDescent="0.2">
      <c r="A15" s="3">
        <v>4</v>
      </c>
      <c r="B15" s="3" t="s">
        <v>157</v>
      </c>
      <c r="C15" s="3" t="s">
        <v>315</v>
      </c>
      <c r="D15" s="3" t="s">
        <v>158</v>
      </c>
      <c r="E15" s="27">
        <f>'03_Cotizaciones_Actuales'!F10</f>
        <v>142800</v>
      </c>
      <c r="F15" s="3" t="s">
        <v>316</v>
      </c>
      <c r="G15" s="28">
        <v>1</v>
      </c>
      <c r="H15" s="27">
        <f t="shared" si="0"/>
        <v>142800</v>
      </c>
      <c r="I15" s="3" t="s">
        <v>317</v>
      </c>
      <c r="J15" s="3" t="s">
        <v>318</v>
      </c>
      <c r="K15" s="3" t="s">
        <v>319</v>
      </c>
      <c r="L15" s="3" t="s">
        <v>320</v>
      </c>
      <c r="M15" s="3" t="s">
        <v>88</v>
      </c>
    </row>
    <row r="16" spans="1:14" ht="32" x14ac:dyDescent="0.2">
      <c r="A16" s="3">
        <v>4</v>
      </c>
      <c r="B16" s="3" t="s">
        <v>133</v>
      </c>
      <c r="C16" s="3" t="s">
        <v>315</v>
      </c>
      <c r="D16" s="3" t="s">
        <v>158</v>
      </c>
      <c r="E16" s="27">
        <f>'03_Cotizaciones_Actuales'!G10</f>
        <v>130900</v>
      </c>
      <c r="F16" s="3" t="s">
        <v>316</v>
      </c>
      <c r="G16" s="28">
        <v>1</v>
      </c>
      <c r="H16" s="27">
        <f t="shared" si="0"/>
        <v>130900</v>
      </c>
      <c r="I16" s="3" t="s">
        <v>317</v>
      </c>
      <c r="J16" s="3" t="s">
        <v>318</v>
      </c>
      <c r="K16" s="3" t="s">
        <v>319</v>
      </c>
      <c r="L16" s="3" t="s">
        <v>320</v>
      </c>
      <c r="M16" s="3" t="s">
        <v>91</v>
      </c>
    </row>
    <row r="17" spans="1:14" ht="32" x14ac:dyDescent="0.2">
      <c r="A17" s="3">
        <v>5</v>
      </c>
      <c r="B17" s="3" t="s">
        <v>131</v>
      </c>
      <c r="C17" s="3" t="s">
        <v>315</v>
      </c>
      <c r="D17" s="3" t="s">
        <v>127</v>
      </c>
      <c r="E17" s="27">
        <f>'03_Cotizaciones_Actuales'!E11</f>
        <v>86870000</v>
      </c>
      <c r="F17" s="3" t="s">
        <v>316</v>
      </c>
      <c r="G17" s="28">
        <v>1</v>
      </c>
      <c r="H17" s="27">
        <f t="shared" si="0"/>
        <v>86870000</v>
      </c>
      <c r="I17" s="3" t="s">
        <v>317</v>
      </c>
      <c r="J17" s="3" t="s">
        <v>318</v>
      </c>
      <c r="K17" s="3" t="s">
        <v>319</v>
      </c>
      <c r="L17" s="3" t="s">
        <v>320</v>
      </c>
      <c r="M17" s="3" t="s">
        <v>85</v>
      </c>
    </row>
    <row r="18" spans="1:14" ht="32" x14ac:dyDescent="0.2">
      <c r="A18" s="3">
        <v>5</v>
      </c>
      <c r="B18" s="3" t="s">
        <v>157</v>
      </c>
      <c r="C18" s="3" t="s">
        <v>315</v>
      </c>
      <c r="D18" s="3" t="s">
        <v>158</v>
      </c>
      <c r="E18" s="27" t="str">
        <f>'03_Cotizaciones_Actuales'!F11</f>
        <v>N/A</v>
      </c>
      <c r="F18" s="3" t="s">
        <v>316</v>
      </c>
      <c r="G18" s="28">
        <v>1</v>
      </c>
      <c r="H18" s="27" t="s">
        <v>23</v>
      </c>
      <c r="I18" s="3" t="s">
        <v>318</v>
      </c>
      <c r="J18" s="3" t="s">
        <v>318</v>
      </c>
      <c r="K18" s="3" t="s">
        <v>322</v>
      </c>
      <c r="L18" s="3" t="s">
        <v>323</v>
      </c>
      <c r="M18" s="3" t="s">
        <v>88</v>
      </c>
    </row>
    <row r="19" spans="1:14" ht="32" x14ac:dyDescent="0.2">
      <c r="A19" s="3">
        <v>5</v>
      </c>
      <c r="B19" s="3" t="s">
        <v>133</v>
      </c>
      <c r="C19" s="3" t="s">
        <v>315</v>
      </c>
      <c r="D19" s="3" t="s">
        <v>158</v>
      </c>
      <c r="E19" s="27">
        <f>'03_Cotizaciones_Actuales'!G11</f>
        <v>113050000</v>
      </c>
      <c r="F19" s="3" t="s">
        <v>316</v>
      </c>
      <c r="G19" s="28">
        <v>1</v>
      </c>
      <c r="H19" s="27">
        <f t="shared" ref="H19:H27" si="1">E19*G19</f>
        <v>113050000</v>
      </c>
      <c r="I19" s="3" t="s">
        <v>317</v>
      </c>
      <c r="J19" s="3" t="s">
        <v>318</v>
      </c>
      <c r="K19" s="3" t="s">
        <v>319</v>
      </c>
      <c r="L19" s="3" t="s">
        <v>320</v>
      </c>
      <c r="M19" s="3" t="s">
        <v>91</v>
      </c>
    </row>
    <row r="20" spans="1:14" ht="32" x14ac:dyDescent="0.2">
      <c r="A20" s="3">
        <v>1</v>
      </c>
      <c r="B20" s="3" t="s">
        <v>175</v>
      </c>
      <c r="C20" s="3" t="s">
        <v>324</v>
      </c>
      <c r="D20" s="3" t="s">
        <v>325</v>
      </c>
      <c r="E20" s="27">
        <f>'04_Historicos_IPC'!E9</f>
        <v>8991568</v>
      </c>
      <c r="F20" s="3" t="s">
        <v>326</v>
      </c>
      <c r="G20" s="29">
        <f>'02_Parametros_IPC'!B11</f>
        <v>1.0535000000000001</v>
      </c>
      <c r="H20" s="27">
        <f t="shared" si="1"/>
        <v>9472616.8880000003</v>
      </c>
      <c r="I20" s="3" t="s">
        <v>318</v>
      </c>
      <c r="J20" s="3" t="s">
        <v>317</v>
      </c>
      <c r="K20" s="3" t="s">
        <v>327</v>
      </c>
      <c r="L20" s="3" t="s">
        <v>328</v>
      </c>
      <c r="M20" s="3" t="s">
        <v>329</v>
      </c>
      <c r="N20" s="3" t="s">
        <v>330</v>
      </c>
    </row>
    <row r="21" spans="1:14" ht="32" x14ac:dyDescent="0.2">
      <c r="A21" s="3">
        <v>2</v>
      </c>
      <c r="B21" s="3" t="s">
        <v>175</v>
      </c>
      <c r="C21" s="3" t="s">
        <v>324</v>
      </c>
      <c r="D21" s="3" t="s">
        <v>325</v>
      </c>
      <c r="E21" s="27">
        <f>'04_Historicos_IPC'!E10</f>
        <v>190400</v>
      </c>
      <c r="F21" s="3" t="s">
        <v>326</v>
      </c>
      <c r="G21" s="29">
        <f>'02_Parametros_IPC'!B11</f>
        <v>1.0535000000000001</v>
      </c>
      <c r="H21" s="27">
        <f t="shared" si="1"/>
        <v>200586.40000000002</v>
      </c>
      <c r="I21" s="3" t="s">
        <v>318</v>
      </c>
      <c r="J21" s="3" t="s">
        <v>318</v>
      </c>
      <c r="K21" s="3" t="s">
        <v>331</v>
      </c>
      <c r="L21" s="3" t="s">
        <v>332</v>
      </c>
      <c r="M21" s="3" t="s">
        <v>329</v>
      </c>
      <c r="N21" s="3" t="s">
        <v>330</v>
      </c>
    </row>
    <row r="22" spans="1:14" ht="32" x14ac:dyDescent="0.2">
      <c r="A22" s="3">
        <v>3</v>
      </c>
      <c r="B22" s="3" t="s">
        <v>175</v>
      </c>
      <c r="C22" s="3" t="s">
        <v>324</v>
      </c>
      <c r="D22" s="3" t="s">
        <v>325</v>
      </c>
      <c r="E22" s="27">
        <f>'04_Historicos_IPC'!E11</f>
        <v>2206904</v>
      </c>
      <c r="F22" s="3" t="s">
        <v>326</v>
      </c>
      <c r="G22" s="29">
        <f>'02_Parametros_IPC'!B11</f>
        <v>1.0535000000000001</v>
      </c>
      <c r="H22" s="27">
        <f t="shared" si="1"/>
        <v>2324973.3640000001</v>
      </c>
      <c r="I22" s="3" t="s">
        <v>318</v>
      </c>
      <c r="J22" s="3" t="s">
        <v>317</v>
      </c>
      <c r="K22" s="3" t="s">
        <v>327</v>
      </c>
      <c r="L22" s="3" t="s">
        <v>328</v>
      </c>
      <c r="M22" s="3" t="s">
        <v>329</v>
      </c>
      <c r="N22" s="3" t="s">
        <v>330</v>
      </c>
    </row>
    <row r="23" spans="1:14" ht="32" x14ac:dyDescent="0.2">
      <c r="A23" s="3">
        <v>4</v>
      </c>
      <c r="B23" s="3" t="s">
        <v>175</v>
      </c>
      <c r="C23" s="3" t="s">
        <v>324</v>
      </c>
      <c r="D23" s="3" t="s">
        <v>325</v>
      </c>
      <c r="E23" s="27">
        <f>'04_Historicos_IPC'!E12</f>
        <v>99870</v>
      </c>
      <c r="F23" s="3" t="s">
        <v>326</v>
      </c>
      <c r="G23" s="29">
        <f>'02_Parametros_IPC'!B11</f>
        <v>1.0535000000000001</v>
      </c>
      <c r="H23" s="27">
        <f t="shared" si="1"/>
        <v>105213.04500000001</v>
      </c>
      <c r="I23" s="3" t="s">
        <v>318</v>
      </c>
      <c r="J23" s="3" t="s">
        <v>317</v>
      </c>
      <c r="K23" s="3" t="s">
        <v>327</v>
      </c>
      <c r="L23" s="3" t="s">
        <v>328</v>
      </c>
      <c r="M23" s="3" t="s">
        <v>329</v>
      </c>
      <c r="N23" s="3" t="s">
        <v>330</v>
      </c>
    </row>
    <row r="24" spans="1:14" ht="32" x14ac:dyDescent="0.2">
      <c r="A24" s="3">
        <v>1</v>
      </c>
      <c r="B24" s="3" t="s">
        <v>171</v>
      </c>
      <c r="C24" s="3" t="s">
        <v>324</v>
      </c>
      <c r="D24" s="3" t="s">
        <v>325</v>
      </c>
      <c r="E24" s="27">
        <f>'04_Historicos_IPC'!E5</f>
        <v>8992600</v>
      </c>
      <c r="F24" s="3" t="s">
        <v>326</v>
      </c>
      <c r="G24" s="29">
        <f>'02_Parametros_IPC'!B12</f>
        <v>1.0684439834024897</v>
      </c>
      <c r="H24" s="27">
        <f t="shared" si="1"/>
        <v>9608089.3651452288</v>
      </c>
      <c r="I24" s="3" t="s">
        <v>318</v>
      </c>
      <c r="J24" s="3" t="s">
        <v>318</v>
      </c>
      <c r="K24" s="3" t="s">
        <v>333</v>
      </c>
      <c r="L24" s="3" t="s">
        <v>334</v>
      </c>
      <c r="M24" s="3" t="s">
        <v>335</v>
      </c>
      <c r="N24" s="3" t="s">
        <v>330</v>
      </c>
    </row>
    <row r="25" spans="1:14" ht="32" x14ac:dyDescent="0.2">
      <c r="A25" s="3">
        <v>2</v>
      </c>
      <c r="B25" s="3" t="s">
        <v>171</v>
      </c>
      <c r="C25" s="3" t="s">
        <v>324</v>
      </c>
      <c r="D25" s="3" t="s">
        <v>325</v>
      </c>
      <c r="E25" s="27">
        <f>'04_Historicos_IPC'!E6</f>
        <v>370500</v>
      </c>
      <c r="F25" s="3" t="s">
        <v>326</v>
      </c>
      <c r="G25" s="29">
        <f>'02_Parametros_IPC'!B12</f>
        <v>1.0684439834024897</v>
      </c>
      <c r="H25" s="27">
        <f t="shared" si="1"/>
        <v>395858.49585062242</v>
      </c>
      <c r="I25" s="3" t="s">
        <v>318</v>
      </c>
      <c r="J25" s="3" t="s">
        <v>318</v>
      </c>
      <c r="K25" s="3" t="s">
        <v>331</v>
      </c>
      <c r="L25" s="3" t="s">
        <v>332</v>
      </c>
      <c r="M25" s="3" t="s">
        <v>335</v>
      </c>
      <c r="N25" s="3" t="s">
        <v>330</v>
      </c>
    </row>
    <row r="26" spans="1:14" ht="32" x14ac:dyDescent="0.2">
      <c r="A26" s="3">
        <v>3</v>
      </c>
      <c r="B26" s="3" t="s">
        <v>171</v>
      </c>
      <c r="C26" s="3" t="s">
        <v>324</v>
      </c>
      <c r="D26" s="3" t="s">
        <v>325</v>
      </c>
      <c r="E26" s="27">
        <f>'04_Historicos_IPC'!E7</f>
        <v>1914400</v>
      </c>
      <c r="F26" s="3" t="s">
        <v>326</v>
      </c>
      <c r="G26" s="29">
        <f>'02_Parametros_IPC'!B12</f>
        <v>1.0684439834024897</v>
      </c>
      <c r="H26" s="27">
        <f t="shared" si="1"/>
        <v>2045429.1618257263</v>
      </c>
      <c r="I26" s="3" t="s">
        <v>318</v>
      </c>
      <c r="J26" s="3" t="s">
        <v>318</v>
      </c>
      <c r="K26" s="3" t="s">
        <v>333</v>
      </c>
      <c r="L26" s="3" t="s">
        <v>334</v>
      </c>
      <c r="M26" s="3" t="s">
        <v>335</v>
      </c>
      <c r="N26" s="3" t="s">
        <v>330</v>
      </c>
    </row>
    <row r="27" spans="1:14" ht="32" x14ac:dyDescent="0.2">
      <c r="A27" s="3">
        <v>4</v>
      </c>
      <c r="B27" s="3" t="s">
        <v>171</v>
      </c>
      <c r="C27" s="3" t="s">
        <v>324</v>
      </c>
      <c r="D27" s="3" t="s">
        <v>325</v>
      </c>
      <c r="E27" s="27">
        <f>'04_Historicos_IPC'!E8</f>
        <v>95200</v>
      </c>
      <c r="F27" s="3" t="s">
        <v>326</v>
      </c>
      <c r="G27" s="29">
        <f>'02_Parametros_IPC'!B12</f>
        <v>1.0684439834024897</v>
      </c>
      <c r="H27" s="27">
        <f t="shared" si="1"/>
        <v>101715.86721991703</v>
      </c>
      <c r="I27" s="3" t="s">
        <v>318</v>
      </c>
      <c r="J27" s="3" t="s">
        <v>318</v>
      </c>
      <c r="K27" s="3" t="s">
        <v>333</v>
      </c>
      <c r="L27" s="3" t="s">
        <v>334</v>
      </c>
      <c r="M27" s="3" t="s">
        <v>335</v>
      </c>
      <c r="N27" s="3" t="s">
        <v>330</v>
      </c>
    </row>
    <row r="29" spans="1:14" x14ac:dyDescent="0.2">
      <c r="A29" s="47" t="s">
        <v>336</v>
      </c>
      <c r="B29" s="33"/>
      <c r="C29" s="33"/>
      <c r="D29" s="33"/>
      <c r="E29" s="33"/>
      <c r="F29" s="33"/>
      <c r="G29" s="33"/>
      <c r="H29" s="33"/>
      <c r="I29" s="33"/>
      <c r="J29" s="33"/>
      <c r="K29" s="33"/>
      <c r="L29" s="33"/>
      <c r="M29" s="33"/>
      <c r="N29" s="33"/>
    </row>
    <row r="30" spans="1:14" ht="26" x14ac:dyDescent="0.2">
      <c r="A30" s="26" t="s">
        <v>7</v>
      </c>
      <c r="B30" s="26" t="s">
        <v>180</v>
      </c>
      <c r="C30" s="26" t="s">
        <v>136</v>
      </c>
      <c r="D30" s="26" t="s">
        <v>12</v>
      </c>
      <c r="E30" s="26" t="s">
        <v>337</v>
      </c>
      <c r="F30" s="26" t="s">
        <v>338</v>
      </c>
      <c r="G30" s="26" t="s">
        <v>339</v>
      </c>
      <c r="H30" s="26" t="s">
        <v>244</v>
      </c>
      <c r="I30" s="26" t="s">
        <v>340</v>
      </c>
      <c r="J30" s="26" t="s">
        <v>341</v>
      </c>
      <c r="K30" s="26" t="s">
        <v>292</v>
      </c>
      <c r="L30" s="48" t="s">
        <v>342</v>
      </c>
      <c r="M30" s="33"/>
      <c r="N30" s="33"/>
    </row>
    <row r="31" spans="1:14" ht="16" x14ac:dyDescent="0.2">
      <c r="A31" s="3">
        <v>1</v>
      </c>
      <c r="B31" s="27">
        <f>'03_Cotizaciones_Actuales'!I7</f>
        <v>8617099.666666666</v>
      </c>
      <c r="C31" s="27">
        <f>'03_Cotizaciones_Actuales'!J7</f>
        <v>8555300</v>
      </c>
      <c r="D31" s="27">
        <f>'04_Historicos_IPC'!D17</f>
        <v>9472616.8880000003</v>
      </c>
      <c r="E31" s="27">
        <f>'06_Integracion_Historica'!D13</f>
        <v>8830978.9719999991</v>
      </c>
      <c r="F31" s="27">
        <f>'07_Precio_Referencia'!H8</f>
        <v>8617100</v>
      </c>
      <c r="G31" s="30">
        <f>F31/D31-1</f>
        <v>-9.0314735422666215E-2</v>
      </c>
      <c r="H31" s="3">
        <v>365</v>
      </c>
      <c r="I31" s="27">
        <f>F31*H31</f>
        <v>3145241500</v>
      </c>
      <c r="J31" s="27">
        <f>'08_Control_Presupuesto'!B5</f>
        <v>4500000000</v>
      </c>
      <c r="K31" s="3" t="s">
        <v>343</v>
      </c>
      <c r="L31" s="32" t="s">
        <v>344</v>
      </c>
      <c r="M31" s="33"/>
      <c r="N31" s="33"/>
    </row>
    <row r="32" spans="1:14" ht="16" x14ac:dyDescent="0.2">
      <c r="A32" s="3">
        <v>2</v>
      </c>
      <c r="B32" s="27">
        <f>'03_Cotizaciones_Actuales'!I8</f>
        <v>982543.33333333337</v>
      </c>
      <c r="C32" s="27">
        <f>'03_Cotizaciones_Actuales'!J8</f>
        <v>1100750</v>
      </c>
      <c r="D32" s="27">
        <f>'04_Historicos_IPC'!D18</f>
        <v>200586.40000000002</v>
      </c>
      <c r="E32" s="27">
        <f>'06_Integracion_Historica'!D14</f>
        <v>982543.33333333337</v>
      </c>
      <c r="F32" s="27">
        <f>'07_Precio_Referencia'!H9</f>
        <v>982543</v>
      </c>
      <c r="G32" s="3" t="s">
        <v>17</v>
      </c>
      <c r="H32" s="3">
        <v>365</v>
      </c>
      <c r="I32" s="27">
        <f>F32*H32</f>
        <v>358628195</v>
      </c>
      <c r="J32" s="27">
        <f>'08_Control_Presupuesto'!B5</f>
        <v>4500000000</v>
      </c>
      <c r="K32" s="3" t="s">
        <v>345</v>
      </c>
      <c r="L32" s="32" t="s">
        <v>346</v>
      </c>
      <c r="M32" s="33"/>
      <c r="N32" s="33"/>
    </row>
    <row r="33" spans="1:14" ht="16" x14ac:dyDescent="0.2">
      <c r="A33" s="3">
        <v>3</v>
      </c>
      <c r="B33" s="27">
        <f>'03_Cotizaciones_Actuales'!I9</f>
        <v>2863933.3333333335</v>
      </c>
      <c r="C33" s="27">
        <f>'03_Cotizaciones_Actuales'!J9</f>
        <v>2796500</v>
      </c>
      <c r="D33" s="27">
        <f>'04_Historicos_IPC'!D19</f>
        <v>2324973.3640000001</v>
      </c>
      <c r="E33" s="27">
        <f>'06_Integracion_Historica'!D15</f>
        <v>2729193.341</v>
      </c>
      <c r="F33" s="27">
        <f>'07_Precio_Referencia'!H10</f>
        <v>2863933</v>
      </c>
      <c r="G33" s="30">
        <f>F33/D33-1</f>
        <v>0.23181325186140933</v>
      </c>
      <c r="H33" s="3">
        <v>365</v>
      </c>
      <c r="I33" s="27">
        <f>F33*H33</f>
        <v>1045335545</v>
      </c>
      <c r="J33" s="27">
        <f>'08_Control_Presupuesto'!B5</f>
        <v>4500000000</v>
      </c>
      <c r="K33" s="3" t="s">
        <v>347</v>
      </c>
      <c r="L33" s="32" t="s">
        <v>348</v>
      </c>
      <c r="M33" s="33"/>
      <c r="N33" s="33"/>
    </row>
    <row r="34" spans="1:14" ht="16" x14ac:dyDescent="0.2">
      <c r="A34" s="3">
        <v>4</v>
      </c>
      <c r="B34" s="27">
        <f>'03_Cotizaciones_Actuales'!I10</f>
        <v>145973.33333333334</v>
      </c>
      <c r="C34" s="27">
        <f>'03_Cotizaciones_Actuales'!J10</f>
        <v>142800</v>
      </c>
      <c r="D34" s="27">
        <f>'04_Historicos_IPC'!D20</f>
        <v>105213.04500000001</v>
      </c>
      <c r="E34" s="27">
        <f>'06_Integracion_Historica'!D16</f>
        <v>135783.26125000001</v>
      </c>
      <c r="F34" s="27">
        <f>'07_Precio_Referencia'!H11</f>
        <v>145973</v>
      </c>
      <c r="G34" s="30">
        <f>F34/D34-1</f>
        <v>0.38740400489311932</v>
      </c>
      <c r="H34" s="3">
        <v>3000</v>
      </c>
      <c r="I34" s="27">
        <f>F34*H34</f>
        <v>437919000</v>
      </c>
      <c r="J34" s="27">
        <f>'08_Control_Presupuesto'!B5</f>
        <v>4500000000</v>
      </c>
      <c r="K34" s="3" t="s">
        <v>347</v>
      </c>
      <c r="L34" s="32" t="s">
        <v>349</v>
      </c>
      <c r="M34" s="33"/>
      <c r="N34" s="33"/>
    </row>
    <row r="35" spans="1:14" ht="16" x14ac:dyDescent="0.2">
      <c r="A35" s="3">
        <v>5</v>
      </c>
      <c r="B35" s="27">
        <f>'03_Cotizaciones_Actuales'!I11</f>
        <v>99960000</v>
      </c>
      <c r="C35" s="27">
        <f>'03_Cotizaciones_Actuales'!J11</f>
        <v>99960000</v>
      </c>
      <c r="D35" s="31" t="s">
        <v>23</v>
      </c>
      <c r="E35" s="27">
        <f>'06_Integracion_Historica'!D17</f>
        <v>99960000</v>
      </c>
      <c r="F35" s="27">
        <f>'07_Precio_Referencia'!H12</f>
        <v>99960000</v>
      </c>
      <c r="G35" s="3" t="s">
        <v>23</v>
      </c>
      <c r="H35" s="3">
        <v>1</v>
      </c>
      <c r="I35" s="27">
        <f>F35*H35</f>
        <v>99960000</v>
      </c>
      <c r="J35" s="27">
        <f>'08_Control_Presupuesto'!B5</f>
        <v>4500000000</v>
      </c>
      <c r="K35" s="3" t="s">
        <v>350</v>
      </c>
      <c r="L35" s="32" t="s">
        <v>351</v>
      </c>
      <c r="M35" s="33"/>
      <c r="N35" s="33"/>
    </row>
  </sheetData>
  <mergeCells count="9">
    <mergeCell ref="L34:N34"/>
    <mergeCell ref="L35:N35"/>
    <mergeCell ref="A1:N1"/>
    <mergeCell ref="L33:N33"/>
    <mergeCell ref="A3:N3"/>
    <mergeCell ref="L32:N32"/>
    <mergeCell ref="A29:N29"/>
    <mergeCell ref="L30:N30"/>
    <mergeCell ref="L31:N31"/>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13</vt:i4>
      </vt:variant>
    </vt:vector>
  </HeadingPairs>
  <TitlesOfParts>
    <vt:vector size="13" baseType="lpstr">
      <vt:lpstr>00_Resumen_Ejecutivo</vt:lpstr>
      <vt:lpstr>01_Metodologia_Fuentes</vt:lpstr>
      <vt:lpstr>02_Parametros_IPC</vt:lpstr>
      <vt:lpstr>03_Cotizaciones_Actuales</vt:lpstr>
      <vt:lpstr>04_Historicos_IPC</vt:lpstr>
      <vt:lpstr>05_Estadistica_Mercado</vt:lpstr>
      <vt:lpstr>06_Integracion_Historica</vt:lpstr>
      <vt:lpstr>07_Precio_Referencia</vt:lpstr>
      <vt:lpstr>08_Control_Presupuesto</vt:lpstr>
      <vt:lpstr>09_Texto_Anexo_Estudio</vt:lpstr>
      <vt:lpstr>10_Prompt_Maestro</vt:lpstr>
      <vt:lpstr>11_Validaciones</vt:lpstr>
      <vt:lpstr>12_Matriz_Trazabilidad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Adriana Mileydi Acevedo Buitrago</cp:lastModifiedBy>
  <dcterms:created xsi:type="dcterms:W3CDTF">2026-09-16T17:50:31Z</dcterms:created>
  <dcterms:modified xsi:type="dcterms:W3CDTF">2026-09-16T18:58:37Z</dcterms:modified>
</cp:coreProperties>
</file>