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harts/colors4.xml" ContentType="application/vnd.ms-office.chartcolorsty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style4.xml" ContentType="application/vnd.ms-office.chartstyle+xml"/>
  <Override PartName="/xl/charts/chart6.xml" ContentType="application/vnd.openxmlformats-officedocument.drawingml.chart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 T-470\Desktop\DOCUMENTOS REGIONAL CENTRO SUR 2026\DRACS 2026\ESTRUCTURACION INDICADORES FINANCIEROS\ADQUIRIR  ELEMENTOS DE PROTECCIÓN PERSONAL PARA LOS SERVIDORES PÚBLICOS Y COLABORADORES\"/>
    </mc:Choice>
  </mc:AlternateContent>
  <xr:revisionPtr revIDLastSave="0" documentId="13_ncr:1_{BE9DF913-83ED-40FC-A2DE-5C06A7BF1BA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LOTE 1" sheetId="5" r:id="rId1"/>
  </sheets>
  <definedNames>
    <definedName name="_xlnm._FilterDatabase" localSheetId="0" hidden="1">'LOTE 1'!$A$19:$J$328</definedName>
    <definedName name="_xlnm.Print_Titles" localSheetId="0">'LOTE 1'!$19:$19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6" i="5" l="1"/>
  <c r="F332" i="5"/>
  <c r="C348" i="5"/>
  <c r="H11" i="5" l="1"/>
  <c r="F11" i="5"/>
  <c r="G447" i="5" l="1"/>
  <c r="E447" i="5"/>
  <c r="D335" i="5" l="1"/>
  <c r="D334" i="5"/>
  <c r="D333" i="5"/>
  <c r="D332" i="5"/>
  <c r="C429" i="5" l="1"/>
  <c r="C428" i="5"/>
  <c r="C427" i="5"/>
  <c r="C426" i="5"/>
  <c r="C425" i="5"/>
  <c r="C424" i="5"/>
  <c r="C423" i="5"/>
  <c r="C415" i="5"/>
  <c r="C414" i="5"/>
  <c r="C413" i="5"/>
  <c r="C412" i="5"/>
  <c r="C411" i="5"/>
  <c r="C410" i="5"/>
  <c r="C409" i="5"/>
  <c r="C401" i="5"/>
  <c r="C400" i="5"/>
  <c r="C399" i="5"/>
  <c r="C398" i="5"/>
  <c r="C397" i="5"/>
  <c r="C396" i="5"/>
  <c r="C395" i="5"/>
  <c r="C386" i="5"/>
  <c r="C385" i="5"/>
  <c r="C384" i="5"/>
  <c r="C383" i="5"/>
  <c r="C382" i="5"/>
  <c r="C373" i="5"/>
  <c r="C372" i="5"/>
  <c r="C371" i="5"/>
  <c r="C370" i="5"/>
  <c r="C369" i="5"/>
  <c r="C368" i="5"/>
  <c r="C367" i="5"/>
  <c r="C358" i="5"/>
  <c r="C357" i="5"/>
  <c r="C356" i="5"/>
  <c r="C347" i="5"/>
  <c r="C345" i="5"/>
  <c r="C344" i="5"/>
  <c r="C343" i="5"/>
  <c r="C342" i="5"/>
  <c r="C341" i="5"/>
  <c r="J335" i="5"/>
  <c r="J334" i="5"/>
  <c r="J333" i="5"/>
  <c r="J332" i="5"/>
  <c r="I335" i="5"/>
  <c r="I334" i="5"/>
  <c r="I333" i="5"/>
  <c r="I332" i="5"/>
  <c r="H335" i="5"/>
  <c r="H334" i="5"/>
  <c r="H333" i="5"/>
  <c r="H332" i="5"/>
  <c r="G335" i="5"/>
  <c r="G334" i="5"/>
  <c r="G333" i="5"/>
  <c r="G332" i="5"/>
  <c r="F335" i="5"/>
  <c r="F334" i="5"/>
  <c r="F333" i="5"/>
  <c r="E335" i="5"/>
  <c r="E334" i="5"/>
  <c r="E333" i="5"/>
  <c r="E332" i="5"/>
  <c r="C349" i="5" l="1"/>
  <c r="B330" i="5"/>
  <c r="G440" i="5" l="1"/>
  <c r="E440" i="5"/>
  <c r="J440" i="5"/>
  <c r="D440" i="5"/>
  <c r="H440" i="5"/>
  <c r="I440" i="5"/>
  <c r="D342" i="5"/>
  <c r="D344" i="5"/>
  <c r="D346" i="5"/>
  <c r="D348" i="5"/>
  <c r="D357" i="5"/>
  <c r="D367" i="5"/>
  <c r="D369" i="5"/>
  <c r="D371" i="5"/>
  <c r="D373" i="5"/>
  <c r="D383" i="5"/>
  <c r="D385" i="5"/>
  <c r="D395" i="5"/>
  <c r="D397" i="5"/>
  <c r="D399" i="5"/>
  <c r="D401" i="5"/>
  <c r="D410" i="5"/>
  <c r="D412" i="5"/>
  <c r="D414" i="5"/>
  <c r="D423" i="5"/>
  <c r="D425" i="5"/>
  <c r="D427" i="5"/>
  <c r="D429" i="5"/>
  <c r="D341" i="5"/>
  <c r="D343" i="5"/>
  <c r="D345" i="5"/>
  <c r="D347" i="5"/>
  <c r="D356" i="5"/>
  <c r="D358" i="5"/>
  <c r="D368" i="5"/>
  <c r="D370" i="5"/>
  <c r="D372" i="5"/>
  <c r="D382" i="5"/>
  <c r="D384" i="5"/>
  <c r="D386" i="5"/>
  <c r="D396" i="5"/>
  <c r="D398" i="5"/>
  <c r="D400" i="5"/>
  <c r="D409" i="5"/>
  <c r="D411" i="5"/>
  <c r="D413" i="5"/>
  <c r="D415" i="5"/>
  <c r="D424" i="5"/>
  <c r="D426" i="5"/>
  <c r="D428" i="5"/>
  <c r="F440" i="5"/>
  <c r="C359" i="5"/>
  <c r="C374" i="5"/>
  <c r="C387" i="5"/>
  <c r="C402" i="5"/>
  <c r="C416" i="5"/>
  <c r="C430" i="5"/>
  <c r="D349" i="5" l="1"/>
  <c r="D359" i="5"/>
  <c r="D387" i="5"/>
  <c r="D416" i="5"/>
  <c r="D402" i="5"/>
  <c r="D374" i="5"/>
  <c r="D430" i="5"/>
</calcChain>
</file>

<file path=xl/sharedStrings.xml><?xml version="1.0" encoding="utf-8"?>
<sst xmlns="http://schemas.openxmlformats.org/spreadsheetml/2006/main" count="751" uniqueCount="408">
  <si>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</si>
  <si>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</si>
  <si>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</si>
  <si>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</si>
  <si>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</si>
  <si>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</si>
  <si>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</si>
  <si>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</si>
  <si>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</si>
  <si>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</si>
  <si>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DES. ESTANDAR</t>
  </si>
  <si>
    <t>MINIMO</t>
  </si>
  <si>
    <t>MAXIMO</t>
  </si>
  <si>
    <t>OBJETO:</t>
  </si>
  <si>
    <t>TOTAL</t>
  </si>
  <si>
    <t>CANTIDAD DE EMPRESAS</t>
  </si>
  <si>
    <t>MODALIDAD:</t>
  </si>
  <si>
    <t>% DE LA MUESTRA QUE CUMPLE EL CRITERIO</t>
  </si>
  <si>
    <t>RANGO</t>
  </si>
  <si>
    <t>5,1 - 10</t>
  </si>
  <si>
    <t>20,1 - 30</t>
  </si>
  <si>
    <t>30,1 - 50</t>
  </si>
  <si>
    <t>&gt; 50</t>
  </si>
  <si>
    <t>0 - 1</t>
  </si>
  <si>
    <t>1,1 - 2</t>
  </si>
  <si>
    <t>2,1 - 5</t>
  </si>
  <si>
    <t>10,1 - 20</t>
  </si>
  <si>
    <t>&lt; 0</t>
  </si>
  <si>
    <t xml:space="preserve"> = 0</t>
  </si>
  <si>
    <t>&gt; 0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</si>
  <si>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</si>
  <si>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</si>
  <si>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</si>
  <si>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</si>
  <si>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</si>
  <si>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</si>
  <si>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</si>
  <si>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0 - $10m</t>
  </si>
  <si>
    <t>$10m - $100m</t>
  </si>
  <si>
    <t>&gt; $100m</t>
  </si>
  <si>
    <t>Gastos de intereses = 0</t>
  </si>
  <si>
    <t>2,1 - 4</t>
  </si>
  <si>
    <t>4,1 - 6</t>
  </si>
  <si>
    <t>&gt; 6</t>
  </si>
  <si>
    <t>CANTIDAD DE EMPRESAS IDENTIFICADAS COMO MUESTRA PARA EL ANALISIS:</t>
  </si>
  <si>
    <t>2,1 - 3</t>
  </si>
  <si>
    <t>3,1 - 4</t>
  </si>
  <si>
    <t>&gt; 4</t>
  </si>
  <si>
    <t>0 - 2</t>
  </si>
  <si>
    <t>6,1 - 8</t>
  </si>
  <si>
    <t>&gt; 8</t>
  </si>
  <si>
    <t>OBJETO</t>
  </si>
  <si>
    <t>VALOR</t>
  </si>
  <si>
    <t>Valores Expresados en Miles de $</t>
  </si>
  <si>
    <t>Clasificación Internacional Industrial Uniforme (CIIU) Versión 4.</t>
  </si>
  <si>
    <t>PROMEDIO</t>
  </si>
  <si>
    <t>MENOR O IGUAL A 
70%</t>
  </si>
  <si>
    <t>Plazo de ejecución (meses)</t>
  </si>
  <si>
    <t>ANÁLISIS DE SECTOR – INFORMACIÓN FINANCIERA</t>
  </si>
  <si>
    <t>PROCESOS DE CONTRATACIÓN</t>
  </si>
  <si>
    <t>Fuente de Información: PIE (Portal de Información Empresarial) - Superintendencia de Sociedades</t>
  </si>
  <si>
    <t>Presupuesto del 
Proceso ($)</t>
  </si>
  <si>
    <t>RECOMENDACIÓN SUGERIDA INICIAL:</t>
  </si>
  <si>
    <t>1. CÁLCULO 
ESTADÍSTICO</t>
  </si>
  <si>
    <t>D) Patrimonio = Activo total - Pasivo total.
Mide la cantidad de recursos propios del proponente.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</si>
  <si>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</si>
  <si>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</si>
  <si>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</si>
  <si>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</si>
  <si>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</si>
  <si>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</si>
  <si>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0 - 1,1</t>
  </si>
  <si>
    <t>1,2 - 2</t>
  </si>
  <si>
    <r>
      <t xml:space="preserve">LIQUIDEZ
</t>
    </r>
    <r>
      <rPr>
        <sz val="9"/>
        <color theme="1"/>
        <rFont val="Work Sans"/>
      </rPr>
      <t>MAYOR O IGUAL A</t>
    </r>
  </si>
  <si>
    <t>ENTIDAD Y AÑO</t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</si>
  <si>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</si>
  <si>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</si>
  <si>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</si>
  <si>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ACTIVOS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</si>
  <si>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</si>
  <si>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</si>
  <si>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t>2. COMPORTAMIENTO DE LOS ÍNDICES EN LA MUESTRA DEL SECTOR</t>
  </si>
  <si>
    <t>4. CONCLUSIONES</t>
  </si>
  <si>
    <t>CRITERIOS RECOMENDADOS:</t>
  </si>
  <si>
    <t>ANÁLISIS DEL SECTOR</t>
  </si>
  <si>
    <t>3. ANALISIS DEL SECTOR DE ACUERDO CON LOS PROCESOS REALIZADOS POR OTRAS ENTIDADES PÚBLICAS O EN LA AEROCIVIL EN VIG ANT. DE LA MISMA NATURALEZA DEL OBJETO CONTRACTUAL DEL PRESENTO PROCESO.</t>
  </si>
  <si>
    <t>MAYOR O IGUAL A 
2%</t>
  </si>
  <si>
    <t>MAYOR O IGUAL A 
2 VECES</t>
  </si>
  <si>
    <t>Patrimonio:
  (25% del PO)</t>
  </si>
  <si>
    <t>MAYOR O IGUAL A 
1,2 VECES</t>
  </si>
  <si>
    <t>Capital de Trabajo: 1,0* (PO/n)</t>
  </si>
  <si>
    <t>SELECCIÓN ABREVIADA MENOR CUANTIA</t>
  </si>
  <si>
    <t>INDICADORES</t>
  </si>
  <si>
    <t>63100C1232 ADQUIRIR  ELEMENTOS DE PROTECCIÓN PERSONAL PARA LOS SERVIDORES PÚBLICOS Y COLABORADORES DE AERONÁUTICA CIVIL REGIONAL CENTRO SUR</t>
  </si>
  <si>
    <t>MAYOR O IGUAL A 
$85.300.000</t>
  </si>
  <si>
    <t>MAYOR O IGUAL A 
$106.600.000</t>
  </si>
  <si>
    <t>PINTU SPECIAL SAS</t>
  </si>
  <si>
    <t>G4663 - Comercio al por mayor de materiales de construcción, artículos de ferretería, pinturas, productos de vidrio, equipo y materiales de fontanería y calefacción</t>
  </si>
  <si>
    <t>MARMOLES Y SERVICIOS S.A.S</t>
  </si>
  <si>
    <t>FERRELUGUE SAS</t>
  </si>
  <si>
    <t>DISTRIBUIDORA COLOMBIANA DE SENTIMIENTOS DE BELLEZA S.A.S.</t>
  </si>
  <si>
    <t>G4771 - Comercio al por menor de prendas de vestir y sus accesorios (incluye artículos de piel) en establecimientos especializados</t>
  </si>
  <si>
    <t>LA TIENDA DEL TRIPLEX SAS</t>
  </si>
  <si>
    <t>ALBA NURY CASTILLO Y CIA SAS</t>
  </si>
  <si>
    <t>HIERROS HB S.A.</t>
  </si>
  <si>
    <t>ANA CRISTINA RESTREPO S.A.S</t>
  </si>
  <si>
    <t>FERRETERIA LOS TUBOS SAS</t>
  </si>
  <si>
    <t>INVERPA LTDA</t>
  </si>
  <si>
    <t>YESOS Y CALIZAS SERRANO SANIN SAS</t>
  </si>
  <si>
    <t>SABYS GARCIA HNOS Y CIA LTDA</t>
  </si>
  <si>
    <t>MATERIALES EL ORIENTE SAS</t>
  </si>
  <si>
    <t>IMPARK SAS</t>
  </si>
  <si>
    <t>MODAS Y DISEÑOS SA</t>
  </si>
  <si>
    <t>MANGUERAS Y ACOPLES DE LA COSTA S.A.S</t>
  </si>
  <si>
    <t>EMPAQUES PLASTICOS TECNICOS EMPLASTEC SAS</t>
  </si>
  <si>
    <t>Soluciones Integrales Union SAS</t>
  </si>
  <si>
    <t>DISTRIBUIDORA DE ACEROS Y METALES SAS DISAMETALES SAS EN REORGANIZACION</t>
  </si>
  <si>
    <t>FERREINOX SAS BIC</t>
  </si>
  <si>
    <t>FERREDISTARCO SAS</t>
  </si>
  <si>
    <t>TODOLAMINA  &amp; COMPAÑIA SA</t>
  </si>
  <si>
    <t>FERRETERIA METROPOLIS S.A.S.</t>
  </si>
  <si>
    <t>VYA FASHION SAS</t>
  </si>
  <si>
    <t>HENAO PUGLIESE SAS</t>
  </si>
  <si>
    <t>Baguer SAS</t>
  </si>
  <si>
    <t>PICAL SAS</t>
  </si>
  <si>
    <t>FITTING VALVES SAS</t>
  </si>
  <si>
    <t>Deposito de Materiales Silva SAS</t>
  </si>
  <si>
    <t>AGLOMERADOS DE COLOMBIA SAS</t>
  </si>
  <si>
    <t>OPORTO SAS</t>
  </si>
  <si>
    <t>IMPORINOX SAS</t>
  </si>
  <si>
    <t>SANTIAGO PLAZA SA</t>
  </si>
  <si>
    <t>INVERCERAMICAS SAS</t>
  </si>
  <si>
    <t>EL TEMPLO DE LA MODA S.A.S.</t>
  </si>
  <si>
    <t>HCM PINTURAS DE COLOMBIA SAS</t>
  </si>
  <si>
    <t>EL CONSTRUCTOR, INVERSIONES S.A.</t>
  </si>
  <si>
    <t>GARAJES PREFABRICADOS SAS</t>
  </si>
  <si>
    <t>comercializadora terrano sas</t>
  </si>
  <si>
    <t>ALMETALCO SAS</t>
  </si>
  <si>
    <t>FERRECASTILLO SAS</t>
  </si>
  <si>
    <t>INVECO SAS</t>
  </si>
  <si>
    <t>METALES Y MADERAS DEL RISARALDA SAS</t>
  </si>
  <si>
    <t>D PORTE SAS</t>
  </si>
  <si>
    <t>MINAS Y CANTERAS SAS</t>
  </si>
  <si>
    <t>TALTON INTERNACIONAL SAS</t>
  </si>
  <si>
    <t>OBIPROSA COLOMBIA SAS</t>
  </si>
  <si>
    <t>COVAL COMERCIAL SAS</t>
  </si>
  <si>
    <t>IMPORTADORA MUNDIAL FERRETERA LTDA</t>
  </si>
  <si>
    <t>LICAVIR SAS</t>
  </si>
  <si>
    <t>METALES ESTRUCTURALES SAS</t>
  </si>
  <si>
    <t>HEGA GB SAS</t>
  </si>
  <si>
    <t>Multiobras Sistema Drywall S.A.S</t>
  </si>
  <si>
    <t>Inversiones Gobotex SAS</t>
  </si>
  <si>
    <t>CENTRO FERRETERO MAFER SAS</t>
  </si>
  <si>
    <t>PANELCO SA</t>
  </si>
  <si>
    <t>CONSTRUMIL LTDA</t>
  </si>
  <si>
    <t>CORMETEXY CIA S  A S</t>
  </si>
  <si>
    <t>ACANTHUS SAS</t>
  </si>
  <si>
    <t>WATERTECH LASSA SAS</t>
  </si>
  <si>
    <t>DISTRITODO VS S.A.S.</t>
  </si>
  <si>
    <t>ESTRATEGIA COMERCIAL DE COLOMBIA SAS</t>
  </si>
  <si>
    <t>AMBIENTES CERAMICOS LTDA</t>
  </si>
  <si>
    <t>MCD AGROIN SAS</t>
  </si>
  <si>
    <t>CRISTACRYL SAS</t>
  </si>
  <si>
    <t>FERRETERIA EL HIDRANTE S.A.</t>
  </si>
  <si>
    <t>colvapor sas</t>
  </si>
  <si>
    <t>HERRAMIENTAS UNDAS SA</t>
  </si>
  <si>
    <t>SUMINISTROS INDUSTRIALES DE COLOMBIA SAS</t>
  </si>
  <si>
    <t>MARROQUINERA SAS</t>
  </si>
  <si>
    <t>CARLOS NIETO Y CIA SAS</t>
  </si>
  <si>
    <t>EL PALACIO DEL ALUMINIO SAS</t>
  </si>
  <si>
    <t>SONEPAR COLOMBIA SAS</t>
  </si>
  <si>
    <t>CASA DE LA VALVULA SAS</t>
  </si>
  <si>
    <t>INDURRUEDAS SAS</t>
  </si>
  <si>
    <t>APEX TOOL GROUP SAS</t>
  </si>
  <si>
    <t>MIGUEL GOMEZ Y CIA</t>
  </si>
  <si>
    <t>FERNANDEZ Y CIA S. A.</t>
  </si>
  <si>
    <t>PINTURAS IDEA S.A</t>
  </si>
  <si>
    <t>PINTURAS INDUSTRIALES SAS</t>
  </si>
  <si>
    <t>MARROCAR S.A.S.</t>
  </si>
  <si>
    <t>ESTUDIO DE MODA SAS</t>
  </si>
  <si>
    <t>CASA FERRETERA S.A.SCOMERCIALIZACION DE INSUMOS DE FERRETERIA Y MAQUINARIA LIVIANAG4663 - Comercio al por mayor de materiales de construcción, artículos de ferretería, pinturas, productos de vidrio, equipo y materiales de fontanería y calefacción01. ANUAL1984-11-26ACTIVA08. SOCIEDAD POR ACCIONES SIMPLIFICADA SAS07. ACTIVIDAD ECONÓMICA DIFERENTE A LAS ANTERIORES</t>
  </si>
  <si>
    <t>DISTRIBUCION Y DECORACION S.A.S.</t>
  </si>
  <si>
    <t>EQUIELECT SAS</t>
  </si>
  <si>
    <t>ELMER SCHNEIDER-CASA ANDINA S.A.S</t>
  </si>
  <si>
    <t>DIVENCO SAS</t>
  </si>
  <si>
    <t>SOTO GARCIA &amp; COMPAÑIA S EN CS</t>
  </si>
  <si>
    <t>H UJUETA SAS</t>
  </si>
  <si>
    <t>INVERSIONES ESGUI SAS</t>
  </si>
  <si>
    <t>AGREGADOS&amp; TRANSPORTES LA ROCA S.A.S. EN REORGANIZACION</t>
  </si>
  <si>
    <t>TYP COMERCIALIZADORA LTDA</t>
  </si>
  <si>
    <t>SIVAL TRIPLEX S.A.S.</t>
  </si>
  <si>
    <t>JOSEF CONCRETES LTDA</t>
  </si>
  <si>
    <t>GRUPO EMPRESARIAL DAFER SAS</t>
  </si>
  <si>
    <t>I O COMPANY SAS</t>
  </si>
  <si>
    <t>TUVALREP SAS</t>
  </si>
  <si>
    <t>GSD SAS</t>
  </si>
  <si>
    <t>ELECTRICOS MURILLO INGENIERiA LIMITADA</t>
  </si>
  <si>
    <t>CUBIERTAS SAS EN REORGANIZACION</t>
  </si>
  <si>
    <t>INVERSIONES LA MEDIA NARANJA SAS</t>
  </si>
  <si>
    <t>DELTA GLOBAL SAS</t>
  </si>
  <si>
    <t>ELECTRICOS E ILUMINACION S.A.S.</t>
  </si>
  <si>
    <t>GEOPOLIMEROS SAS</t>
  </si>
  <si>
    <t>DISTRIBUCIONES ARAMA LTDA</t>
  </si>
  <si>
    <t>MAYORISTA DE MATERIALES S.A.S</t>
  </si>
  <si>
    <t>EL NOGAL MATERIALES DE CONSTRUCCION SA</t>
  </si>
  <si>
    <t>MERCAFACIL INDUSTRIAL S.A.S. EN PROCESO DE REORGANIZACIÓN</t>
  </si>
  <si>
    <t>AGREGADOS DEL OCCIDENTE DE RISARALDA SAS</t>
  </si>
  <si>
    <t>MOSAICO COLOMBIA SAS</t>
  </si>
  <si>
    <t>ALIANZA M&amp;G SA</t>
  </si>
  <si>
    <t>COVIAC SAS</t>
  </si>
  <si>
    <t>IMPORTADORA MHAFRE SAS</t>
  </si>
  <si>
    <t>SU DRYWALL SAS</t>
  </si>
  <si>
    <t>EXPANSION JL SAS</t>
  </si>
  <si>
    <t>IMPORTADORA FERREMAKROS LTDA</t>
  </si>
  <si>
    <t>FERRELECTRICOS DIEGO NOVOA SAS</t>
  </si>
  <si>
    <t>INVERSIONES MAMBO MODA SAS</t>
  </si>
  <si>
    <t>TECNOVALVULAS S.A.S</t>
  </si>
  <si>
    <t>INVERSIONES ZUBO SOCIEDAD ANONIMA</t>
  </si>
  <si>
    <t>ANDYGRI SAS</t>
  </si>
  <si>
    <t>PEPCOMERCIO S.A.S</t>
  </si>
  <si>
    <t>POLITI PRODUCTOS ARQUITECTONICOS SAS</t>
  </si>
  <si>
    <t xml:space="preserve">INVERSIONES CASAS Y CASAS S.A.S.  NES CASAS Y CASAS S.A.S.  INVERSIONES CASAS Y CASAS S.A.S.   INVERSIONES CASAS Y CASAS S.A.S.  INVERSIONES CASAS Y CASAS S.A.S.  </t>
  </si>
  <si>
    <t>GRUPO INNOVAR COLOMBIA SAS</t>
  </si>
  <si>
    <t>FENAJEDA SAS</t>
  </si>
  <si>
    <t>SUPROKOM SAS</t>
  </si>
  <si>
    <t>CI DISTRIBUCIONES SYE SAS</t>
  </si>
  <si>
    <t>COMERCIALIZADORA GOYJUL SAS</t>
  </si>
  <si>
    <t>HIERROS Y CEMENTOS EL LAGUITO SAS</t>
  </si>
  <si>
    <t>H3 SAS</t>
  </si>
  <si>
    <t>INVERNIX SAS</t>
  </si>
  <si>
    <t>INVERSIONES CAFÉ Y MODA SAS</t>
  </si>
  <si>
    <t>GRUPO MODA SUMA SAS</t>
  </si>
  <si>
    <t>FLOR´ES ELEGANCIA INTIMA SAS</t>
  </si>
  <si>
    <t>ECOGEOTEC S A S</t>
  </si>
  <si>
    <t>INTERNACIONAL DE ACABADOS</t>
  </si>
  <si>
    <t>COALUM SAS</t>
  </si>
  <si>
    <t>DISTRIAS SAS</t>
  </si>
  <si>
    <t>TUBODEGA PVC ACUEDUCTOS Y ALCANTARILLADOS SAS</t>
  </si>
  <si>
    <t>REVICOL SAS</t>
  </si>
  <si>
    <t>GASOCA SAS</t>
  </si>
  <si>
    <t>ELECTRICOSDAR SAS</t>
  </si>
  <si>
    <t>NEGOCIOS FAMILIARES INTEGRADOS SAS</t>
  </si>
  <si>
    <t>CHAPETT GROUP S.A.S</t>
  </si>
  <si>
    <t>APLIKA CONTROL CORROSION SAS</t>
  </si>
  <si>
    <t>TECNIYESO SAS</t>
  </si>
  <si>
    <t>SINTETICOS HASCAL SAS</t>
  </si>
  <si>
    <t>SOFICAM S.A.S.</t>
  </si>
  <si>
    <t>INVERSIONES MACARENA MODA SAS</t>
  </si>
  <si>
    <t>FIRENZECORP</t>
  </si>
  <si>
    <t>IMPORTILES SAS</t>
  </si>
  <si>
    <t>DISTRIBUIDORES INDUSTRIALES Y PETROLEROS DE COLOMBIA SAS</t>
  </si>
  <si>
    <t>VITRIFICADOS VILLAMIL SAS</t>
  </si>
  <si>
    <t>ARENAS Y TRITURADOS SAHARA SAS</t>
  </si>
  <si>
    <t>HIERROS DE OCCIDENTE FERRETERIA SAS</t>
  </si>
  <si>
    <t>INVERSIONES GAFE SAS</t>
  </si>
  <si>
    <t>INNOVACIONES DE MODA SAS</t>
  </si>
  <si>
    <t>ET CAPS &amp; HATS SAS</t>
  </si>
  <si>
    <t>FERRETERIA GOYJUL SAS</t>
  </si>
  <si>
    <t>AGREGADOS Y CANTERAS DEL NORTE SAS</t>
  </si>
  <si>
    <t>UNION EUROPEA SAS</t>
  </si>
  <si>
    <t>MODA RAPSODIA COLOMBIA SA</t>
  </si>
  <si>
    <t>TUPERSA SAS</t>
  </si>
  <si>
    <t>IMPORTADORA DE ACCESORIOS Y HERRAJES ARQUITECTONICOS SAS</t>
  </si>
  <si>
    <t>JPMC COMERCIALIZA SAS</t>
  </si>
  <si>
    <t>GRUPO EMPRESARIAL MERCURY SAS</t>
  </si>
  <si>
    <t>SHERWIN WILLIAMS COLOMBIA SAS</t>
  </si>
  <si>
    <t>STECKERL ACEROS SAS</t>
  </si>
  <si>
    <t>900507831</t>
  </si>
  <si>
    <t>SOLUCIONES Y FERRETERIA CUELLAR SAS</t>
  </si>
  <si>
    <t>DECADA 10 EN TODO SAS</t>
  </si>
  <si>
    <t>DULCE MENTA SAS</t>
  </si>
  <si>
    <t>DANOSA ANDINA SAS</t>
  </si>
  <si>
    <t>GRAN ALMACEN PRINCIPE SAS</t>
  </si>
  <si>
    <t>GRUPO RAMIREZ Y MORA SAS</t>
  </si>
  <si>
    <t>DG INVERSIONES S.A.S.</t>
  </si>
  <si>
    <t>BOTELLOS Y CORREDOR SAS</t>
  </si>
  <si>
    <t>INVERSIONES SURTITODO SAS</t>
  </si>
  <si>
    <t>CAPRIS COLOMBIA SAS</t>
  </si>
  <si>
    <t>ALIANZA ESTRENO SAS</t>
  </si>
  <si>
    <t>ALIANZA MAS SAS</t>
  </si>
  <si>
    <t>ANDINA DE MATERIALES SAS</t>
  </si>
  <si>
    <t>ALIANZA MABLE SAS</t>
  </si>
  <si>
    <t>ORGANIZACION MALU MODA SAS</t>
  </si>
  <si>
    <t>NUMAC S.A.S</t>
  </si>
  <si>
    <t>COLPERFILES SAS</t>
  </si>
  <si>
    <t>ROBLAN COLOMBIA SAS</t>
  </si>
  <si>
    <t>LANDA GROUP S.A.S.</t>
  </si>
  <si>
    <t>ELECTROGOMEZ A.G. S.A.S.</t>
  </si>
  <si>
    <t>GRUPO DEFA SAS</t>
  </si>
  <si>
    <t>KNAUF DISTRIBUIDORA SAS</t>
  </si>
  <si>
    <t>GRUPO F C COMERCIALIZADORA SAS</t>
  </si>
  <si>
    <t>INNOVACIONES WIN SAS</t>
  </si>
  <si>
    <t>INVERSIONES Y LOGISTICA TITAN S.A.S.</t>
  </si>
  <si>
    <t>deposito habitare cucuta sas</t>
  </si>
  <si>
    <t>FC FAUCETS DE COLOMBIA SAS - EN REORGANIZACION</t>
  </si>
  <si>
    <t>H&amp;M HENNES &amp; MAURITZ COLOMBIA SAS</t>
  </si>
  <si>
    <t>UYUSA COLOMBIA SAS</t>
  </si>
  <si>
    <t>9524 COLOMBIA SAS</t>
  </si>
  <si>
    <t>NORTE MATERIALES S.A.S</t>
  </si>
  <si>
    <t>VYM MADERAS DE COLOMBIA SAA</t>
  </si>
  <si>
    <t>MUNDO BAGS SAS</t>
  </si>
  <si>
    <t>FERREACEROS DEL CAFE SAS</t>
  </si>
  <si>
    <t>SAFELA GROUP SAS</t>
  </si>
  <si>
    <t>GEOSUPPLY SOLUCIONES AMBIENTALES SAS</t>
  </si>
  <si>
    <t>GLOBAL MORATOS SAS</t>
  </si>
  <si>
    <t>FERREANDINA S.A.S ZOMAC</t>
  </si>
  <si>
    <t>HABITAR IMPORTACIONES SAS</t>
  </si>
  <si>
    <t>IMPTEK COLOMBIA SAS</t>
  </si>
  <si>
    <t>ZUME MAS S.A.S</t>
  </si>
  <si>
    <t>COMERCIALIZADORA DE CONFECCIONES SAS</t>
  </si>
  <si>
    <t>AGREGADOS NVP SAS</t>
  </si>
  <si>
    <t>COMERCIALIZADORA MAGOTEX SAS</t>
  </si>
  <si>
    <t>FERRESANTANA ES LA SOLUCION SAS</t>
  </si>
  <si>
    <t>SUPLIMODA SAS</t>
  </si>
  <si>
    <t>M&amp;V SOLUCIONES SAS</t>
  </si>
  <si>
    <t>EL ADOBAZO SAS</t>
  </si>
  <si>
    <t>ORGANC BAOBAB SAS</t>
  </si>
  <si>
    <t>DISTRIBUCIONES ELECTRICAS AC SAS</t>
  </si>
  <si>
    <t>ELECTROFER ENERGIA SAS</t>
  </si>
  <si>
    <t>ALUMINIOS Y VIDRIOS AC SAS</t>
  </si>
  <si>
    <t>LA QUIMICA DEL COLOR SAS</t>
  </si>
  <si>
    <t>EL SURTIDOR BG SAS</t>
  </si>
  <si>
    <t>INVERSIONES JYMO SAS</t>
  </si>
  <si>
    <t>ICOPEL SAS EN REORGANIZACION</t>
  </si>
  <si>
    <t>G4669 - Comercio al por mayor de otros productos n.c.p.</t>
  </si>
  <si>
    <t>VIROMAD LTDA</t>
  </si>
  <si>
    <t>CURVILCO DEL ORIENTE SAS</t>
  </si>
  <si>
    <t>GCP COLOMBIA SA</t>
  </si>
  <si>
    <t>Industrias Cardiomed SAS</t>
  </si>
  <si>
    <t>REFRIMAYOR SAS</t>
  </si>
  <si>
    <t>DYNAMIC MERCHANDISING SAS</t>
  </si>
  <si>
    <t>SOCIEDAD DE COMERCIALIZACION INTERNACIONAL THE BEST EMERALDS S. A.</t>
  </si>
  <si>
    <t>DANFOSS S.A.S</t>
  </si>
  <si>
    <t>ANDINA DE TECNOLOGÍAS S.A.S.</t>
  </si>
  <si>
    <t>FRAGAROMA SAS</t>
  </si>
  <si>
    <t>SENOMATIC SAS</t>
  </si>
  <si>
    <t>CLEAN AIR PRODUCTS SAS</t>
  </si>
  <si>
    <t>PROELECTRICO RESPRESENTACIONES S A</t>
  </si>
  <si>
    <t>ADH PAPELES ADHESIVOS SAS</t>
  </si>
  <si>
    <t>CANARIAM S.A.S</t>
  </si>
  <si>
    <t>FEXTON SAS</t>
  </si>
  <si>
    <t>COLNOTEX SAS</t>
  </si>
  <si>
    <t>SEALED AIR COLOMBIA LTDA</t>
  </si>
  <si>
    <t>Coca-Cola Bebidas de Colombia</t>
  </si>
  <si>
    <t>IMPORTACIONES Y REPRESENTACIONES INDUSTRIALES DE COLOMBIA SAS</t>
  </si>
  <si>
    <t>LABTRONICS SAS</t>
  </si>
  <si>
    <t>MERCALAB SAS</t>
  </si>
  <si>
    <t>GREEN SHINE CI SAS</t>
  </si>
  <si>
    <t>RYS ROLLOS Y SOBRES SAS</t>
  </si>
  <si>
    <t>INDUSTRIAS MARTINICAS EL VAQUERO SAS</t>
  </si>
  <si>
    <t>PROVEEDORES DE FUNDICION MARORA LIMITADA</t>
  </si>
  <si>
    <t>CMX Y/O MEDISUMA LTDA</t>
  </si>
  <si>
    <t>BOTON PROMO SAS</t>
  </si>
  <si>
    <t>Latin Pack SAS</t>
  </si>
  <si>
    <t>DISELEC &amp; DISEÑOS SAS</t>
  </si>
  <si>
    <t>DISPEL SAS</t>
  </si>
  <si>
    <t>WEST PHARMACEUTICAL SERVICES COLOMBIA SAS</t>
  </si>
  <si>
    <t>3M COLOMBIA S.A.</t>
  </si>
  <si>
    <t>ALPAPEL SAS</t>
  </si>
  <si>
    <t>RIELCO SAS</t>
  </si>
  <si>
    <t>PROIMPO SAS</t>
  </si>
  <si>
    <t>AVERY DENNISON COLOMBIA SAS</t>
  </si>
  <si>
    <t>CASDIQUIM S.A.S.</t>
  </si>
  <si>
    <t>Tactico Group S.A.S.</t>
  </si>
  <si>
    <t>PROMED QUIRURGICOS  EU</t>
  </si>
  <si>
    <t>DIEMPAQUES SAS</t>
  </si>
  <si>
    <t>COMERCIALIZADORA FIJACION EXTERNA SAS COMERCIALIZADORA FIJACION EXTERNA SAS</t>
  </si>
  <si>
    <t>REPRESENTACIONES DURAN RUEDA SAS</t>
  </si>
  <si>
    <t>TITADSU SAS</t>
  </si>
  <si>
    <t>WARCO SAS</t>
  </si>
  <si>
    <t>INDUSTRIS LH SAS</t>
  </si>
  <si>
    <t>CUBERPLAST SAS</t>
  </si>
  <si>
    <t>HARMONY FLAVOURS &amp; INGREDIENTS LIMITADA</t>
  </si>
  <si>
    <t>CODIPACSA SA</t>
  </si>
  <si>
    <t>MEDITEK ERGO SAS</t>
  </si>
  <si>
    <t>GLOBAL INDUSTRIAL SAS</t>
  </si>
  <si>
    <t>BIOSCIENCES SAS</t>
  </si>
  <si>
    <t>HIGIELECTRONIX SAS</t>
  </si>
  <si>
    <t>DAGALCO SAS</t>
  </si>
  <si>
    <t>JP MERCADEO SAS</t>
  </si>
  <si>
    <t>CORPORACION MULTIVAC S.A.S</t>
  </si>
  <si>
    <t>REMY &amp; STUTE COLOMBIA SAS</t>
  </si>
  <si>
    <t>KAMU SAS</t>
  </si>
  <si>
    <t>CHEMICAL SERVICES SAS</t>
  </si>
  <si>
    <t>PRINT PRESS S.A.S</t>
  </si>
  <si>
    <t>OSTEOMEDICAL SAS EN REORGANIZACION</t>
  </si>
  <si>
    <t>DISTRIBUCIONES OFIR SAS</t>
  </si>
  <si>
    <t>ASD SEMILLAS Y CLONES S A SUCURSAL COLOMBIA</t>
  </si>
  <si>
    <t>MERCADEO SIN LIMITES S.A.S.</t>
  </si>
  <si>
    <t>JAB REPRESENTACIONES INDUCHEMICAL S A S</t>
  </si>
  <si>
    <t>TECNOLOGIA DE METERIALES COLOMBIA SAS</t>
  </si>
  <si>
    <t>Regalos y Mensajes SAS</t>
  </si>
  <si>
    <t>ORANGE FISH COLOMBIA SAS</t>
  </si>
  <si>
    <t>STONE DESIGN SAS</t>
  </si>
  <si>
    <t>GRUPO DISTRICOMER SAS</t>
  </si>
  <si>
    <t>BELIA TRADING COLOMBIA SAS</t>
  </si>
  <si>
    <t>AKRAW QUIMICA SAS</t>
  </si>
  <si>
    <t>SOLUCIONES ALIMENTARIAS INDUSTRIALES INTEGRA SAS</t>
  </si>
  <si>
    <t>AIRBUS COLOMBIA SAS</t>
  </si>
  <si>
    <t>INTEGRAFLEX SAS</t>
  </si>
  <si>
    <t>SIEMENS HEALTHCARE S.A.S.</t>
  </si>
  <si>
    <t>Gowan Colombia SAS</t>
  </si>
  <si>
    <t>PROMOCIONALES DE OCCIDENTE SUCURSAL</t>
  </si>
  <si>
    <t>SIGNODE COLOMBIA S.A.S.</t>
  </si>
  <si>
    <t>DISTRIBUIDORA 2D SAS</t>
  </si>
  <si>
    <t>BOLTEN SPRAY SAS</t>
  </si>
  <si>
    <t>Mademax SAS</t>
  </si>
  <si>
    <t>DISTRIBUIDORA DE EMPAQUES DEL CAUCA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</si>
</sst>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#,##0.0"/>
    <numFmt numFmtId="167" formatCode="&quot;$&quot;#,##0"/>
    <numFmt numFmtId="168" formatCode="_-* #,##0\ _€_-;\-* #,##0\ _€_-;_-* &quot;-&quot;??\ _€_-;_-@_-"/>
    <numFmt numFmtId="169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6" fontId="3" fillId="0" borderId="4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10" fontId="2" fillId="0" borderId="4" xfId="2" applyNumberFormat="1" applyFont="1" applyBorder="1" applyAlignment="1">
      <alignment horizontal="center" vertical="center"/>
    </xf>
    <xf numFmtId="10" fontId="2" fillId="0" borderId="0" xfId="2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166" fontId="5" fillId="2" borderId="0" xfId="0" applyNumberFormat="1" applyFont="1" applyFill="1" applyAlignment="1">
      <alignment horizontal="center" vertical="center" wrapText="1"/>
    </xf>
    <xf numFmtId="166" fontId="6" fillId="0" borderId="0" xfId="3" applyNumberFormat="1" applyFont="1" applyFill="1" applyBorder="1" applyAlignment="1">
      <alignment horizontal="center"/>
    </xf>
    <xf numFmtId="0" fontId="6" fillId="0" borderId="0" xfId="0" applyFont="1"/>
    <xf numFmtId="0" fontId="5" fillId="0" borderId="0" xfId="0" applyFont="1"/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7" fontId="6" fillId="0" borderId="0" xfId="0" applyNumberFormat="1" applyFont="1"/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167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10" fontId="2" fillId="0" borderId="9" xfId="2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10" fontId="3" fillId="0" borderId="5" xfId="2" applyNumberFormat="1" applyFont="1" applyBorder="1" applyAlignment="1">
      <alignment horizontal="center" vertical="center"/>
    </xf>
    <xf numFmtId="10" fontId="2" fillId="0" borderId="5" xfId="2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168" fontId="6" fillId="0" borderId="0" xfId="1" applyNumberFormat="1" applyFont="1"/>
    <xf numFmtId="0" fontId="5" fillId="0" borderId="10" xfId="0" applyFont="1" applyBorder="1" applyAlignment="1">
      <alignment vertical="center"/>
    </xf>
    <xf numFmtId="9" fontId="2" fillId="0" borderId="11" xfId="2" applyFont="1" applyFill="1" applyBorder="1" applyAlignment="1">
      <alignment horizontal="center" vertical="center" wrapText="1"/>
    </xf>
    <xf numFmtId="9" fontId="2" fillId="0" borderId="12" xfId="2" applyFont="1" applyFill="1" applyBorder="1" applyAlignment="1">
      <alignment horizontal="center" vertical="center" wrapText="1"/>
    </xf>
    <xf numFmtId="169" fontId="6" fillId="0" borderId="0" xfId="3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 wrapText="1"/>
    </xf>
    <xf numFmtId="9" fontId="6" fillId="0" borderId="0" xfId="2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69" fontId="7" fillId="0" borderId="4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7" fillId="0" borderId="4" xfId="2" applyFont="1" applyBorder="1" applyAlignment="1">
      <alignment horizontal="center" vertical="center"/>
    </xf>
    <xf numFmtId="0" fontId="8" fillId="0" borderId="0" xfId="0" applyFont="1"/>
    <xf numFmtId="166" fontId="2" fillId="4" borderId="4" xfId="0" applyNumberFormat="1" applyFont="1" applyFill="1" applyBorder="1" applyAlignment="1">
      <alignment horizontal="center" vertical="center" wrapText="1"/>
    </xf>
    <xf numFmtId="9" fontId="2" fillId="0" borderId="13" xfId="2" applyFont="1" applyFill="1" applyBorder="1" applyAlignment="1">
      <alignment horizontal="center" vertical="center" wrapText="1"/>
    </xf>
    <xf numFmtId="3" fontId="6" fillId="0" borderId="0" xfId="0" applyNumberFormat="1" applyFont="1"/>
    <xf numFmtId="166" fontId="5" fillId="2" borderId="8" xfId="0" applyNumberFormat="1" applyFont="1" applyFill="1" applyBorder="1" applyAlignment="1">
      <alignment horizontal="center" vertical="center" wrapText="1"/>
    </xf>
    <xf numFmtId="166" fontId="5" fillId="2" borderId="14" xfId="0" applyNumberFormat="1" applyFont="1" applyFill="1" applyBorder="1" applyAlignment="1">
      <alignment horizontal="center" vertical="center" wrapText="1"/>
    </xf>
    <xf numFmtId="166" fontId="6" fillId="0" borderId="15" xfId="1" applyNumberFormat="1" applyFont="1" applyFill="1" applyBorder="1" applyAlignment="1">
      <alignment horizontal="center"/>
    </xf>
    <xf numFmtId="3" fontId="6" fillId="0" borderId="15" xfId="1" applyNumberFormat="1" applyFont="1" applyFill="1" applyBorder="1" applyAlignment="1"/>
    <xf numFmtId="9" fontId="6" fillId="0" borderId="15" xfId="2" applyFont="1" applyFill="1" applyBorder="1" applyAlignment="1">
      <alignment horizontal="center"/>
    </xf>
    <xf numFmtId="3" fontId="0" fillId="0" borderId="15" xfId="0" applyNumberFormat="1" applyBorder="1"/>
    <xf numFmtId="4" fontId="6" fillId="0" borderId="15" xfId="1" applyNumberFormat="1" applyFont="1" applyFill="1" applyBorder="1" applyAlignment="1">
      <alignment horizontal="center"/>
    </xf>
    <xf numFmtId="44" fontId="6" fillId="0" borderId="0" xfId="4" applyFont="1"/>
    <xf numFmtId="44" fontId="6" fillId="0" borderId="0" xfId="0" applyNumberFormat="1" applyFont="1"/>
    <xf numFmtId="0" fontId="5" fillId="4" borderId="1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4" borderId="0" xfId="0" applyFont="1" applyFill="1" applyAlignment="1">
      <alignment horizontal="left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/>
    </xf>
    <xf numFmtId="0" fontId="5" fillId="4" borderId="0" xfId="0" applyFont="1" applyFill="1" applyAlignment="1">
      <alignment horizontal="left" wrapText="1"/>
    </xf>
    <xf numFmtId="166" fontId="2" fillId="4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wrapText="1"/>
    </xf>
    <xf numFmtId="0" fontId="6" fillId="3" borderId="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</cellXfs>
  <cellStyles count="5">
    <cellStyle name="Millares" xfId="1" builtinId="3"/>
    <cellStyle name="Millares 2" xfId="3" xr:uid="{00000000-0005-0000-0000-000001000000}"/>
    <cellStyle name="Moneda" xfId="4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206690089853712"/>
          <c:y val="0.20379358437935846"/>
          <c:w val="0.86796638394752967"/>
          <c:h val="0.6500515050681426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262C-4EFC-BD34-BC379134E8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262C-4EFC-BD34-BC379134E8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262C-4EFC-BD34-BC379134E88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DC0427B-1A38-45AE-B347-DB9B3A5E5BA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63A5BA7-D10D-4463-B46F-A56993452BE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262C-4EFC-BD34-BC379134E88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0679E6D-0653-40D7-88F1-B4B59051418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F62218D-0DC2-4455-A942-099489203C4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262C-4EFC-BD34-BC379134E88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25B18D5-16AC-4D0A-A158-0D22851B5D8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7717A8-5C87-47A0-943B-9570A2435D6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262C-4EFC-BD34-BC379134E88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E2D0D89-6858-4FAF-92A0-CCBDF30D871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68AFE18-9A09-445D-BA59-7AC42FC937B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262C-4EFC-BD34-BC379134E88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D7AA3A9-4A15-45E3-BB2D-E0B254CA237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75E9648-34D7-48C4-BE28-BE514326AC3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262C-4EFC-BD34-BC379134E8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'LOTE 1'!$B$340:$B$348</c15:sqref>
                  </c15:fullRef>
                </c:ext>
              </c:extLst>
              <c:f>'LOTE 1'!$B$341:$B$348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'LOTE 1'!$C$340:$C$348</c15:sqref>
                  </c15:fullRef>
                </c:ext>
              </c:extLst>
              <c:f>'LOTE 1'!$C$341:$C$348</c:f>
              <c:numCache>
                <c:formatCode>#,##0</c:formatCode>
                <c:ptCount val="8"/>
                <c:pt idx="0">
                  <c:v>0</c:v>
                </c:pt>
                <c:pt idx="1">
                  <c:v>145</c:v>
                </c:pt>
                <c:pt idx="2">
                  <c:v>136</c:v>
                </c:pt>
                <c:pt idx="3">
                  <c:v>20</c:v>
                </c:pt>
                <c:pt idx="4">
                  <c:v>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'LOTE 1'!$D$340:$D$348</c15:f>
                <c15:dlblRangeCache>
                  <c:ptCount val="9"/>
                  <c:pt idx="1">
                    <c:v>0,00%</c:v>
                  </c:pt>
                  <c:pt idx="2">
                    <c:v>46,93%</c:v>
                  </c:pt>
                  <c:pt idx="3">
                    <c:v>44,01%</c:v>
                  </c:pt>
                  <c:pt idx="4">
                    <c:v>6,47%</c:v>
                  </c:pt>
                  <c:pt idx="5">
                    <c:v>1,62%</c:v>
                  </c:pt>
                  <c:pt idx="6">
                    <c:v>0,32%</c:v>
                  </c:pt>
                  <c:pt idx="7">
                    <c:v>0,32%</c:v>
                  </c:pt>
                  <c:pt idx="8">
                    <c:v>0,32%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262C-4EFC-BD34-BC379134E88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29181648"/>
        <c:axId val="5291808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262C-4EFC-BD34-BC379134E88E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262C-4EFC-BD34-BC379134E88E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262C-4EFC-BD34-BC379134E88E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72FCD47A-EEA3-4517-8635-8BBBD8C2C21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C0FA9EE-EBC9-437E-B094-7A6E82E3F4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262C-4EFC-BD34-BC379134E88E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B58B2C82-1FDD-42E1-AE1F-89320179A31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2536A1D-7E79-4F44-ADD7-18DB995422A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262C-4EFC-BD34-BC379134E88E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9E06769F-DF65-4455-B935-86347068FD8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2037DBA-C807-4300-99FE-93B7FECD8B5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262C-4EFC-BD34-BC379134E88E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5A8AC269-D2AB-470C-9941-D6B0181B9AA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3C0C6AF2-C032-4150-8E10-818FC5260CA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262C-4EFC-BD34-BC379134E88E}"/>
                      </c:ext>
                    </c:extLst>
                  </c:dLbl>
                  <c:dLbl>
                    <c:idx val="7"/>
                    <c:tx>
                      <c:rich>
                        <a:bodyPr/>
                        <a:lstStyle/>
                        <a:p>
                          <a:fld id="{083A8C6C-E27D-45D0-BB01-B914CDDBF96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0D844CA-669C-4636-B5C8-74C3F7893F2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262C-4EFC-BD34-BC379134E88E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'LOTE 1'!$B$340:$B$348</c15:sqref>
                        </c15:fullRef>
                        <c15:formulaRef>
                          <c15:sqref>'LOTE 1'!$B$341:$B$348</c15:sqref>
                        </c15:formulaRef>
                      </c:ext>
                    </c:extLst>
                    <c:strCache>
                      <c:ptCount val="8"/>
                      <c:pt idx="0">
                        <c:v>0 - 1,1</c:v>
                      </c:pt>
                      <c:pt idx="1">
                        <c:v>1,2 - 2</c:v>
                      </c:pt>
                      <c:pt idx="2">
                        <c:v>2,1 - 5</c:v>
                      </c:pt>
                      <c:pt idx="3">
                        <c:v>5,1 - 10</c:v>
                      </c:pt>
                      <c:pt idx="4">
                        <c:v>10,1 - 20</c:v>
                      </c:pt>
                      <c:pt idx="5">
                        <c:v>20,1 - 30</c:v>
                      </c:pt>
                      <c:pt idx="6">
                        <c:v>30,1 - 50</c:v>
                      </c:pt>
                      <c:pt idx="7">
                        <c:v>&gt; 50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'LOTE 1'!$D$340:$D$348</c15:sqref>
                        </c15:fullRef>
                        <c15:formulaRef>
                          <c15:sqref>'LOTE 1'!$D$341:$D$348</c15:sqref>
                        </c15:formulaRef>
                      </c:ext>
                    </c:extLst>
                    <c:numCache>
                      <c:formatCode>0.00%</c:formatCode>
                      <c:ptCount val="8"/>
                      <c:pt idx="0">
                        <c:v>0</c:v>
                      </c:pt>
                      <c:pt idx="1">
                        <c:v>0.46925566343042069</c:v>
                      </c:pt>
                      <c:pt idx="2">
                        <c:v>0.44012944983818769</c:v>
                      </c:pt>
                      <c:pt idx="3">
                        <c:v>6.4724919093851127E-2</c:v>
                      </c:pt>
                      <c:pt idx="4">
                        <c:v>1.6181229773462782E-2</c:v>
                      </c:pt>
                      <c:pt idx="5">
                        <c:v>3.2362459546925568E-3</c:v>
                      </c:pt>
                      <c:pt idx="6">
                        <c:v>3.2362459546925568E-3</c:v>
                      </c:pt>
                      <c:pt idx="7">
                        <c:v>3.2362459546925568E-3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'LOTE 1'!$D$341:$D$348</c15:f>
                      <c15:dlblRangeCache>
                        <c:ptCount val="8"/>
                        <c:pt idx="0">
                          <c:v>0,00%</c:v>
                        </c:pt>
                        <c:pt idx="1">
                          <c:v>46,93%</c:v>
                        </c:pt>
                        <c:pt idx="2">
                          <c:v>44,01%</c:v>
                        </c:pt>
                        <c:pt idx="3">
                          <c:v>6,47%</c:v>
                        </c:pt>
                        <c:pt idx="4">
                          <c:v>1,62%</c:v>
                        </c:pt>
                        <c:pt idx="5">
                          <c:v>0,32%</c:v>
                        </c:pt>
                        <c:pt idx="6">
                          <c:v>0,32%</c:v>
                        </c:pt>
                        <c:pt idx="7">
                          <c:v>0,32%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11-262C-4EFC-BD34-BC379134E88E}"/>
                  </c:ext>
                </c:extLst>
              </c15:ser>
            </c15:filteredBarSeries>
          </c:ext>
        </c:extLst>
      </c:barChart>
      <c:catAx>
        <c:axId val="529181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9180864"/>
        <c:crosses val="autoZero"/>
        <c:auto val="1"/>
        <c:lblAlgn val="ctr"/>
        <c:lblOffset val="100"/>
        <c:noMultiLvlLbl val="0"/>
      </c:catAx>
      <c:valAx>
        <c:axId val="529180864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9181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32F8CFE-4D6F-4809-9B61-3741E86E3A4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C4A6CF9-F930-4D7A-A81F-D1697F915AC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D768-4271-866D-BF61BF2EE0C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87EDE99-E3E2-4CBB-B187-DD1801F608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D71CF54-3F95-40CC-A1C3-4EE5EBEC954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D768-4271-866D-BF61BF2EE0C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70BBEAA-E88D-4C36-B275-BD9D4F869B5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1F11656-7195-47C2-9603-BDCC36FB07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768-4271-866D-BF61BF2EE0C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562EB07-B623-429B-BF77-B107E79661F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23B11B2-B196-4B9D-AAC3-B3785D38CA5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768-4271-866D-BF61BF2EE0C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B250E3E-DD2F-4218-9C77-F00D9FDF89D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75E9423-E15B-420E-BF94-803212F78FD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768-4271-866D-BF61BF2EE0C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B61B9A1-9F0A-433B-872A-B765BEE429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564202D-5114-4CF7-B19A-65BB296BE0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D768-4271-866D-BF61BF2EE0C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9F372116-331B-475E-91A9-4C0AF5E9D72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A56ACCB-749E-4FD4-91ED-117463A91E0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D768-4271-866D-BF61BF2EE0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'LOTE 1'!$B$366:$B$373</c15:sqref>
                  </c15:fullRef>
                </c:ext>
              </c:extLst>
              <c:f>'LOTE 1'!$B$367:$B$373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'LOTE 1'!$C$366:$C$373</c15:sqref>
                  </c15:fullRef>
                </c:ext>
              </c:extLst>
              <c:f>'LOTE 1'!$C$367:$C$373</c:f>
              <c:numCache>
                <c:formatCode>#,##0</c:formatCode>
                <c:ptCount val="7"/>
                <c:pt idx="0">
                  <c:v>9</c:v>
                </c:pt>
                <c:pt idx="1">
                  <c:v>30</c:v>
                </c:pt>
                <c:pt idx="2">
                  <c:v>58</c:v>
                </c:pt>
                <c:pt idx="3">
                  <c:v>81</c:v>
                </c:pt>
                <c:pt idx="4">
                  <c:v>84</c:v>
                </c:pt>
                <c:pt idx="5">
                  <c:v>35</c:v>
                </c:pt>
                <c:pt idx="6">
                  <c:v>12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'LOTE 1'!$D$366:$D$373</c15:f>
                <c15:dlblRangeCache>
                  <c:ptCount val="8"/>
                  <c:pt idx="1">
                    <c:v>2,91%</c:v>
                  </c:pt>
                  <c:pt idx="2">
                    <c:v>9,71%</c:v>
                  </c:pt>
                  <c:pt idx="3">
                    <c:v>18,77%</c:v>
                  </c:pt>
                  <c:pt idx="4">
                    <c:v>26,21%</c:v>
                  </c:pt>
                  <c:pt idx="5">
                    <c:v>27,18%</c:v>
                  </c:pt>
                  <c:pt idx="6">
                    <c:v>11,33%</c:v>
                  </c:pt>
                  <c:pt idx="7">
                    <c:v>3,88%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D768-4271-866D-BF61BF2EE0C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36171728"/>
        <c:axId val="53617329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D768-4271-866D-BF61BF2EE0C0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D768-4271-866D-BF61BF2EE0C0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CA0DEDD-65DE-44C2-8DC1-E56A90D16F5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415B5C7-4946-4F63-B722-31B38C8304B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D768-4271-866D-BF61BF2EE0C0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4985F-7C5F-4431-9B92-AF6B7B20CD5C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55CCB67-DE12-4168-8E4B-B6003015E50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D768-4271-866D-BF61BF2EE0C0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D768-4271-866D-BF61BF2EE0C0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D238AC6A-935B-4C0B-9B54-852B65EB3E8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6733E12-3F88-4435-9113-52328614783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D768-4271-866D-BF61BF2EE0C0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11B0BDDC-2068-40F7-B7CD-D61423BEAA6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1EB1C79-E0BF-4517-9D16-0D62AEC71B3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D768-4271-866D-BF61BF2EE0C0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'LOTE 1'!$B$366:$B$373</c15:sqref>
                        </c15:fullRef>
                        <c15:formulaRef>
                          <c15:sqref>'LOTE 1'!$B$367:$B$373</c15:sqref>
                        </c15:formulaRef>
                      </c:ext>
                    </c:extLst>
                    <c:strCache>
                      <c:ptCount val="7"/>
                      <c:pt idx="0">
                        <c:v>0 - 15%</c:v>
                      </c:pt>
                      <c:pt idx="1">
                        <c:v>15,1% - 30%</c:v>
                      </c:pt>
                      <c:pt idx="2">
                        <c:v>30,1% - 45%</c:v>
                      </c:pt>
                      <c:pt idx="3">
                        <c:v>45,1% - 60%</c:v>
                      </c:pt>
                      <c:pt idx="4">
                        <c:v>60,1% - 75%</c:v>
                      </c:pt>
                      <c:pt idx="5">
                        <c:v>75,1% - 90%</c:v>
                      </c:pt>
                      <c:pt idx="6">
                        <c:v>&gt; 90%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'LOTE 1'!$D$366:$D$373</c15:sqref>
                        </c15:fullRef>
                        <c15:formulaRef>
                          <c15:sqref>'LOTE 1'!$D$367:$D$373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2.9126213592233011E-2</c:v>
                      </c:pt>
                      <c:pt idx="1">
                        <c:v>9.7087378640776698E-2</c:v>
                      </c:pt>
                      <c:pt idx="2">
                        <c:v>0.18770226537216828</c:v>
                      </c:pt>
                      <c:pt idx="3">
                        <c:v>0.26213592233009708</c:v>
                      </c:pt>
                      <c:pt idx="4">
                        <c:v>0.27184466019417475</c:v>
                      </c:pt>
                      <c:pt idx="5">
                        <c:v>0.11326860841423948</c:v>
                      </c:pt>
                      <c:pt idx="6">
                        <c:v>3.8834951456310676E-2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'LOTE 1'!$D$366:$D$373</c15:f>
                      <c15:dlblRangeCache>
                        <c:ptCount val="8"/>
                        <c:pt idx="1">
                          <c:v>2,91%</c:v>
                        </c:pt>
                        <c:pt idx="2">
                          <c:v>9,71%</c:v>
                        </c:pt>
                        <c:pt idx="3">
                          <c:v>18,77%</c:v>
                        </c:pt>
                        <c:pt idx="4">
                          <c:v>26,21%</c:v>
                        </c:pt>
                        <c:pt idx="5">
                          <c:v>27,18%</c:v>
                        </c:pt>
                        <c:pt idx="6">
                          <c:v>11,33%</c:v>
                        </c:pt>
                        <c:pt idx="7">
                          <c:v>3,88%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F-D768-4271-866D-BF61BF2EE0C0}"/>
                  </c:ext>
                </c:extLst>
              </c15:ser>
            </c15:filteredBarSeries>
          </c:ext>
        </c:extLst>
      </c:barChart>
      <c:catAx>
        <c:axId val="536171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36173296"/>
        <c:crosses val="autoZero"/>
        <c:auto val="1"/>
        <c:lblAlgn val="ctr"/>
        <c:lblOffset val="100"/>
        <c:noMultiLvlLbl val="0"/>
      </c:catAx>
      <c:valAx>
        <c:axId val="53617329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36171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7185691987819794E-2"/>
          <c:y val="0.21979249003558357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680C39-CAA6-48F3-9546-32ADF87E32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EBDE6E-7EF4-4C2C-9E17-05D4BFA290B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5A6F-4CFF-8D5F-C41C3DC2375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6EA1D9-C801-4067-9474-461F713FCE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DE3EE2-518D-4BF8-A559-7061A372F8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5A6F-4CFF-8D5F-C41C3DC2375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97ED83-8484-4557-9540-46750340E05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CDE6CF-1F6E-4748-A3DC-280E82E83C0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5A6F-4CFF-8D5F-C41C3DC2375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BE21BE7-B649-47C5-AF12-287F7E00DE7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712F3D-6328-477A-8348-1E00F86763C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5A6F-4CFF-8D5F-C41C3DC2375C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5A6F-4CFF-8D5F-C41C3DC237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'LOTE 1'!$B$381:$B$387</c15:sqref>
                  </c15:fullRef>
                </c:ext>
              </c:extLst>
              <c:f>'LOTE 1'!$B$382:$B$386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'LOTE 1'!$C$381:$C$387</c15:sqref>
                  </c15:fullRef>
                </c:ext>
              </c:extLst>
              <c:f>'LOTE 1'!$C$382:$C$386</c:f>
              <c:numCache>
                <c:formatCode>#,##0</c:formatCode>
                <c:ptCount val="5"/>
                <c:pt idx="0">
                  <c:v>9</c:v>
                </c:pt>
                <c:pt idx="1">
                  <c:v>0</c:v>
                </c:pt>
                <c:pt idx="2">
                  <c:v>215</c:v>
                </c:pt>
                <c:pt idx="3">
                  <c:v>82</c:v>
                </c:pt>
                <c:pt idx="4">
                  <c:v>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'LOTE 1'!$D$381:$D$386</c15:f>
                <c15:dlblRangeCache>
                  <c:ptCount val="6"/>
                  <c:pt idx="1">
                    <c:v>2,91%</c:v>
                  </c:pt>
                  <c:pt idx="2">
                    <c:v>0,00%</c:v>
                  </c:pt>
                  <c:pt idx="3">
                    <c:v>69,58%</c:v>
                  </c:pt>
                  <c:pt idx="4">
                    <c:v>26,54%</c:v>
                  </c:pt>
                  <c:pt idx="5">
                    <c:v>0,97%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5A6F-4CFF-8D5F-C41C3DC237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73572032"/>
        <c:axId val="37376912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7AC646B4-B3F8-4564-ACC8-A82512C329B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6594584-038C-4C13-A4DF-3457D801C8C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6-5A6F-4CFF-8D5F-C41C3DC2375C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1BEE93F4-3FF3-4378-BB15-069AD66D184A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D5910C9-92A1-4D43-A1C7-958BF38D5B0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5A6F-4CFF-8D5F-C41C3DC2375C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6AC896A1-B7F0-4EAE-8E41-71935832C1A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CF61E08-9859-4B0B-A8CD-18F2CE359E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5A6F-4CFF-8D5F-C41C3DC2375C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BB27C575-385D-468A-BFDC-5F3C9580338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CCA0BC64-3449-4789-8416-E797C3C8EC1F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5A6F-4CFF-8D5F-C41C3DC2375C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C0B5B9BB-D288-47EA-B8FA-70BCEBC6A26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5A6F-4CFF-8D5F-C41C3DC2375C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'LOTE 1'!$B$381:$B$387</c15:sqref>
                        </c15:fullRef>
                        <c15:formulaRef>
                          <c15:sqref>'LOTE 1'!$B$382:$B$386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$10m</c:v>
                      </c:pt>
                      <c:pt idx="3">
                        <c:v>$10m - $100m</c:v>
                      </c:pt>
                      <c:pt idx="4">
                        <c:v>&gt; $100m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'LOTE 1'!$D$381:$D$387</c15:sqref>
                        </c15:fullRef>
                        <c15:formulaRef>
                          <c15:sqref>'LOTE 1'!$D$382:$D$386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2.9126213592233011E-2</c:v>
                      </c:pt>
                      <c:pt idx="1">
                        <c:v>0</c:v>
                      </c:pt>
                      <c:pt idx="2">
                        <c:v>0.69579288025889963</c:v>
                      </c:pt>
                      <c:pt idx="3">
                        <c:v>0.26537216828478966</c:v>
                      </c:pt>
                      <c:pt idx="4">
                        <c:v>9.7087378640776691E-3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'LOTE 1'!$D$382:$D$386</c15:f>
                      <c15:dlblRangeCache>
                        <c:ptCount val="5"/>
                        <c:pt idx="0">
                          <c:v>2,91%</c:v>
                        </c:pt>
                        <c:pt idx="1">
                          <c:v>0,00%</c:v>
                        </c:pt>
                        <c:pt idx="2">
                          <c:v>69,58%</c:v>
                        </c:pt>
                        <c:pt idx="3">
                          <c:v>26,54%</c:v>
                        </c:pt>
                        <c:pt idx="4">
                          <c:v>0,97%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B-5A6F-4CFF-8D5F-C41C3DC2375C}"/>
                  </c:ext>
                </c:extLst>
              </c15:ser>
            </c15:filteredBarSeries>
          </c:ext>
        </c:extLst>
      </c:barChart>
      <c:catAx>
        <c:axId val="373572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73769120"/>
        <c:crosses val="autoZero"/>
        <c:auto val="1"/>
        <c:lblAlgn val="ctr"/>
        <c:lblOffset val="100"/>
        <c:noMultiLvlLbl val="0"/>
      </c:catAx>
      <c:valAx>
        <c:axId val="373769120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73572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CAPITAL DE TRABAJO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'LOTE 1'!$B$355:$B$358</c15:sqref>
                  </c15:fullRef>
                </c:ext>
              </c:extLst>
              <c:f>'LOTE 1'!$B$356:$B$358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'LOTE 1'!$C$355:$C$358</c15:sqref>
                  </c15:fullRef>
                </c:ext>
              </c:extLst>
              <c:f>'LOTE 1'!$C$356:$C$358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26-4CBA-AD9A-352493BC539B}"/>
            </c:ext>
          </c:extLst>
        </c:ser>
        <c:ser>
          <c:idx val="3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'LOTE 1'!$B$355:$B$358</c15:sqref>
                  </c15:fullRef>
                </c:ext>
              </c:extLst>
              <c:f>'LOTE 1'!$B$356:$B$358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'LOTE 1'!$D$355:$D$358</c15:sqref>
                  </c15:fullRef>
                </c:ext>
              </c:extLst>
              <c:f>'LOTE 1'!$D$356:$D$358</c:f>
              <c:numCache>
                <c:formatCode>0.00%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26-4CBA-AD9A-352493BC539B}"/>
            </c:ext>
          </c:extLst>
        </c:ser>
        <c:ser>
          <c:idx val="0"/>
          <c:order val="2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ED26-4CBA-AD9A-352493BC539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ED26-4CBA-AD9A-352493BC53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'LOTE 1'!$B$356:$B$358</c15:sqref>
                  </c15:fullRef>
                </c:ext>
              </c:extLst>
              <c:f>'LOTE 1'!$B$357:$B$358</c:f>
              <c:strCache>
                <c:ptCount val="2"/>
                <c:pt idx="0">
                  <c:v> = 0</c:v>
                </c:pt>
                <c:pt idx="1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'LOTE 1'!$C$356:$C$358</c15:sqref>
                  </c15:fullRef>
                </c:ext>
              </c:extLst>
              <c:f>'LOTE 1'!$C$357:$C$358</c:f>
              <c:numCache>
                <c:formatCode>#,##0</c:formatCode>
                <c:ptCount val="2"/>
                <c:pt idx="0">
                  <c:v>0</c:v>
                </c:pt>
                <c:pt idx="1">
                  <c:v>309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'LOTE 1'!$D$355:$D$358</c15:f>
                <c15:dlblRangeCache>
                  <c:ptCount val="4"/>
                  <c:pt idx="1">
                    <c:v>0,00%</c:v>
                  </c:pt>
                  <c:pt idx="2">
                    <c:v>0,00%</c:v>
                  </c:pt>
                  <c:pt idx="3">
                    <c:v>100,00%</c:v>
                  </c:pt>
                </c15:dlblRangeCache>
              </c15:datalabelsRange>
            </c:ext>
            <c:ext xmlns:c15="http://schemas.microsoft.com/office/drawing/2012/chart" uri="{02D57815-91ED-43cb-92C2-25804820EDAC}">
              <c15:categoryFilterExceptions>
                <c15:categoryFilterException>
                  <c15:sqref>'LOTE 1'!$C$356</c15:sqref>
                  <c15:dLbl>
                    <c:idx val="-1"/>
                    <c:tx>
                      <c:rich>
                        <a:bodyPr/>
                        <a:lstStyle/>
                        <a:p>
                          <a:fld id="{281FA0B4-0E91-4A49-9391-78B8917BAA06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64171A1-3113-4F22-B401-E55BC09BA3A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0-60EA-4634-9FC9-EA93FB27185A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4-ED26-4CBA-AD9A-352493BC539B}"/>
            </c:ext>
          </c:extLst>
        </c:ser>
        <c:ser>
          <c:idx val="1"/>
          <c:order val="3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'LOTE 1'!$B$356:$B$358</c15:sqref>
                  </c15:fullRef>
                </c:ext>
              </c:extLst>
              <c:f>'LOTE 1'!$B$357:$B$358</c:f>
              <c:strCache>
                <c:ptCount val="2"/>
                <c:pt idx="0">
                  <c:v> = 0</c:v>
                </c:pt>
                <c:pt idx="1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'LOTE 1'!$D$356:$D$358</c15:sqref>
                  </c15:fullRef>
                </c:ext>
              </c:extLst>
              <c:f>'LOTE 1'!$D$357:$D$358</c:f>
              <c:numCache>
                <c:formatCode>0.00%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5-ED26-4CBA-AD9A-352493BC539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86234632"/>
        <c:axId val="386232280"/>
        <c:extLst/>
      </c:barChart>
      <c:catAx>
        <c:axId val="38623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2280"/>
        <c:crosses val="autoZero"/>
        <c:auto val="1"/>
        <c:lblAlgn val="ctr"/>
        <c:lblOffset val="100"/>
        <c:noMultiLvlLbl val="0"/>
      </c:catAx>
      <c:valAx>
        <c:axId val="386232280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463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62B3-4A37-9583-2AB07B5B242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62B3-4A37-9583-2AB07B5B242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EC0DEA2-55A2-4202-B552-6CB6613A2C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0C1829-6769-41C8-A222-872CAF4C6F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62B3-4A37-9583-2AB07B5B242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FE7B392-A659-4343-BADA-BCC0639508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C92F78-9512-4455-8051-B55847E3532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62B3-4A37-9583-2AB07B5B242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4BEF774-38C8-49E1-8E1D-286C41AFC66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F62288A-3B35-46C5-9E97-48EA01ECCC7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62B3-4A37-9583-2AB07B5B242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61D4111-F7AC-47C3-A872-C05E8E707C9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38A747C-18AC-4843-BACE-9290225D8E2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62B3-4A37-9583-2AB07B5B242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'LOTE 1'!$B$394:$B$401</c15:sqref>
                  </c15:fullRef>
                </c:ext>
              </c:extLst>
              <c:f>'LOTE 1'!$B$396:$B$401</c:f>
              <c:strCache>
                <c:ptCount val="6"/>
                <c:pt idx="0">
                  <c:v>&lt; 0</c:v>
                </c:pt>
                <c:pt idx="1">
                  <c:v>0 - 1</c:v>
                </c:pt>
                <c:pt idx="2">
                  <c:v>1,1 - 2</c:v>
                </c:pt>
                <c:pt idx="3">
                  <c:v>2,1 - 4</c:v>
                </c:pt>
                <c:pt idx="4">
                  <c:v>4,1 - 6</c:v>
                </c:pt>
                <c:pt idx="5">
                  <c:v>&gt; 6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'LOTE 1'!$C$394:$C$401</c15:sqref>
                  </c15:fullRef>
                </c:ext>
              </c:extLst>
              <c:f>'LOTE 1'!$C$396:$C$401</c:f>
              <c:numCache>
                <c:formatCode>#,##0</c:formatCode>
                <c:ptCount val="6"/>
                <c:pt idx="0">
                  <c:v>3</c:v>
                </c:pt>
                <c:pt idx="1">
                  <c:v>13</c:v>
                </c:pt>
                <c:pt idx="2">
                  <c:v>56</c:v>
                </c:pt>
                <c:pt idx="3">
                  <c:v>62</c:v>
                </c:pt>
                <c:pt idx="4">
                  <c:v>34</c:v>
                </c:pt>
                <c:pt idx="5">
                  <c:v>141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'LOTE 1'!$D$394:$D$401</c15:f>
                <c15:dlblRangeCache>
                  <c:ptCount val="8"/>
                  <c:pt idx="1">
                    <c:v>0,00%</c:v>
                  </c:pt>
                  <c:pt idx="2">
                    <c:v>0,97%</c:v>
                  </c:pt>
                  <c:pt idx="3">
                    <c:v>4,21%</c:v>
                  </c:pt>
                  <c:pt idx="4">
                    <c:v>18,12%</c:v>
                  </c:pt>
                  <c:pt idx="5">
                    <c:v>20,06%</c:v>
                  </c:pt>
                  <c:pt idx="6">
                    <c:v>11,00%</c:v>
                  </c:pt>
                  <c:pt idx="7">
                    <c:v>45,63%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62B3-4A37-9583-2AB07B5B242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86234240"/>
        <c:axId val="38623071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B1489D0E-B5DA-44EE-AA57-79A6C0BD393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A313FB5-8B67-4EE7-BD19-49CBD4BAD8BD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62B3-4A37-9583-2AB07B5B2426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D3213A3F-21F4-453A-BF76-9F2A701BA52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D342DED-B6BF-4888-BCE5-66114F47F16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62B3-4A37-9583-2AB07B5B2426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57B99DCF-5A09-4501-A98F-2293D317A84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85D30B2-333B-40EF-A201-8F0B0F1F1DD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62B3-4A37-9583-2AB07B5B2426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50BDB722-EDED-4662-8273-1D3895F7843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82A1DD6-4B37-4760-8B92-53EB36FCEFF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62B3-4A37-9583-2AB07B5B2426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6113D7B5-7824-4C51-89E3-7698730BD430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61E1118-55EE-488A-9F9E-26FD37A4A94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62B3-4A37-9583-2AB07B5B2426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456B2BB1-6095-4A49-981D-84FE09E9F1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63C0E69-5A4D-489A-9C93-D4869D9A094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62B3-4A37-9583-2AB07B5B2426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'LOTE 1'!$B$394:$B$401</c15:sqref>
                        </c15:fullRef>
                        <c15:formulaRef>
                          <c15:sqref>'LOTE 1'!$B$396:$B$401</c15:sqref>
                        </c15:formulaRef>
                      </c:ext>
                    </c:extLst>
                    <c:strCache>
                      <c:ptCount val="6"/>
                      <c:pt idx="0">
                        <c:v>&lt; 0</c:v>
                      </c:pt>
                      <c:pt idx="1">
                        <c:v>0 - 1</c:v>
                      </c:pt>
                      <c:pt idx="2">
                        <c:v>1,1 - 2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&gt; 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'LOTE 1'!$D$394:$D$401</c15:sqref>
                        </c15:fullRef>
                        <c15:formulaRef>
                          <c15:sqref>'LOTE 1'!$D$396:$D$401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9.7087378640776691E-3</c:v>
                      </c:pt>
                      <c:pt idx="1">
                        <c:v>4.2071197411003236E-2</c:v>
                      </c:pt>
                      <c:pt idx="2">
                        <c:v>0.18122977346278318</c:v>
                      </c:pt>
                      <c:pt idx="3">
                        <c:v>0.20064724919093851</c:v>
                      </c:pt>
                      <c:pt idx="4">
                        <c:v>0.11003236245954692</c:v>
                      </c:pt>
                      <c:pt idx="5">
                        <c:v>0.4563106796116505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'LOTE 1'!$D$394:$D$401</c15:f>
                      <c15:dlblRangeCache>
                        <c:ptCount val="8"/>
                        <c:pt idx="1">
                          <c:v>0,00%</c:v>
                        </c:pt>
                        <c:pt idx="2">
                          <c:v>0,97%</c:v>
                        </c:pt>
                        <c:pt idx="3">
                          <c:v>4,21%</c:v>
                        </c:pt>
                        <c:pt idx="4">
                          <c:v>18,12%</c:v>
                        </c:pt>
                        <c:pt idx="5">
                          <c:v>20,06%</c:v>
                        </c:pt>
                        <c:pt idx="6">
                          <c:v>11,00%</c:v>
                        </c:pt>
                        <c:pt idx="7">
                          <c:v>45,63%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D-62B3-4A37-9583-2AB07B5B2426}"/>
                  </c:ext>
                </c:extLst>
              </c15:ser>
            </c15:filteredBarSeries>
          </c:ext>
        </c:extLst>
      </c:barChart>
      <c:catAx>
        <c:axId val="386234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0712"/>
        <c:crosses val="autoZero"/>
        <c:auto val="1"/>
        <c:lblAlgn val="ctr"/>
        <c:lblOffset val="100"/>
        <c:noMultiLvlLbl val="0"/>
      </c:catAx>
      <c:valAx>
        <c:axId val="386230712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4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RENTABILIDAD SOBRE</a:t>
            </a:r>
            <a:r>
              <a:rPr lang="es-CO" b="1" baseline="0"/>
              <a:t> ACTIVOS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426451410554813"/>
          <c:y val="0.16648508430609602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A85A-409A-811B-8680E9E2070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85A-409A-811B-8680E9E2070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A85A-409A-811B-8680E9E2070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8ACAE4A-5608-4A77-AEEF-29D780DC4F2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560BDC-8336-432A-ACAD-8B3B82504E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85A-409A-811B-8680E9E2070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CD4EE4-CBAD-4DA4-9A0A-1556FB9EFD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1FC2921-3FE2-4E7E-90EE-435FC2B3B6D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85A-409A-811B-8680E9E2070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EF326BC-D108-48B8-9254-43524C7BAD8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1836E51-C8CE-453E-A49A-B7D5FDE15DC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85A-409A-811B-8680E9E2070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6E0AEFD-5EA4-4CE5-9E1E-1EA669ACED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3FA302D-7552-4A21-B13C-B485FC64DEB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85A-409A-811B-8680E9E2070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'LOTE 1'!$B$408:$B$415</c15:sqref>
                  </c15:fullRef>
                </c:ext>
              </c:extLst>
              <c:f>'LOTE 1'!$B$409:$B$415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2,1 - 3</c:v>
                </c:pt>
                <c:pt idx="5">
                  <c:v>3,1 - 4</c:v>
                </c:pt>
                <c:pt idx="6">
                  <c:v>&gt; 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'LOTE 1'!$C$408:$C$415</c15:sqref>
                  </c15:fullRef>
                </c:ext>
              </c:extLst>
              <c:f>'LOTE 1'!$C$409:$C$415</c:f>
              <c:numCache>
                <c:formatCode>#,##0</c:formatCode>
                <c:ptCount val="7"/>
                <c:pt idx="0">
                  <c:v>9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296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'LOTE 1'!$D$408:$D$415</c15:f>
                <c15:dlblRangeCache>
                  <c:ptCount val="8"/>
                  <c:pt idx="1">
                    <c:v>2,91%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0,32%</c:v>
                  </c:pt>
                  <c:pt idx="5">
                    <c:v>0,32%</c:v>
                  </c:pt>
                  <c:pt idx="6">
                    <c:v>0,65%</c:v>
                  </c:pt>
                  <c:pt idx="7">
                    <c:v>95,79%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A85A-409A-811B-8680E9E2070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86228752"/>
        <c:axId val="3862330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'LOTE 1'!$B$408:$B$415</c15:sqref>
                        </c15:fullRef>
                        <c15:formulaRef>
                          <c15:sqref>'LOTE 1'!$B$409:$B$415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2,1 - 3</c:v>
                      </c:pt>
                      <c:pt idx="5">
                        <c:v>3,1 - 4</c:v>
                      </c:pt>
                      <c:pt idx="6">
                        <c:v>&gt; 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'LOTE 1'!$D$408:$D$415</c15:sqref>
                        </c15:fullRef>
                        <c15:formulaRef>
                          <c15:sqref>'LOTE 1'!$D$409:$D$415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2.9126213592233011E-2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3.2362459546925568E-3</c:v>
                      </c:pt>
                      <c:pt idx="4">
                        <c:v>3.2362459546925568E-3</c:v>
                      </c:pt>
                      <c:pt idx="5">
                        <c:v>6.4724919093851136E-3</c:v>
                      </c:pt>
                      <c:pt idx="6">
                        <c:v>0.95792880258899671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A85A-409A-811B-8680E9E20708}"/>
                  </c:ext>
                </c:extLst>
              </c15:ser>
            </c15:filteredBarSeries>
          </c:ext>
        </c:extLst>
      </c:barChart>
      <c:catAx>
        <c:axId val="386228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3064"/>
        <c:crosses val="autoZero"/>
        <c:auto val="1"/>
        <c:lblAlgn val="ctr"/>
        <c:lblOffset val="100"/>
        <c:noMultiLvlLbl val="0"/>
      </c:catAx>
      <c:valAx>
        <c:axId val="386233064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28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B3E3-4A9C-B678-20BEE47F192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B3E3-4A9C-B678-20BEE47F192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AB6B4E-DF19-41D1-8FAC-F39EDADAB1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393C9E1-A8AF-42FB-842B-0EEBD7DF00B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B3E3-4A9C-B678-20BEE47F192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E2A3AAC-E9EB-4CE9-9B77-B15961A096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E494B4-F675-4B8B-B6BC-C95AA5C74EA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3E3-4A9C-B678-20BEE47F192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3E3-4A9C-B678-20BEE47F192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23B79A9-55F5-4939-80B3-5D105DD8B46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A8669BC-BD66-4FD8-B6A6-E1CA80BE439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B3E3-4A9C-B678-20BEE47F192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BFB8E65-DBB4-4505-9DF5-A75DE3D6A24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31DF87-0773-432F-815A-5EA5FA3E582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B3E3-4A9C-B678-20BEE47F19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'LOTE 1'!$B$422:$B$429</c15:sqref>
                  </c15:fullRef>
                </c:ext>
              </c:extLst>
              <c:f>'LOTE 1'!$B$423:$B$429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</c:v>
                </c:pt>
                <c:pt idx="3">
                  <c:v>2,1 - 4</c:v>
                </c:pt>
                <c:pt idx="4">
                  <c:v>4,1 - 6</c:v>
                </c:pt>
                <c:pt idx="5">
                  <c:v>6,1 - 8</c:v>
                </c:pt>
                <c:pt idx="6">
                  <c:v>&gt; 8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'LOTE 1'!$C$422:$C$429</c15:sqref>
                  </c15:fullRef>
                </c:ext>
              </c:extLst>
              <c:f>'LOTE 1'!$C$423:$C$429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309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'LOTE 1'!$D$422:$D$429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0,00%</c:v>
                  </c:pt>
                  <c:pt idx="5">
                    <c:v>0,00%</c:v>
                  </c:pt>
                  <c:pt idx="6">
                    <c:v>0,00%</c:v>
                  </c:pt>
                  <c:pt idx="7">
                    <c:v>100,00%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B3E3-4A9C-B678-20BEE47F192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86235024"/>
        <c:axId val="38623267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'LOTE 1'!$B$422:$B$429</c15:sqref>
                        </c15:fullRef>
                        <c15:formulaRef>
                          <c15:sqref>'LOTE 1'!$B$423:$B$429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6,1 - 8</c:v>
                      </c:pt>
                      <c:pt idx="6">
                        <c:v>&gt; 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'LOTE 1'!$D$422:$D$429</c15:sqref>
                        </c15:fullRef>
                        <c15:formulaRef>
                          <c15:sqref>'LOTE 1'!$D$423:$D$429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B3E3-4A9C-B678-20BEE47F1924}"/>
                  </c:ext>
                </c:extLst>
              </c15:ser>
            </c15:filteredBarSeries>
          </c:ext>
        </c:extLst>
      </c:barChart>
      <c:catAx>
        <c:axId val="386235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2672"/>
        <c:crosses val="autoZero"/>
        <c:auto val="1"/>
        <c:lblAlgn val="ctr"/>
        <c:lblOffset val="100"/>
        <c:noMultiLvlLbl val="0"/>
      </c:catAx>
      <c:valAx>
        <c:axId val="386232672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5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409575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5E22816F-006A-4E36-87CE-4715A2139EE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38099</xdr:colOff>
      <xdr:row>336</xdr:row>
      <xdr:rowOff>152399</xdr:rowOff>
    </xdr:from>
    <xdr:to>
      <xdr:col>14</xdr:col>
      <xdr:colOff>590551</xdr:colOff>
      <xdr:row>349</xdr:row>
      <xdr:rowOff>142874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2F5FE182-499F-4FAD-8526-B1F435D0AD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28576</xdr:colOff>
      <xdr:row>363</xdr:row>
      <xdr:rowOff>28575</xdr:rowOff>
    </xdr:from>
    <xdr:to>
      <xdr:col>14</xdr:col>
      <xdr:colOff>628650</xdr:colOff>
      <xdr:row>377</xdr:row>
      <xdr:rowOff>104775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C564CA7C-61B6-4151-A95D-86395C7EF4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19049</xdr:colOff>
      <xdr:row>378</xdr:row>
      <xdr:rowOff>47624</xdr:rowOff>
    </xdr:from>
    <xdr:to>
      <xdr:col>14</xdr:col>
      <xdr:colOff>609600</xdr:colOff>
      <xdr:row>390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D48AC1D-1011-4905-A7E7-01C998CEF4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19050</xdr:colOff>
      <xdr:row>351</xdr:row>
      <xdr:rowOff>142875</xdr:rowOff>
    </xdr:from>
    <xdr:to>
      <xdr:col>14</xdr:col>
      <xdr:colOff>600075</xdr:colOff>
      <xdr:row>361</xdr:row>
      <xdr:rowOff>142875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BF78327F-F171-4E18-A2D0-F9F965DD49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38101</xdr:colOff>
      <xdr:row>391</xdr:row>
      <xdr:rowOff>28575</xdr:rowOff>
    </xdr:from>
    <xdr:to>
      <xdr:col>14</xdr:col>
      <xdr:colOff>628651</xdr:colOff>
      <xdr:row>404</xdr:row>
      <xdr:rowOff>28575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4EBDE9A7-E8D8-4AB1-A461-9B36FABE13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28576</xdr:colOff>
      <xdr:row>404</xdr:row>
      <xdr:rowOff>123825</xdr:rowOff>
    </xdr:from>
    <xdr:to>
      <xdr:col>14</xdr:col>
      <xdr:colOff>638176</xdr:colOff>
      <xdr:row>418</xdr:row>
      <xdr:rowOff>133350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7C3F3984-6E5A-4D15-80C5-F49238A34E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19050</xdr:colOff>
      <xdr:row>419</xdr:row>
      <xdr:rowOff>66675</xdr:rowOff>
    </xdr:from>
    <xdr:to>
      <xdr:col>14</xdr:col>
      <xdr:colOff>647700</xdr:colOff>
      <xdr:row>433</xdr:row>
      <xdr:rowOff>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6ED33D82-A84B-4273-BC76-2A6751749D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M453"/>
  <sheetViews>
    <sheetView tabSelected="1" topLeftCell="A436" zoomScale="67" zoomScaleNormal="100" workbookViewId="0">
      <selection activeCell="F449" sqref="F449"/>
    </sheetView>
  </sheetViews>
  <sheetFormatPr baseColWidth="10" defaultColWidth="11.453125" defaultRowHeight="11.5" x14ac:dyDescent="0.25"/>
  <cols>
    <col min="1" max="1" width="27.453125" style="13" customWidth="1"/>
    <col min="2" max="2" width="23.26953125" style="13" customWidth="1"/>
    <col min="3" max="3" width="48.54296875" style="13" customWidth="1"/>
    <col min="4" max="6" width="15.7265625" style="13" customWidth="1"/>
    <col min="7" max="7" width="17.453125" style="13" bestFit="1" customWidth="1"/>
    <col min="8" max="8" width="16.26953125" style="13" customWidth="1"/>
    <col min="9" max="9" width="15.81640625" style="13" customWidth="1"/>
    <col min="10" max="10" width="16.1796875" style="13" customWidth="1"/>
    <col min="11" max="16" width="17.1796875" style="13" customWidth="1"/>
    <col min="17" max="16384" width="11.453125" style="13"/>
  </cols>
  <sheetData>
    <row r="3" spans="1:10" x14ac:dyDescent="0.25">
      <c r="F3" s="65"/>
      <c r="G3" s="65"/>
      <c r="H3" s="65"/>
      <c r="I3" s="65"/>
      <c r="J3" s="65"/>
    </row>
    <row r="4" spans="1:10" x14ac:dyDescent="0.25">
      <c r="F4" s="65" t="s">
        <v>58</v>
      </c>
      <c r="G4" s="65"/>
      <c r="H4" s="65"/>
      <c r="I4" s="65"/>
      <c r="J4" s="65"/>
    </row>
    <row r="5" spans="1:10" x14ac:dyDescent="0.25">
      <c r="F5" s="65" t="s">
        <v>59</v>
      </c>
      <c r="G5" s="65"/>
      <c r="H5" s="65"/>
      <c r="I5" s="65"/>
      <c r="J5" s="65"/>
    </row>
    <row r="7" spans="1:10" ht="12" thickBot="1" x14ac:dyDescent="0.3"/>
    <row r="8" spans="1:10" ht="47.25" customHeight="1" thickTop="1" thickBot="1" x14ac:dyDescent="0.3">
      <c r="A8" s="18" t="s">
        <v>13</v>
      </c>
      <c r="B8" s="66" t="s">
        <v>93</v>
      </c>
      <c r="C8" s="67"/>
      <c r="D8" s="67"/>
      <c r="E8" s="67"/>
      <c r="F8" s="68"/>
      <c r="G8" s="18" t="s">
        <v>16</v>
      </c>
      <c r="H8" s="69" t="s">
        <v>91</v>
      </c>
      <c r="I8" s="70"/>
      <c r="J8" s="71"/>
    </row>
    <row r="9" spans="1:10" ht="13.5" customHeight="1" thickTop="1" thickBot="1" x14ac:dyDescent="0.3">
      <c r="A9" s="21"/>
      <c r="B9" s="20"/>
      <c r="C9" s="20"/>
      <c r="D9" s="20"/>
      <c r="E9" s="20"/>
      <c r="F9" s="20"/>
      <c r="G9" s="21"/>
      <c r="H9" s="20"/>
      <c r="I9" s="20"/>
      <c r="J9" s="20"/>
    </row>
    <row r="10" spans="1:10" ht="18" customHeight="1" thickTop="1" thickBot="1" x14ac:dyDescent="0.3">
      <c r="A10" s="63" t="s">
        <v>62</v>
      </c>
      <c r="B10" s="64"/>
      <c r="C10" s="64"/>
      <c r="D10" s="64"/>
      <c r="E10" s="64"/>
      <c r="F10" s="64"/>
      <c r="G10" s="64"/>
      <c r="H10" s="64"/>
      <c r="I10" s="39"/>
    </row>
    <row r="11" spans="1:10" ht="39" customHeight="1" thickTop="1" thickBot="1" x14ac:dyDescent="0.3">
      <c r="A11" s="19" t="s">
        <v>61</v>
      </c>
      <c r="B11" s="22">
        <v>426256292</v>
      </c>
      <c r="C11" s="19" t="s">
        <v>57</v>
      </c>
      <c r="D11" s="23">
        <v>5</v>
      </c>
      <c r="E11" s="19" t="s">
        <v>90</v>
      </c>
      <c r="F11" s="22">
        <f>MROUND((1*($B$11/$D$11)),100000)</f>
        <v>85300000</v>
      </c>
      <c r="G11" s="19" t="s">
        <v>88</v>
      </c>
      <c r="H11" s="22">
        <f>MROUND(($B$11*25%),100000)</f>
        <v>106600000</v>
      </c>
    </row>
    <row r="12" spans="1:10" ht="12.5" thickTop="1" thickBot="1" x14ac:dyDescent="0.3"/>
    <row r="13" spans="1:10" ht="12.5" thickTop="1" thickBot="1" x14ac:dyDescent="0.3">
      <c r="A13" s="73" t="s">
        <v>84</v>
      </c>
      <c r="B13" s="74"/>
      <c r="C13" s="74"/>
      <c r="D13" s="74"/>
      <c r="E13" s="74"/>
      <c r="F13" s="74"/>
      <c r="G13" s="74"/>
      <c r="H13" s="74"/>
      <c r="I13" s="74"/>
      <c r="J13" s="75"/>
    </row>
    <row r="14" spans="1:10" ht="15" thickTop="1" x14ac:dyDescent="0.35">
      <c r="B14"/>
    </row>
    <row r="15" spans="1:10" x14ac:dyDescent="0.25">
      <c r="A15" s="14" t="s">
        <v>60</v>
      </c>
      <c r="F15" s="17"/>
      <c r="H15" s="17"/>
    </row>
    <row r="16" spans="1:10" x14ac:dyDescent="0.25">
      <c r="A16" s="14" t="s">
        <v>54</v>
      </c>
    </row>
    <row r="17" spans="1:12" x14ac:dyDescent="0.25">
      <c r="A17" s="14" t="s">
        <v>53</v>
      </c>
    </row>
    <row r="19" spans="1:12" ht="34.5" x14ac:dyDescent="0.25">
      <c r="A19" s="10" t="s">
        <v>0</v>
      </c>
      <c r="B19" s="10" t="s">
        <v>1</v>
      </c>
      <c r="C19" s="10" t="s">
        <v>2</v>
      </c>
      <c r="D19" s="11" t="s">
        <v>3</v>
      </c>
      <c r="E19" s="11" t="s">
        <v>4</v>
      </c>
      <c r="F19" s="11" t="s">
        <v>5</v>
      </c>
      <c r="G19" s="11" t="s">
        <v>6</v>
      </c>
      <c r="H19" s="11" t="s">
        <v>7</v>
      </c>
      <c r="I19" s="11" t="s">
        <v>8</v>
      </c>
      <c r="J19" s="11" t="s">
        <v>9</v>
      </c>
    </row>
    <row r="20" spans="1:12" ht="15" customHeight="1" x14ac:dyDescent="0.35">
      <c r="A20">
        <v>800017766</v>
      </c>
      <c r="B20" t="s">
        <v>96</v>
      </c>
      <c r="C20" t="s">
        <v>97</v>
      </c>
      <c r="D20" s="56">
        <v>7.2927195804756293</v>
      </c>
      <c r="E20" s="57">
        <v>6595047</v>
      </c>
      <c r="F20" s="58">
        <v>0.21550966286803477</v>
      </c>
      <c r="G20" s="59">
        <v>6758822</v>
      </c>
      <c r="H20" s="58">
        <v>0.18489562718978853</v>
      </c>
      <c r="I20" s="58">
        <v>0.235688852288165</v>
      </c>
      <c r="J20" s="60">
        <v>1000</v>
      </c>
      <c r="K20" s="59"/>
      <c r="L20" s="50"/>
    </row>
    <row r="21" spans="1:12" ht="15" customHeight="1" x14ac:dyDescent="0.35">
      <c r="A21">
        <v>800026509</v>
      </c>
      <c r="B21" t="s">
        <v>98</v>
      </c>
      <c r="C21" t="s">
        <v>97</v>
      </c>
      <c r="D21" s="56">
        <v>2.2402871248754921</v>
      </c>
      <c r="E21" s="57">
        <v>3497730</v>
      </c>
      <c r="F21" s="58">
        <v>0.79849254403250758</v>
      </c>
      <c r="G21" s="59">
        <v>2501733</v>
      </c>
      <c r="H21" s="58">
        <v>8.98950462618512E-2</v>
      </c>
      <c r="I21" s="58">
        <v>0.4461127546384846</v>
      </c>
      <c r="J21" s="60">
        <v>1.107918446925777</v>
      </c>
      <c r="K21" s="59"/>
      <c r="L21" s="50"/>
    </row>
    <row r="22" spans="1:12" ht="15" customHeight="1" x14ac:dyDescent="0.35">
      <c r="A22">
        <v>800027664</v>
      </c>
      <c r="B22" t="s">
        <v>323</v>
      </c>
      <c r="C22" t="s">
        <v>324</v>
      </c>
      <c r="D22" s="56">
        <v>4.914225084867935</v>
      </c>
      <c r="E22" s="57">
        <v>5908147</v>
      </c>
      <c r="F22" s="58">
        <v>0.72827643341758075</v>
      </c>
      <c r="G22" s="59">
        <v>2099780</v>
      </c>
      <c r="H22" s="58">
        <v>5.4709378667439308E-2</v>
      </c>
      <c r="I22" s="58">
        <v>0.20134204535713265</v>
      </c>
      <c r="J22" s="60">
        <v>2.8826220655516388</v>
      </c>
      <c r="K22" s="59"/>
      <c r="L22" s="50"/>
    </row>
    <row r="23" spans="1:12" ht="15" customHeight="1" x14ac:dyDescent="0.35">
      <c r="A23">
        <v>800037267</v>
      </c>
      <c r="B23" t="s">
        <v>325</v>
      </c>
      <c r="C23" t="s">
        <v>324</v>
      </c>
      <c r="D23" s="56">
        <v>1.6832830858527514</v>
      </c>
      <c r="E23" s="57">
        <v>242504</v>
      </c>
      <c r="F23" s="58">
        <v>0.5940771391363443</v>
      </c>
      <c r="G23" s="59">
        <v>242504</v>
      </c>
      <c r="H23" s="58">
        <v>0.20590076563321247</v>
      </c>
      <c r="I23" s="58">
        <v>0.50724111767228586</v>
      </c>
      <c r="J23" s="60">
        <v>1000</v>
      </c>
      <c r="K23" s="59"/>
      <c r="L23" s="50"/>
    </row>
    <row r="24" spans="1:12" ht="15" customHeight="1" x14ac:dyDescent="0.35">
      <c r="A24">
        <v>800038389</v>
      </c>
      <c r="B24" t="s">
        <v>326</v>
      </c>
      <c r="C24" t="s">
        <v>324</v>
      </c>
      <c r="D24" s="56">
        <v>2.0160447733621325</v>
      </c>
      <c r="E24" s="57">
        <v>12924880</v>
      </c>
      <c r="F24" s="58">
        <v>0.53810569332132618</v>
      </c>
      <c r="G24" s="59">
        <v>13139263</v>
      </c>
      <c r="H24" s="58">
        <v>0.3397708629657436</v>
      </c>
      <c r="I24" s="58">
        <v>0.73560305475276655</v>
      </c>
      <c r="J24" s="60">
        <v>14.709064262962698</v>
      </c>
      <c r="K24" s="59"/>
      <c r="L24" s="50"/>
    </row>
    <row r="25" spans="1:12" ht="15" customHeight="1" x14ac:dyDescent="0.35">
      <c r="A25">
        <v>800044335</v>
      </c>
      <c r="B25" t="s">
        <v>327</v>
      </c>
      <c r="C25" t="s">
        <v>324</v>
      </c>
      <c r="D25" s="56">
        <v>2.8129403310686611</v>
      </c>
      <c r="E25" s="57">
        <v>14039981</v>
      </c>
      <c r="F25" s="58">
        <v>0.29815108800123508</v>
      </c>
      <c r="G25" s="59">
        <v>18230150</v>
      </c>
      <c r="H25" s="58">
        <v>0.20288610371763191</v>
      </c>
      <c r="I25" s="58">
        <v>0.28907375967833504</v>
      </c>
      <c r="J25" s="60">
        <v>1000</v>
      </c>
      <c r="K25" s="59"/>
      <c r="L25" s="50"/>
    </row>
    <row r="26" spans="1:12" ht="15" customHeight="1" x14ac:dyDescent="0.35">
      <c r="A26">
        <v>800046125</v>
      </c>
      <c r="B26" t="s">
        <v>99</v>
      </c>
      <c r="C26" t="s">
        <v>97</v>
      </c>
      <c r="D26" s="56">
        <v>1.470171575107138</v>
      </c>
      <c r="E26" s="57">
        <v>12646573</v>
      </c>
      <c r="F26" s="58">
        <v>0.60533927133324961</v>
      </c>
      <c r="G26" s="59">
        <v>25544169</v>
      </c>
      <c r="H26" s="58">
        <v>9.5543695864193354E-2</v>
      </c>
      <c r="I26" s="58">
        <v>0.2420907096253552</v>
      </c>
      <c r="J26" s="60">
        <v>1.6694984760171809</v>
      </c>
      <c r="K26" s="59"/>
      <c r="L26" s="50"/>
    </row>
    <row r="27" spans="1:12" ht="15" customHeight="1" x14ac:dyDescent="0.35">
      <c r="A27">
        <v>800081664</v>
      </c>
      <c r="B27" t="s">
        <v>100</v>
      </c>
      <c r="C27" t="s">
        <v>101</v>
      </c>
      <c r="D27" s="56">
        <v>2.0125366305168333</v>
      </c>
      <c r="E27" s="57">
        <v>8302932</v>
      </c>
      <c r="F27" s="58">
        <v>0.46972751875686797</v>
      </c>
      <c r="G27" s="59">
        <v>9491441</v>
      </c>
      <c r="H27" s="58">
        <v>0.17930567422178126</v>
      </c>
      <c r="I27" s="58">
        <v>0.33813875048056452</v>
      </c>
      <c r="J27" s="60">
        <v>1000</v>
      </c>
      <c r="K27" s="59"/>
      <c r="L27" s="50"/>
    </row>
    <row r="28" spans="1:12" ht="15" customHeight="1" x14ac:dyDescent="0.35">
      <c r="A28">
        <v>800087652</v>
      </c>
      <c r="B28" t="s">
        <v>102</v>
      </c>
      <c r="C28" t="s">
        <v>97</v>
      </c>
      <c r="D28" s="56">
        <v>1.4314858485187127</v>
      </c>
      <c r="E28" s="57">
        <v>3310888</v>
      </c>
      <c r="F28" s="58">
        <v>0.66830294790612299</v>
      </c>
      <c r="G28" s="59">
        <v>5626326</v>
      </c>
      <c r="H28" s="58">
        <v>0.18890272943265818</v>
      </c>
      <c r="I28" s="58">
        <v>0.56950379341687629</v>
      </c>
      <c r="J28" s="60">
        <v>2.3228485906890728</v>
      </c>
      <c r="K28" s="59"/>
      <c r="L28" s="50"/>
    </row>
    <row r="29" spans="1:12" ht="15" customHeight="1" x14ac:dyDescent="0.35">
      <c r="A29">
        <v>800096267</v>
      </c>
      <c r="B29" t="s">
        <v>103</v>
      </c>
      <c r="C29" t="s">
        <v>101</v>
      </c>
      <c r="D29" s="56">
        <v>2.7874309433810924</v>
      </c>
      <c r="E29" s="57">
        <v>178273</v>
      </c>
      <c r="F29" s="58">
        <v>0.248343955043481</v>
      </c>
      <c r="G29" s="59">
        <v>335195</v>
      </c>
      <c r="H29" s="58">
        <v>0.29771360401128399</v>
      </c>
      <c r="I29" s="58">
        <v>0.39607691045510823</v>
      </c>
      <c r="J29" s="60">
        <v>4.6975797891161273</v>
      </c>
      <c r="K29" s="59"/>
      <c r="L29" s="50"/>
    </row>
    <row r="30" spans="1:12" ht="15" customHeight="1" x14ac:dyDescent="0.35">
      <c r="A30">
        <v>800119669</v>
      </c>
      <c r="B30" t="s">
        <v>328</v>
      </c>
      <c r="C30" t="s">
        <v>324</v>
      </c>
      <c r="D30" s="56">
        <v>2.9557388433755825</v>
      </c>
      <c r="E30" s="57">
        <v>17601278</v>
      </c>
      <c r="F30" s="58">
        <v>0.45681301971359556</v>
      </c>
      <c r="G30" s="59">
        <v>18250950</v>
      </c>
      <c r="H30" s="58">
        <v>0.29248566566971496</v>
      </c>
      <c r="I30" s="58">
        <v>0.53846221703527763</v>
      </c>
      <c r="J30" s="60">
        <v>3.6756422263347579</v>
      </c>
      <c r="K30" s="59"/>
      <c r="L30" s="50"/>
    </row>
    <row r="31" spans="1:12" ht="15" customHeight="1" x14ac:dyDescent="0.35">
      <c r="A31">
        <v>800121199</v>
      </c>
      <c r="B31" t="s">
        <v>104</v>
      </c>
      <c r="C31" t="s">
        <v>97</v>
      </c>
      <c r="D31" s="56">
        <v>1.3263540786681061</v>
      </c>
      <c r="E31" s="57">
        <v>23204819</v>
      </c>
      <c r="F31" s="58">
        <v>0.63596799927746928</v>
      </c>
      <c r="G31" s="59">
        <v>44336959</v>
      </c>
      <c r="H31" s="58">
        <v>8.1080626836475073E-2</v>
      </c>
      <c r="I31" s="58">
        <v>0.22272939377732243</v>
      </c>
      <c r="J31" s="60">
        <v>4.6974791434967385</v>
      </c>
      <c r="K31" s="59"/>
      <c r="L31" s="50"/>
    </row>
    <row r="32" spans="1:12" ht="15" customHeight="1" x14ac:dyDescent="0.35">
      <c r="A32">
        <v>800124142</v>
      </c>
      <c r="B32" t="s">
        <v>105</v>
      </c>
      <c r="C32" t="s">
        <v>101</v>
      </c>
      <c r="D32" s="56">
        <v>7.3922609698474542</v>
      </c>
      <c r="E32" s="57">
        <v>5359930</v>
      </c>
      <c r="F32" s="58">
        <v>0.11327997237518679</v>
      </c>
      <c r="G32" s="59">
        <v>6563538</v>
      </c>
      <c r="H32" s="58">
        <v>0.20742049388810466</v>
      </c>
      <c r="I32" s="58">
        <v>0.23391881025142233</v>
      </c>
      <c r="J32" s="60">
        <v>1000</v>
      </c>
      <c r="K32" s="59"/>
      <c r="L32" s="50"/>
    </row>
    <row r="33" spans="1:12" ht="15" customHeight="1" x14ac:dyDescent="0.35">
      <c r="A33">
        <v>800126247</v>
      </c>
      <c r="B33" t="s">
        <v>106</v>
      </c>
      <c r="C33" t="s">
        <v>97</v>
      </c>
      <c r="D33" s="56">
        <v>7.0090262984623726</v>
      </c>
      <c r="E33" s="57">
        <v>6205882</v>
      </c>
      <c r="F33" s="58">
        <v>0.17610927494951439</v>
      </c>
      <c r="G33" s="59">
        <v>6596678</v>
      </c>
      <c r="H33" s="58">
        <v>0.23259306941315311</v>
      </c>
      <c r="I33" s="58">
        <v>0.2823105811743426</v>
      </c>
      <c r="J33" s="60">
        <v>9.3854705808239896</v>
      </c>
      <c r="K33" s="59"/>
      <c r="L33" s="50"/>
    </row>
    <row r="34" spans="1:12" ht="15" customHeight="1" x14ac:dyDescent="0.35">
      <c r="A34">
        <v>800133418</v>
      </c>
      <c r="B34" t="s">
        <v>107</v>
      </c>
      <c r="C34" t="s">
        <v>97</v>
      </c>
      <c r="D34" s="56">
        <v>1.8652569047108316</v>
      </c>
      <c r="E34" s="57">
        <v>5534242</v>
      </c>
      <c r="F34" s="58">
        <v>0.31963102298930185</v>
      </c>
      <c r="G34" s="59">
        <v>13614718</v>
      </c>
      <c r="H34" s="58">
        <v>0.13720250668814307</v>
      </c>
      <c r="I34" s="58">
        <v>0.20165896935948288</v>
      </c>
      <c r="J34" s="60">
        <v>9.2536805349583418</v>
      </c>
      <c r="K34" s="59"/>
      <c r="L34" s="50"/>
    </row>
    <row r="35" spans="1:12" ht="15" customHeight="1" x14ac:dyDescent="0.35">
      <c r="A35">
        <v>800144568</v>
      </c>
      <c r="B35" t="s">
        <v>108</v>
      </c>
      <c r="C35" t="s">
        <v>97</v>
      </c>
      <c r="D35" s="56">
        <v>2.0858779499420836</v>
      </c>
      <c r="E35" s="57">
        <v>2158961</v>
      </c>
      <c r="F35" s="58">
        <v>0.44152633407405367</v>
      </c>
      <c r="G35" s="59">
        <v>3771309</v>
      </c>
      <c r="H35" s="58">
        <v>0.13733550366465538</v>
      </c>
      <c r="I35" s="58">
        <v>0.24591222835360349</v>
      </c>
      <c r="J35" s="60">
        <v>1.8171168258633357</v>
      </c>
      <c r="K35" s="59"/>
      <c r="L35" s="50"/>
    </row>
    <row r="36" spans="1:12" ht="15" customHeight="1" x14ac:dyDescent="0.35">
      <c r="A36">
        <v>800145302</v>
      </c>
      <c r="B36" t="s">
        <v>109</v>
      </c>
      <c r="C36" t="s">
        <v>97</v>
      </c>
      <c r="D36" s="56">
        <v>1.4175305773478106</v>
      </c>
      <c r="E36" s="57">
        <v>2173655</v>
      </c>
      <c r="F36" s="58">
        <v>0.71896729616695398</v>
      </c>
      <c r="G36" s="59">
        <v>2582955</v>
      </c>
      <c r="H36" s="58">
        <v>0.1391116535292741</v>
      </c>
      <c r="I36" s="58">
        <v>0.495001655081099</v>
      </c>
      <c r="J36" s="60">
        <v>0.98823150225731626</v>
      </c>
      <c r="K36" s="59"/>
      <c r="L36" s="50"/>
    </row>
    <row r="37" spans="1:12" ht="15" customHeight="1" x14ac:dyDescent="0.35">
      <c r="A37">
        <v>800162592</v>
      </c>
      <c r="B37" t="s">
        <v>110</v>
      </c>
      <c r="C37" t="s">
        <v>97</v>
      </c>
      <c r="D37" s="56">
        <v>4.9740228292736921</v>
      </c>
      <c r="E37" s="57">
        <v>9764953</v>
      </c>
      <c r="F37" s="58">
        <v>0.17540419701980658</v>
      </c>
      <c r="G37" s="59">
        <v>11754708</v>
      </c>
      <c r="H37" s="58">
        <v>0.18029801934253073</v>
      </c>
      <c r="I37" s="58">
        <v>0.21865017829451824</v>
      </c>
      <c r="J37" s="60">
        <v>11.252732001190873</v>
      </c>
      <c r="K37" s="59"/>
      <c r="L37" s="50"/>
    </row>
    <row r="38" spans="1:12" ht="15" customHeight="1" x14ac:dyDescent="0.35">
      <c r="A38">
        <v>800170552</v>
      </c>
      <c r="B38" t="s">
        <v>111</v>
      </c>
      <c r="C38" t="s">
        <v>97</v>
      </c>
      <c r="D38" s="56">
        <v>2.7263657422655512</v>
      </c>
      <c r="E38" s="57">
        <v>4402937</v>
      </c>
      <c r="F38" s="58">
        <v>0.42505850735855388</v>
      </c>
      <c r="G38" s="59">
        <v>8181322</v>
      </c>
      <c r="H38" s="58">
        <v>0.12824689311203491</v>
      </c>
      <c r="I38" s="58">
        <v>0.2230607718410301</v>
      </c>
      <c r="J38" s="60">
        <v>7.173587635025708</v>
      </c>
      <c r="K38" s="59"/>
      <c r="L38" s="50"/>
    </row>
    <row r="39" spans="1:12" ht="15" customHeight="1" x14ac:dyDescent="0.35">
      <c r="A39">
        <v>800173817</v>
      </c>
      <c r="B39" t="s">
        <v>329</v>
      </c>
      <c r="C39" t="s">
        <v>324</v>
      </c>
      <c r="D39" s="56">
        <v>1.9291372310007977</v>
      </c>
      <c r="E39" s="57">
        <v>1856812</v>
      </c>
      <c r="F39" s="58">
        <v>0.51201807412584766</v>
      </c>
      <c r="G39" s="59">
        <v>1904612</v>
      </c>
      <c r="H39" s="58">
        <v>0.16384826383960391</v>
      </c>
      <c r="I39" s="58">
        <v>0.33576707486879215</v>
      </c>
      <c r="J39" s="60">
        <v>160.27719298245614</v>
      </c>
      <c r="K39" s="59"/>
      <c r="L39" s="50"/>
    </row>
    <row r="40" spans="1:12" ht="15" customHeight="1" x14ac:dyDescent="0.35">
      <c r="A40">
        <v>800176628</v>
      </c>
      <c r="B40" t="s">
        <v>112</v>
      </c>
      <c r="C40" t="s">
        <v>101</v>
      </c>
      <c r="D40" s="56">
        <v>2.0940651022082317</v>
      </c>
      <c r="E40" s="57">
        <v>30757345</v>
      </c>
      <c r="F40" s="58">
        <v>0.394736243038181</v>
      </c>
      <c r="G40" s="59">
        <v>48363566</v>
      </c>
      <c r="H40" s="58">
        <v>0.19254702428108858</v>
      </c>
      <c r="I40" s="58">
        <v>0.31812085568710957</v>
      </c>
      <c r="J40" s="60">
        <v>18.251533866054228</v>
      </c>
      <c r="K40" s="59"/>
      <c r="L40" s="50"/>
    </row>
    <row r="41" spans="1:12" ht="15" customHeight="1" x14ac:dyDescent="0.35">
      <c r="A41">
        <v>800181369</v>
      </c>
      <c r="B41" t="s">
        <v>330</v>
      </c>
      <c r="C41" t="s">
        <v>324</v>
      </c>
      <c r="D41" s="56">
        <v>2.4918738014251218</v>
      </c>
      <c r="E41" s="57">
        <v>1608783</v>
      </c>
      <c r="F41" s="58">
        <v>0.36689530342002474</v>
      </c>
      <c r="G41" s="59">
        <v>1860796</v>
      </c>
      <c r="H41" s="58">
        <v>0.26843485893928876</v>
      </c>
      <c r="I41" s="58">
        <v>0.42399757953048051</v>
      </c>
      <c r="J41" s="60">
        <v>15.925657536182152</v>
      </c>
      <c r="K41" s="59"/>
      <c r="L41" s="50"/>
    </row>
    <row r="42" spans="1:12" ht="15" customHeight="1" x14ac:dyDescent="0.35">
      <c r="A42">
        <v>800191233</v>
      </c>
      <c r="B42" t="s">
        <v>113</v>
      </c>
      <c r="C42" t="s">
        <v>97</v>
      </c>
      <c r="D42" s="56">
        <v>2.5253345922365189</v>
      </c>
      <c r="E42" s="57">
        <v>3046865</v>
      </c>
      <c r="F42" s="58">
        <v>0.52423104331897652</v>
      </c>
      <c r="G42" s="59">
        <v>2890815</v>
      </c>
      <c r="H42" s="58">
        <v>0.10132667554298899</v>
      </c>
      <c r="I42" s="58">
        <v>0.21297454178146993</v>
      </c>
      <c r="J42" s="60">
        <v>1.1273653486268436</v>
      </c>
      <c r="K42" s="59"/>
      <c r="L42" s="50"/>
    </row>
    <row r="43" spans="1:12" ht="15" customHeight="1" x14ac:dyDescent="0.35">
      <c r="A43">
        <v>800202449</v>
      </c>
      <c r="B43" t="s">
        <v>114</v>
      </c>
      <c r="C43" t="s">
        <v>97</v>
      </c>
      <c r="D43" s="56">
        <v>7.425791943684005</v>
      </c>
      <c r="E43" s="57">
        <v>65723</v>
      </c>
      <c r="F43" s="58">
        <v>0.59293115632772564</v>
      </c>
      <c r="G43" s="59">
        <v>88706</v>
      </c>
      <c r="H43" s="58">
        <v>9.5863505786686495E-2</v>
      </c>
      <c r="I43" s="58">
        <v>0.23549703514982076</v>
      </c>
      <c r="J43" s="60">
        <v>1000</v>
      </c>
      <c r="K43" s="59"/>
      <c r="L43" s="50"/>
    </row>
    <row r="44" spans="1:12" ht="15" customHeight="1" x14ac:dyDescent="0.35">
      <c r="A44">
        <v>800205914</v>
      </c>
      <c r="B44" t="s">
        <v>115</v>
      </c>
      <c r="C44" t="s">
        <v>97</v>
      </c>
      <c r="D44" s="56">
        <v>2.7708834430429397</v>
      </c>
      <c r="E44" s="57">
        <v>75055801</v>
      </c>
      <c r="F44" s="58">
        <v>0.50444881713820844</v>
      </c>
      <c r="G44" s="59">
        <v>60954911</v>
      </c>
      <c r="H44" s="58">
        <v>0.11301600434697108</v>
      </c>
      <c r="I44" s="58">
        <v>0.22806121396846926</v>
      </c>
      <c r="J44" s="60">
        <v>1000</v>
      </c>
      <c r="K44" s="59"/>
      <c r="L44" s="50"/>
    </row>
    <row r="45" spans="1:12" ht="15" customHeight="1" x14ac:dyDescent="0.35">
      <c r="A45">
        <v>800212914</v>
      </c>
      <c r="B45" t="s">
        <v>116</v>
      </c>
      <c r="C45" t="s">
        <v>97</v>
      </c>
      <c r="D45" s="56">
        <v>5.1622484703877687</v>
      </c>
      <c r="E45" s="57">
        <v>5412975</v>
      </c>
      <c r="F45" s="58">
        <v>0.42040321033978434</v>
      </c>
      <c r="G45" s="59">
        <v>4249060</v>
      </c>
      <c r="H45" s="58">
        <v>0.12371127130011995</v>
      </c>
      <c r="I45" s="58">
        <v>0.21344367930789399</v>
      </c>
      <c r="J45" s="60">
        <v>4.2348280032312138</v>
      </c>
      <c r="K45" s="59"/>
      <c r="L45" s="50"/>
    </row>
    <row r="46" spans="1:12" ht="15" customHeight="1" x14ac:dyDescent="0.35">
      <c r="A46">
        <v>800220495</v>
      </c>
      <c r="B46" t="s">
        <v>331</v>
      </c>
      <c r="C46" t="s">
        <v>324</v>
      </c>
      <c r="D46" s="56">
        <v>4.2426387396240504</v>
      </c>
      <c r="E46" s="57">
        <v>6061617</v>
      </c>
      <c r="F46" s="58">
        <v>0.21967353084288901</v>
      </c>
      <c r="G46" s="59">
        <v>7649595</v>
      </c>
      <c r="H46" s="58">
        <v>0.33047830934594979</v>
      </c>
      <c r="I46" s="58">
        <v>0.42351287878639327</v>
      </c>
      <c r="J46" s="60">
        <v>1000</v>
      </c>
      <c r="K46" s="59"/>
      <c r="L46" s="50"/>
    </row>
    <row r="47" spans="1:12" ht="15" customHeight="1" x14ac:dyDescent="0.35">
      <c r="A47">
        <v>800224617</v>
      </c>
      <c r="B47" t="s">
        <v>117</v>
      </c>
      <c r="C47" t="s">
        <v>97</v>
      </c>
      <c r="D47" s="56">
        <v>1.3228111513480587</v>
      </c>
      <c r="E47" s="57">
        <v>1897738</v>
      </c>
      <c r="F47" s="58">
        <v>0.65960945002852467</v>
      </c>
      <c r="G47" s="59">
        <v>3043565</v>
      </c>
      <c r="H47" s="58">
        <v>0.13962011056221565</v>
      </c>
      <c r="I47" s="58">
        <v>0.41017622426332279</v>
      </c>
      <c r="J47" s="60">
        <v>3.1274140172704477</v>
      </c>
      <c r="K47" s="59"/>
      <c r="L47" s="50"/>
    </row>
    <row r="48" spans="1:12" ht="15" customHeight="1" x14ac:dyDescent="0.35">
      <c r="A48">
        <v>800232449</v>
      </c>
      <c r="B48" t="s">
        <v>332</v>
      </c>
      <c r="C48" t="s">
        <v>324</v>
      </c>
      <c r="D48" s="56">
        <v>1.2878033432826714</v>
      </c>
      <c r="E48" s="57">
        <v>8414734</v>
      </c>
      <c r="F48" s="58">
        <v>0.76038583328685161</v>
      </c>
      <c r="G48" s="59">
        <v>9283335</v>
      </c>
      <c r="H48" s="58">
        <v>9.1903622880373251E-2</v>
      </c>
      <c r="I48" s="58">
        <v>0.38354836920136998</v>
      </c>
      <c r="J48" s="60">
        <v>4.3764048810706102</v>
      </c>
      <c r="K48" s="59"/>
      <c r="L48" s="50"/>
    </row>
    <row r="49" spans="1:12" ht="15" customHeight="1" x14ac:dyDescent="0.35">
      <c r="A49">
        <v>800240039</v>
      </c>
      <c r="B49" t="s">
        <v>333</v>
      </c>
      <c r="C49" t="s">
        <v>324</v>
      </c>
      <c r="D49" s="56">
        <v>3.0795862637212337</v>
      </c>
      <c r="E49" s="57">
        <v>7526266</v>
      </c>
      <c r="F49" s="58">
        <v>0.31702024709637444</v>
      </c>
      <c r="G49" s="59">
        <v>7808472</v>
      </c>
      <c r="H49" s="58">
        <v>0.48738313162974239</v>
      </c>
      <c r="I49" s="58">
        <v>0.71361285537042329</v>
      </c>
      <c r="J49" s="60">
        <v>4608.9545078577339</v>
      </c>
      <c r="K49" s="59"/>
      <c r="L49" s="50"/>
    </row>
    <row r="50" spans="1:12" ht="15" customHeight="1" x14ac:dyDescent="0.35">
      <c r="A50">
        <v>800241495</v>
      </c>
      <c r="B50" t="s">
        <v>118</v>
      </c>
      <c r="C50" t="s">
        <v>97</v>
      </c>
      <c r="D50" s="56">
        <v>4.4524167944678279</v>
      </c>
      <c r="E50" s="57">
        <v>30311926</v>
      </c>
      <c r="F50" s="58">
        <v>0.17537781150781614</v>
      </c>
      <c r="G50" s="59">
        <v>41282946</v>
      </c>
      <c r="H50" s="58">
        <v>0.17690609012537259</v>
      </c>
      <c r="I50" s="58">
        <v>0.21452986906506138</v>
      </c>
      <c r="J50" s="60">
        <v>9.1679709901885893</v>
      </c>
      <c r="K50" s="59"/>
      <c r="L50" s="50"/>
    </row>
    <row r="51" spans="1:12" ht="15" customHeight="1" x14ac:dyDescent="0.35">
      <c r="A51">
        <v>800245475</v>
      </c>
      <c r="B51" t="s">
        <v>334</v>
      </c>
      <c r="C51" t="s">
        <v>324</v>
      </c>
      <c r="D51" s="56">
        <v>1.3918369364841208</v>
      </c>
      <c r="E51" s="57">
        <v>523098</v>
      </c>
      <c r="F51" s="58">
        <v>0.63088488122726316</v>
      </c>
      <c r="G51" s="59">
        <v>781069</v>
      </c>
      <c r="H51" s="58">
        <v>0.11819950114788914</v>
      </c>
      <c r="I51" s="58">
        <v>0.32022394948461658</v>
      </c>
      <c r="J51" s="60">
        <v>1000</v>
      </c>
      <c r="K51" s="59"/>
      <c r="L51" s="50"/>
    </row>
    <row r="52" spans="1:12" ht="15" customHeight="1" x14ac:dyDescent="0.35">
      <c r="A52">
        <v>800249247</v>
      </c>
      <c r="B52" t="s">
        <v>335</v>
      </c>
      <c r="C52" t="s">
        <v>324</v>
      </c>
      <c r="D52" s="56">
        <v>1.9399953257076621</v>
      </c>
      <c r="E52" s="57">
        <v>3479012</v>
      </c>
      <c r="F52" s="58">
        <v>0.51980134096141128</v>
      </c>
      <c r="G52" s="59">
        <v>4094447</v>
      </c>
      <c r="H52" s="58">
        <v>9.7329183637639011E-2</v>
      </c>
      <c r="I52" s="58">
        <v>0.20268524662793291</v>
      </c>
      <c r="J52" s="60">
        <v>1000</v>
      </c>
      <c r="K52" s="59"/>
      <c r="L52" s="50"/>
    </row>
    <row r="53" spans="1:12" ht="15" customHeight="1" x14ac:dyDescent="0.35">
      <c r="A53">
        <v>800249396</v>
      </c>
      <c r="B53" t="s">
        <v>336</v>
      </c>
      <c r="C53" t="s">
        <v>324</v>
      </c>
      <c r="D53" s="56">
        <v>2.0446179266258406</v>
      </c>
      <c r="E53" s="57">
        <v>925567</v>
      </c>
      <c r="F53" s="58">
        <v>0.31723548486240277</v>
      </c>
      <c r="G53" s="59">
        <v>1977129</v>
      </c>
      <c r="H53" s="58">
        <v>0.1526046612818007</v>
      </c>
      <c r="I53" s="58">
        <v>0.22350994801047377</v>
      </c>
      <c r="J53" s="60">
        <v>3.8972052455662265</v>
      </c>
      <c r="K53" s="59"/>
      <c r="L53" s="50"/>
    </row>
    <row r="54" spans="1:12" ht="15" customHeight="1" x14ac:dyDescent="0.35">
      <c r="A54">
        <v>802002020</v>
      </c>
      <c r="B54" t="s">
        <v>119</v>
      </c>
      <c r="C54" t="s">
        <v>97</v>
      </c>
      <c r="D54" s="56">
        <v>2.0445255554385597</v>
      </c>
      <c r="E54" s="57">
        <v>6199912</v>
      </c>
      <c r="F54" s="58">
        <v>0.67509176233624268</v>
      </c>
      <c r="G54" s="59">
        <v>4684423</v>
      </c>
      <c r="H54" s="58">
        <v>9.8081105975441257E-2</v>
      </c>
      <c r="I54" s="58">
        <v>0.30187325098523338</v>
      </c>
      <c r="J54" s="60">
        <v>1000</v>
      </c>
      <c r="K54" s="59"/>
      <c r="L54" s="50"/>
    </row>
    <row r="55" spans="1:12" ht="15" customHeight="1" x14ac:dyDescent="0.35">
      <c r="A55">
        <v>802004266</v>
      </c>
      <c r="B55" t="s">
        <v>120</v>
      </c>
      <c r="C55" t="s">
        <v>97</v>
      </c>
      <c r="D55" s="56">
        <v>1.5993287006530976</v>
      </c>
      <c r="E55" s="57">
        <v>6657885</v>
      </c>
      <c r="F55" s="58">
        <v>0.75657365665318632</v>
      </c>
      <c r="G55" s="59">
        <v>5420111</v>
      </c>
      <c r="H55" s="58">
        <v>0.27688815704791514</v>
      </c>
      <c r="I55" s="58">
        <v>1.1374617604694812</v>
      </c>
      <c r="J55" s="60">
        <v>2.2230459907301703</v>
      </c>
      <c r="K55" s="59"/>
      <c r="L55" s="50"/>
    </row>
    <row r="56" spans="1:12" ht="15" customHeight="1" x14ac:dyDescent="0.35">
      <c r="A56">
        <v>802023350</v>
      </c>
      <c r="B56" t="s">
        <v>121</v>
      </c>
      <c r="C56" t="s">
        <v>101</v>
      </c>
      <c r="D56" s="56">
        <v>1.6354706941184112</v>
      </c>
      <c r="E56" s="57">
        <v>4383304</v>
      </c>
      <c r="F56" s="58">
        <v>0.5109212080623059</v>
      </c>
      <c r="G56" s="59">
        <v>7285214</v>
      </c>
      <c r="H56" s="58">
        <v>0.15063707942137738</v>
      </c>
      <c r="I56" s="58">
        <v>0.30800165925119016</v>
      </c>
      <c r="J56" s="60">
        <v>5.424637730211149</v>
      </c>
      <c r="K56" s="59"/>
      <c r="L56" s="50"/>
    </row>
    <row r="57" spans="1:12" ht="15" customHeight="1" x14ac:dyDescent="0.35">
      <c r="A57">
        <v>802024079</v>
      </c>
      <c r="B57" t="s">
        <v>122</v>
      </c>
      <c r="C57" t="s">
        <v>101</v>
      </c>
      <c r="D57" s="56">
        <v>1.6523086469583024</v>
      </c>
      <c r="E57" s="57">
        <v>6462926</v>
      </c>
      <c r="F57" s="58">
        <v>0.57865607987678225</v>
      </c>
      <c r="G57" s="59">
        <v>8004380</v>
      </c>
      <c r="H57" s="58">
        <v>0.1130908878438259</v>
      </c>
      <c r="I57" s="58">
        <v>0.26840517316769069</v>
      </c>
      <c r="J57" s="60">
        <v>1000</v>
      </c>
      <c r="K57" s="59"/>
      <c r="L57" s="50"/>
    </row>
    <row r="58" spans="1:12" ht="15" customHeight="1" x14ac:dyDescent="0.35">
      <c r="A58">
        <v>804006601</v>
      </c>
      <c r="B58" t="s">
        <v>123</v>
      </c>
      <c r="C58" t="s">
        <v>101</v>
      </c>
      <c r="D58" s="56">
        <v>1.5760154742343233</v>
      </c>
      <c r="E58" s="57">
        <v>86171563</v>
      </c>
      <c r="F58" s="58">
        <v>0.86233295466274695</v>
      </c>
      <c r="G58" s="59">
        <v>39903398</v>
      </c>
      <c r="H58" s="58">
        <v>2.7981004145136403E-2</v>
      </c>
      <c r="I58" s="58">
        <v>0.2032512870207194</v>
      </c>
      <c r="J58" s="60">
        <v>0.36392188546894688</v>
      </c>
      <c r="K58" s="59"/>
      <c r="L58" s="50"/>
    </row>
    <row r="59" spans="1:12" ht="15" customHeight="1" x14ac:dyDescent="0.35">
      <c r="A59">
        <v>804009976</v>
      </c>
      <c r="B59" t="s">
        <v>124</v>
      </c>
      <c r="C59" t="s">
        <v>101</v>
      </c>
      <c r="D59" s="56">
        <v>1.2838720490811713</v>
      </c>
      <c r="E59" s="57">
        <v>560605</v>
      </c>
      <c r="F59" s="58">
        <v>0.5814069401968277</v>
      </c>
      <c r="G59" s="59">
        <v>1421825</v>
      </c>
      <c r="H59" s="58">
        <v>0.38306067461247406</v>
      </c>
      <c r="I59" s="58">
        <v>0.91511472930916249</v>
      </c>
      <c r="J59" s="60">
        <v>7.0635436798332281</v>
      </c>
      <c r="K59" s="59"/>
      <c r="L59" s="50"/>
    </row>
    <row r="60" spans="1:12" ht="15" customHeight="1" x14ac:dyDescent="0.35">
      <c r="A60">
        <v>804014709</v>
      </c>
      <c r="B60" t="s">
        <v>125</v>
      </c>
      <c r="C60" t="s">
        <v>97</v>
      </c>
      <c r="D60" s="56">
        <v>2.8644125408100272</v>
      </c>
      <c r="E60" s="57">
        <v>13037973</v>
      </c>
      <c r="F60" s="58">
        <v>0.39922782154279285</v>
      </c>
      <c r="G60" s="59">
        <v>14718940</v>
      </c>
      <c r="H60" s="58">
        <v>0.2076831234043901</v>
      </c>
      <c r="I60" s="58">
        <v>0.34569364369988598</v>
      </c>
      <c r="J60" s="60">
        <v>3.6775849370800304</v>
      </c>
      <c r="K60" s="59"/>
      <c r="L60" s="50"/>
    </row>
    <row r="61" spans="1:12" ht="15" customHeight="1" x14ac:dyDescent="0.35">
      <c r="A61">
        <v>804017457</v>
      </c>
      <c r="B61" t="s">
        <v>126</v>
      </c>
      <c r="C61" t="s">
        <v>97</v>
      </c>
      <c r="D61" s="56">
        <v>1.9857011799825977</v>
      </c>
      <c r="E61" s="57">
        <v>9171500</v>
      </c>
      <c r="F61" s="58">
        <v>0.57895235561281411</v>
      </c>
      <c r="G61" s="59">
        <v>8118207</v>
      </c>
      <c r="H61" s="58">
        <v>9.5219483252139289E-2</v>
      </c>
      <c r="I61" s="58">
        <v>0.22614895136327517</v>
      </c>
      <c r="J61" s="60">
        <v>1000</v>
      </c>
      <c r="K61" s="59"/>
      <c r="L61" s="50"/>
    </row>
    <row r="62" spans="1:12" ht="15" customHeight="1" x14ac:dyDescent="0.35">
      <c r="A62">
        <v>805004427</v>
      </c>
      <c r="B62" t="s">
        <v>127</v>
      </c>
      <c r="C62" t="s">
        <v>97</v>
      </c>
      <c r="D62" s="56">
        <v>6.734943847907207</v>
      </c>
      <c r="E62" s="57">
        <v>21089304</v>
      </c>
      <c r="F62" s="58">
        <v>0.12753338161381905</v>
      </c>
      <c r="G62" s="59">
        <v>25156952</v>
      </c>
      <c r="H62" s="58">
        <v>0.18426643198309123</v>
      </c>
      <c r="I62" s="58">
        <v>0.21120169883855563</v>
      </c>
      <c r="J62" s="60">
        <v>10.945622011590036</v>
      </c>
      <c r="K62" s="59"/>
      <c r="L62" s="50"/>
    </row>
    <row r="63" spans="1:12" ht="15" customHeight="1" x14ac:dyDescent="0.35">
      <c r="A63">
        <v>805005992</v>
      </c>
      <c r="B63" t="s">
        <v>128</v>
      </c>
      <c r="C63" t="s">
        <v>101</v>
      </c>
      <c r="D63" s="56">
        <v>3.0949185243395725</v>
      </c>
      <c r="E63" s="57">
        <v>9628962</v>
      </c>
      <c r="F63" s="58">
        <v>0.42043934471583078</v>
      </c>
      <c r="G63" s="59">
        <v>8270556</v>
      </c>
      <c r="H63" s="58">
        <v>0.15030487255813418</v>
      </c>
      <c r="I63" s="58">
        <v>0.25934278179121212</v>
      </c>
      <c r="J63" s="60">
        <v>4.3375659257102184</v>
      </c>
      <c r="K63" s="59"/>
      <c r="L63" s="50"/>
    </row>
    <row r="64" spans="1:12" ht="15" customHeight="1" x14ac:dyDescent="0.35">
      <c r="A64">
        <v>805012368</v>
      </c>
      <c r="B64" t="s">
        <v>129</v>
      </c>
      <c r="C64" t="s">
        <v>97</v>
      </c>
      <c r="D64" s="56">
        <v>1.5432828445235285</v>
      </c>
      <c r="E64" s="57">
        <v>26106025</v>
      </c>
      <c r="F64" s="58">
        <v>0.70279596454030269</v>
      </c>
      <c r="G64" s="59">
        <v>31058003</v>
      </c>
      <c r="H64" s="58">
        <v>8.2468006646085612E-2</v>
      </c>
      <c r="I64" s="58">
        <v>0.27747943098595229</v>
      </c>
      <c r="J64" s="60">
        <v>0.54501168890845719</v>
      </c>
      <c r="K64" s="59"/>
      <c r="L64" s="50"/>
    </row>
    <row r="65" spans="1:12" ht="15" customHeight="1" x14ac:dyDescent="0.35">
      <c r="A65">
        <v>805022056</v>
      </c>
      <c r="B65" t="s">
        <v>130</v>
      </c>
      <c r="C65" t="s">
        <v>97</v>
      </c>
      <c r="D65" s="56">
        <v>3.1397330224717503</v>
      </c>
      <c r="E65" s="57">
        <v>11743715</v>
      </c>
      <c r="F65" s="58">
        <v>0.38274887755223802</v>
      </c>
      <c r="G65" s="59">
        <v>11794032</v>
      </c>
      <c r="H65" s="58">
        <v>0.29174802280253648</v>
      </c>
      <c r="I65" s="58">
        <v>0.47265693360845551</v>
      </c>
      <c r="J65" s="60">
        <v>7.7942576306259701</v>
      </c>
      <c r="K65" s="59"/>
      <c r="L65" s="50"/>
    </row>
    <row r="66" spans="1:12" ht="15" customHeight="1" x14ac:dyDescent="0.35">
      <c r="A66">
        <v>805026286</v>
      </c>
      <c r="B66" t="s">
        <v>131</v>
      </c>
      <c r="C66" t="s">
        <v>97</v>
      </c>
      <c r="D66" s="56">
        <v>2.6120181799463</v>
      </c>
      <c r="E66" s="57">
        <v>7077295</v>
      </c>
      <c r="F66" s="58">
        <v>0.40426784215375761</v>
      </c>
      <c r="G66" s="59">
        <v>7206504</v>
      </c>
      <c r="H66" s="58">
        <v>0.23065117750138342</v>
      </c>
      <c r="I66" s="58">
        <v>0.38717261518206331</v>
      </c>
      <c r="J66" s="60">
        <v>4.4254341512776714</v>
      </c>
      <c r="K66" s="59"/>
      <c r="L66" s="50"/>
    </row>
    <row r="67" spans="1:12" ht="15" customHeight="1" x14ac:dyDescent="0.35">
      <c r="A67">
        <v>805027653</v>
      </c>
      <c r="B67" t="s">
        <v>132</v>
      </c>
      <c r="C67" t="s">
        <v>101</v>
      </c>
      <c r="D67" s="56">
        <v>1.8007878842163867</v>
      </c>
      <c r="E67" s="57">
        <v>25327927</v>
      </c>
      <c r="F67" s="58">
        <v>0.64322714615455234</v>
      </c>
      <c r="G67" s="59">
        <v>27303900</v>
      </c>
      <c r="H67" s="58">
        <v>0.10821382082781797</v>
      </c>
      <c r="I67" s="58">
        <v>0.30331293331721842</v>
      </c>
      <c r="J67" s="60">
        <v>1.2722861381222532</v>
      </c>
      <c r="K67" s="59"/>
      <c r="L67" s="50"/>
    </row>
    <row r="68" spans="1:12" ht="15" customHeight="1" x14ac:dyDescent="0.35">
      <c r="A68">
        <v>806000506</v>
      </c>
      <c r="B68" t="s">
        <v>133</v>
      </c>
      <c r="C68" t="s">
        <v>97</v>
      </c>
      <c r="D68" s="56">
        <v>2.3274245361119745</v>
      </c>
      <c r="E68" s="57">
        <v>11587937</v>
      </c>
      <c r="F68" s="58">
        <v>0.44541678959906622</v>
      </c>
      <c r="G68" s="59">
        <v>11770697</v>
      </c>
      <c r="H68" s="58">
        <v>0.1295942283792024</v>
      </c>
      <c r="I68" s="58">
        <v>0.23367860034116927</v>
      </c>
      <c r="J68" s="60">
        <v>21.003054367745875</v>
      </c>
      <c r="K68" s="59"/>
      <c r="L68" s="50"/>
    </row>
    <row r="69" spans="1:12" ht="15" customHeight="1" x14ac:dyDescent="0.35">
      <c r="A69">
        <v>806005423</v>
      </c>
      <c r="B69" t="s">
        <v>134</v>
      </c>
      <c r="C69" t="s">
        <v>97</v>
      </c>
      <c r="D69" s="56">
        <v>1.2188063967516418</v>
      </c>
      <c r="E69" s="57">
        <v>5078982</v>
      </c>
      <c r="F69" s="58">
        <v>0.93190915048233225</v>
      </c>
      <c r="G69" s="59">
        <v>3318582</v>
      </c>
      <c r="H69" s="58">
        <v>0.28017562716821987</v>
      </c>
      <c r="I69" s="58">
        <v>4.1147324369263742</v>
      </c>
      <c r="J69" s="60">
        <v>1.5663079033122609</v>
      </c>
      <c r="K69" s="59"/>
      <c r="L69" s="50"/>
    </row>
    <row r="70" spans="1:12" ht="15" customHeight="1" x14ac:dyDescent="0.35">
      <c r="A70">
        <v>806007196</v>
      </c>
      <c r="B70" t="s">
        <v>135</v>
      </c>
      <c r="C70" t="s">
        <v>97</v>
      </c>
      <c r="D70" s="56">
        <v>2.3810928093069648</v>
      </c>
      <c r="E70" s="57">
        <v>17787510</v>
      </c>
      <c r="F70" s="58">
        <v>0.33342925994774236</v>
      </c>
      <c r="G70" s="59">
        <v>25800735</v>
      </c>
      <c r="H70" s="58">
        <v>0.2345285846326442</v>
      </c>
      <c r="I70" s="58">
        <v>0.3518435036831315</v>
      </c>
      <c r="J70" s="60">
        <v>6.2743134440080093</v>
      </c>
      <c r="K70" s="59"/>
      <c r="L70" s="50"/>
    </row>
    <row r="71" spans="1:12" ht="15" customHeight="1" x14ac:dyDescent="0.35">
      <c r="A71">
        <v>811005805</v>
      </c>
      <c r="B71" t="s">
        <v>136</v>
      </c>
      <c r="C71" t="s">
        <v>101</v>
      </c>
      <c r="D71" s="56">
        <v>1.4008495486772652</v>
      </c>
      <c r="E71" s="57">
        <v>988218</v>
      </c>
      <c r="F71" s="58">
        <v>0.77283514323701819</v>
      </c>
      <c r="G71" s="59">
        <v>1865926</v>
      </c>
      <c r="H71" s="58">
        <v>5.1246090046801952E-2</v>
      </c>
      <c r="I71" s="58">
        <v>0.22558986797975911</v>
      </c>
      <c r="J71" s="60">
        <v>1000</v>
      </c>
      <c r="K71" s="59"/>
      <c r="L71" s="50"/>
    </row>
    <row r="72" spans="1:12" ht="15" customHeight="1" x14ac:dyDescent="0.35">
      <c r="A72">
        <v>811019984</v>
      </c>
      <c r="B72" t="s">
        <v>337</v>
      </c>
      <c r="C72" t="s">
        <v>324</v>
      </c>
      <c r="D72" s="56">
        <v>2.962088791071348</v>
      </c>
      <c r="E72" s="57">
        <v>7128402</v>
      </c>
      <c r="F72" s="58">
        <v>0.33554407768446698</v>
      </c>
      <c r="G72" s="59">
        <v>7228810</v>
      </c>
      <c r="H72" s="58">
        <v>0.30576796725375144</v>
      </c>
      <c r="I72" s="58">
        <v>0.46017795460110311</v>
      </c>
      <c r="J72" s="60">
        <v>8.4252010981885963</v>
      </c>
      <c r="K72" s="59"/>
      <c r="L72" s="50"/>
    </row>
    <row r="73" spans="1:12" ht="15" customHeight="1" x14ac:dyDescent="0.35">
      <c r="A73">
        <v>811029132</v>
      </c>
      <c r="B73" t="s">
        <v>338</v>
      </c>
      <c r="C73" t="s">
        <v>324</v>
      </c>
      <c r="D73" s="56">
        <v>1.5504547582399653</v>
      </c>
      <c r="E73" s="57">
        <v>12378320</v>
      </c>
      <c r="F73" s="58">
        <v>0.75168339355960789</v>
      </c>
      <c r="G73" s="59">
        <v>9379689</v>
      </c>
      <c r="H73" s="58">
        <v>7.6445478242931797E-2</v>
      </c>
      <c r="I73" s="58">
        <v>0.30785487663823397</v>
      </c>
      <c r="J73" s="60">
        <v>3.1821761381669429</v>
      </c>
      <c r="K73" s="59"/>
      <c r="L73" s="50"/>
    </row>
    <row r="74" spans="1:12" ht="15" customHeight="1" x14ac:dyDescent="0.35">
      <c r="A74">
        <v>811029355</v>
      </c>
      <c r="B74" t="s">
        <v>137</v>
      </c>
      <c r="C74" t="s">
        <v>97</v>
      </c>
      <c r="D74" s="56">
        <v>2.424595296209112</v>
      </c>
      <c r="E74" s="57">
        <v>7582370</v>
      </c>
      <c r="F74" s="58">
        <v>0.45023262179509754</v>
      </c>
      <c r="G74" s="59">
        <v>7696613</v>
      </c>
      <c r="H74" s="58">
        <v>0.16392427500379828</v>
      </c>
      <c r="I74" s="58">
        <v>0.29817024709440371</v>
      </c>
      <c r="J74" s="60">
        <v>1.6206321373564407</v>
      </c>
      <c r="K74" s="59"/>
      <c r="L74" s="50"/>
    </row>
    <row r="75" spans="1:12" ht="15" customHeight="1" x14ac:dyDescent="0.35">
      <c r="A75">
        <v>811036491</v>
      </c>
      <c r="B75" t="s">
        <v>339</v>
      </c>
      <c r="C75" t="s">
        <v>324</v>
      </c>
      <c r="D75" s="56">
        <v>2.2413382995379458</v>
      </c>
      <c r="E75" s="57">
        <v>10178588</v>
      </c>
      <c r="F75" s="58">
        <v>0.41283162587416639</v>
      </c>
      <c r="G75" s="59">
        <v>11662377</v>
      </c>
      <c r="H75" s="58">
        <v>0.29405319668155366</v>
      </c>
      <c r="I75" s="58">
        <v>0.50079876512309629</v>
      </c>
      <c r="J75" s="60">
        <v>31.428608327862502</v>
      </c>
      <c r="K75" s="59"/>
      <c r="L75" s="50"/>
    </row>
    <row r="76" spans="1:12" ht="15" customHeight="1" x14ac:dyDescent="0.35">
      <c r="A76">
        <v>813001524</v>
      </c>
      <c r="B76" t="s">
        <v>138</v>
      </c>
      <c r="C76" t="s">
        <v>97</v>
      </c>
      <c r="D76" s="56">
        <v>1.6707006903712052</v>
      </c>
      <c r="E76" s="57">
        <v>847543</v>
      </c>
      <c r="F76" s="58">
        <v>0.72892665119636724</v>
      </c>
      <c r="G76" s="59">
        <v>714204</v>
      </c>
      <c r="H76" s="58">
        <v>0.14029200759395855</v>
      </c>
      <c r="I76" s="58">
        <v>0.51754260687422637</v>
      </c>
      <c r="J76" s="60">
        <v>0.82945158908788175</v>
      </c>
      <c r="K76" s="59"/>
      <c r="L76" s="50"/>
    </row>
    <row r="77" spans="1:12" ht="15" customHeight="1" x14ac:dyDescent="0.35">
      <c r="A77">
        <v>814000812</v>
      </c>
      <c r="B77" t="s">
        <v>139</v>
      </c>
      <c r="C77" t="s">
        <v>101</v>
      </c>
      <c r="D77" s="56">
        <v>2.2309809345074889</v>
      </c>
      <c r="E77" s="57">
        <v>3824691</v>
      </c>
      <c r="F77" s="58">
        <v>0.41096737868147454</v>
      </c>
      <c r="G77" s="59">
        <v>5519529</v>
      </c>
      <c r="H77" s="58">
        <v>0.18125749559948681</v>
      </c>
      <c r="I77" s="58">
        <v>0.30772064065611393</v>
      </c>
      <c r="J77" s="60">
        <v>2.4085051290559529</v>
      </c>
      <c r="K77" s="59"/>
      <c r="L77" s="50"/>
    </row>
    <row r="78" spans="1:12" ht="15" customHeight="1" x14ac:dyDescent="0.35">
      <c r="A78">
        <v>816008774</v>
      </c>
      <c r="B78" t="s">
        <v>140</v>
      </c>
      <c r="C78" t="s">
        <v>97</v>
      </c>
      <c r="D78" s="56">
        <v>3.3542850937602631</v>
      </c>
      <c r="E78" s="57">
        <v>19598816</v>
      </c>
      <c r="F78" s="58">
        <v>0.27195920815258018</v>
      </c>
      <c r="G78" s="59">
        <v>24145087</v>
      </c>
      <c r="H78" s="58">
        <v>0.1803312098761114</v>
      </c>
      <c r="I78" s="58">
        <v>0.24769382690565581</v>
      </c>
      <c r="J78" s="60">
        <v>6.0894562997265105</v>
      </c>
      <c r="K78" s="59"/>
      <c r="L78" s="50"/>
    </row>
    <row r="79" spans="1:12" ht="15" customHeight="1" x14ac:dyDescent="0.35">
      <c r="A79">
        <v>821002693</v>
      </c>
      <c r="B79" t="s">
        <v>340</v>
      </c>
      <c r="C79" t="s">
        <v>324</v>
      </c>
      <c r="D79" s="56">
        <v>5.7827438751630726</v>
      </c>
      <c r="E79" s="57">
        <v>16625846</v>
      </c>
      <c r="F79" s="58">
        <v>0.30183618241506294</v>
      </c>
      <c r="G79" s="59">
        <v>19479535</v>
      </c>
      <c r="H79" s="58">
        <v>0.21139621939569039</v>
      </c>
      <c r="I79" s="58">
        <v>0.30278884993917976</v>
      </c>
      <c r="J79" s="60">
        <v>2.9490767800777098</v>
      </c>
      <c r="K79" s="59"/>
      <c r="L79" s="50"/>
    </row>
    <row r="80" spans="1:12" ht="15" customHeight="1" x14ac:dyDescent="0.35">
      <c r="A80">
        <v>830003584</v>
      </c>
      <c r="B80" t="s">
        <v>141</v>
      </c>
      <c r="C80" t="s">
        <v>101</v>
      </c>
      <c r="D80" s="56">
        <v>1.2913572401671953</v>
      </c>
      <c r="E80" s="57">
        <v>7850349</v>
      </c>
      <c r="F80" s="58">
        <v>0.73729026435907963</v>
      </c>
      <c r="G80" s="59">
        <v>10195918</v>
      </c>
      <c r="H80" s="58">
        <v>0.12990546934066927</v>
      </c>
      <c r="I80" s="58">
        <v>0.49448289011347485</v>
      </c>
      <c r="J80" s="60">
        <v>2.1393841847802104</v>
      </c>
      <c r="K80" s="59"/>
      <c r="L80" s="50"/>
    </row>
    <row r="81" spans="1:12" ht="15" customHeight="1" x14ac:dyDescent="0.35">
      <c r="A81">
        <v>830009573</v>
      </c>
      <c r="B81" t="s">
        <v>341</v>
      </c>
      <c r="C81" t="s">
        <v>324</v>
      </c>
      <c r="D81" s="56">
        <v>1.4636260670161834</v>
      </c>
      <c r="E81" s="57">
        <v>26272035</v>
      </c>
      <c r="F81" s="58">
        <v>0.7224659485023821</v>
      </c>
      <c r="G81" s="59">
        <v>26794021</v>
      </c>
      <c r="H81" s="58">
        <v>0.10169582764123462</v>
      </c>
      <c r="I81" s="58">
        <v>0.36642648746151241</v>
      </c>
      <c r="J81" s="60">
        <v>0.94766584882791727</v>
      </c>
      <c r="K81" s="59"/>
      <c r="L81" s="50"/>
    </row>
    <row r="82" spans="1:12" ht="15" customHeight="1" x14ac:dyDescent="0.35">
      <c r="A82">
        <v>830020245</v>
      </c>
      <c r="B82" t="s">
        <v>142</v>
      </c>
      <c r="C82" t="s">
        <v>97</v>
      </c>
      <c r="D82" s="56">
        <v>1.6215989454386543</v>
      </c>
      <c r="E82" s="57">
        <v>692708</v>
      </c>
      <c r="F82" s="58">
        <v>0.43264371223955922</v>
      </c>
      <c r="G82" s="59">
        <v>5633680</v>
      </c>
      <c r="H82" s="58">
        <v>0.11386703974257439</v>
      </c>
      <c r="I82" s="58">
        <v>0.20069759020746653</v>
      </c>
      <c r="J82" s="60">
        <v>4.9571698518547747</v>
      </c>
      <c r="K82" s="59"/>
      <c r="L82" s="50"/>
    </row>
    <row r="83" spans="1:12" ht="15" customHeight="1" x14ac:dyDescent="0.35">
      <c r="A83">
        <v>830030574</v>
      </c>
      <c r="B83" t="s">
        <v>143</v>
      </c>
      <c r="C83" t="s">
        <v>97</v>
      </c>
      <c r="D83" s="56">
        <v>1.5901157160400554</v>
      </c>
      <c r="E83" s="57">
        <v>6818793</v>
      </c>
      <c r="F83" s="58">
        <v>0.61811647262123526</v>
      </c>
      <c r="G83" s="59">
        <v>7138894</v>
      </c>
      <c r="H83" s="58">
        <v>0.21002252926943457</v>
      </c>
      <c r="I83" s="58">
        <v>0.54996488251541487</v>
      </c>
      <c r="J83" s="60">
        <v>1.8322514135736674</v>
      </c>
      <c r="K83" s="59"/>
      <c r="L83" s="50"/>
    </row>
    <row r="84" spans="1:12" ht="15" customHeight="1" x14ac:dyDescent="0.35">
      <c r="A84">
        <v>830037495</v>
      </c>
      <c r="B84" t="s">
        <v>144</v>
      </c>
      <c r="C84" t="s">
        <v>97</v>
      </c>
      <c r="D84" s="56">
        <v>3.7740409373752963</v>
      </c>
      <c r="E84" s="57">
        <v>30343611</v>
      </c>
      <c r="F84" s="58">
        <v>0.32414445031294359</v>
      </c>
      <c r="G84" s="59">
        <v>38463111</v>
      </c>
      <c r="H84" s="58">
        <v>0.20163387427509988</v>
      </c>
      <c r="I84" s="58">
        <v>0.29833871212341612</v>
      </c>
      <c r="J84" s="60">
        <v>12.435260982550592</v>
      </c>
      <c r="K84" s="59"/>
      <c r="L84" s="50"/>
    </row>
    <row r="85" spans="1:12" ht="15" customHeight="1" x14ac:dyDescent="0.35">
      <c r="A85">
        <v>830040575</v>
      </c>
      <c r="B85" t="s">
        <v>342</v>
      </c>
      <c r="C85" t="s">
        <v>324</v>
      </c>
      <c r="D85" s="56">
        <v>2.640998491497895</v>
      </c>
      <c r="E85" s="57">
        <v>27234989</v>
      </c>
      <c r="F85" s="58">
        <v>0.17398476708339247</v>
      </c>
      <c r="G85" s="59">
        <v>89271517</v>
      </c>
      <c r="H85" s="58">
        <v>0.17090568963170211</v>
      </c>
      <c r="I85" s="58">
        <v>0.20690379889030003</v>
      </c>
      <c r="J85" s="60">
        <v>1000</v>
      </c>
      <c r="K85" s="59"/>
      <c r="L85" s="50"/>
    </row>
    <row r="86" spans="1:12" ht="15" customHeight="1" x14ac:dyDescent="0.35">
      <c r="A86">
        <v>830047819</v>
      </c>
      <c r="B86" t="s">
        <v>343</v>
      </c>
      <c r="C86" t="s">
        <v>324</v>
      </c>
      <c r="D86" s="56">
        <v>1.30883854395073</v>
      </c>
      <c r="E86" s="57">
        <v>63807176</v>
      </c>
      <c r="F86" s="58">
        <v>0.80790875421966335</v>
      </c>
      <c r="G86" s="59">
        <v>57040345</v>
      </c>
      <c r="H86" s="58">
        <v>0.12675974461731104</v>
      </c>
      <c r="I86" s="58">
        <v>0.65989339650733181</v>
      </c>
      <c r="J86" s="60">
        <v>1000</v>
      </c>
      <c r="K86" s="59"/>
      <c r="L86" s="50"/>
    </row>
    <row r="87" spans="1:12" ht="15" customHeight="1" x14ac:dyDescent="0.35">
      <c r="A87">
        <v>830052861</v>
      </c>
      <c r="B87" t="s">
        <v>344</v>
      </c>
      <c r="C87" t="s">
        <v>324</v>
      </c>
      <c r="D87" s="56">
        <v>4.0718466240394671</v>
      </c>
      <c r="E87" s="57">
        <v>37780743</v>
      </c>
      <c r="F87" s="58">
        <v>1.0235877228658725</v>
      </c>
      <c r="G87" s="59">
        <v>-1240429</v>
      </c>
      <c r="H87" s="58">
        <v>-2.7257368747203255E-2</v>
      </c>
      <c r="I87" s="58">
        <v>1.1555744020818604</v>
      </c>
      <c r="J87" s="60">
        <v>1000</v>
      </c>
      <c r="K87" s="59"/>
      <c r="L87" s="50"/>
    </row>
    <row r="88" spans="1:12" ht="15" customHeight="1" x14ac:dyDescent="0.35">
      <c r="A88">
        <v>830063800</v>
      </c>
      <c r="B88" t="s">
        <v>145</v>
      </c>
      <c r="C88" t="s">
        <v>97</v>
      </c>
      <c r="D88" s="56">
        <v>2.086459879932328</v>
      </c>
      <c r="E88" s="57">
        <v>25710155</v>
      </c>
      <c r="F88" s="58">
        <v>0.73021901369077058</v>
      </c>
      <c r="G88" s="59">
        <v>14536948</v>
      </c>
      <c r="H88" s="58">
        <v>9.7733944814345317E-2</v>
      </c>
      <c r="I88" s="58">
        <v>0.36227143414147178</v>
      </c>
      <c r="J88" s="60">
        <v>1.4877592225702991</v>
      </c>
      <c r="K88" s="59"/>
      <c r="L88" s="50"/>
    </row>
    <row r="89" spans="1:12" ht="15" customHeight="1" x14ac:dyDescent="0.35">
      <c r="A89">
        <v>830064712</v>
      </c>
      <c r="B89" t="s">
        <v>345</v>
      </c>
      <c r="C89" t="s">
        <v>324</v>
      </c>
      <c r="D89" s="56">
        <v>2.4222416274489458</v>
      </c>
      <c r="E89" s="57">
        <v>7702141</v>
      </c>
      <c r="F89" s="58">
        <v>0.39088513780818962</v>
      </c>
      <c r="G89" s="59">
        <v>12232735</v>
      </c>
      <c r="H89" s="58">
        <v>0.28848768884625431</v>
      </c>
      <c r="I89" s="58">
        <v>0.47361787858561477</v>
      </c>
      <c r="J89" s="60">
        <v>1000</v>
      </c>
      <c r="K89" s="59"/>
      <c r="L89" s="50"/>
    </row>
    <row r="90" spans="1:12" ht="15" customHeight="1" x14ac:dyDescent="0.35">
      <c r="A90">
        <v>830066854</v>
      </c>
      <c r="B90" t="s">
        <v>146</v>
      </c>
      <c r="C90" t="s">
        <v>97</v>
      </c>
      <c r="D90" s="56">
        <v>6.3121529060444654</v>
      </c>
      <c r="E90" s="57">
        <v>10296206</v>
      </c>
      <c r="F90" s="58">
        <v>0.32089177045973211</v>
      </c>
      <c r="G90" s="59">
        <v>8319359</v>
      </c>
      <c r="H90" s="58">
        <v>0.40136592901286544</v>
      </c>
      <c r="I90" s="58">
        <v>0.59101909173531275</v>
      </c>
      <c r="J90" s="60">
        <v>4.5870969066086511</v>
      </c>
      <c r="K90" s="59"/>
      <c r="L90" s="50"/>
    </row>
    <row r="91" spans="1:12" ht="15" customHeight="1" x14ac:dyDescent="0.35">
      <c r="A91">
        <v>830067336</v>
      </c>
      <c r="B91" t="s">
        <v>346</v>
      </c>
      <c r="C91" t="s">
        <v>324</v>
      </c>
      <c r="D91" s="56">
        <v>2.3217361953981741</v>
      </c>
      <c r="E91" s="57">
        <v>5204253</v>
      </c>
      <c r="F91" s="58">
        <v>0.41958631484150893</v>
      </c>
      <c r="G91" s="59">
        <v>5446656</v>
      </c>
      <c r="H91" s="58">
        <v>0.12456099912905808</v>
      </c>
      <c r="I91" s="58">
        <v>0.21460727462868961</v>
      </c>
      <c r="J91" s="60">
        <v>40.301061922493446</v>
      </c>
      <c r="K91" s="59"/>
      <c r="L91" s="50"/>
    </row>
    <row r="92" spans="1:12" ht="15" customHeight="1" x14ac:dyDescent="0.35">
      <c r="A92">
        <v>830070868</v>
      </c>
      <c r="B92" t="s">
        <v>347</v>
      </c>
      <c r="C92" t="s">
        <v>324</v>
      </c>
      <c r="D92" s="56">
        <v>1.4278835676510111</v>
      </c>
      <c r="E92" s="57">
        <v>4653286</v>
      </c>
      <c r="F92" s="58">
        <v>0.72889968628804758</v>
      </c>
      <c r="G92" s="59">
        <v>5036985</v>
      </c>
      <c r="H92" s="58">
        <v>8.2735465747904594E-2</v>
      </c>
      <c r="I92" s="58">
        <v>0.30518395429011602</v>
      </c>
      <c r="J92" s="60">
        <v>1.5130481600288199</v>
      </c>
      <c r="K92" s="59"/>
      <c r="L92" s="50"/>
    </row>
    <row r="93" spans="1:12" ht="15" customHeight="1" x14ac:dyDescent="0.35">
      <c r="A93">
        <v>830070971</v>
      </c>
      <c r="B93" t="s">
        <v>348</v>
      </c>
      <c r="C93" t="s">
        <v>324</v>
      </c>
      <c r="D93" s="56">
        <v>3.0953105599603838</v>
      </c>
      <c r="E93" s="57">
        <v>1159350</v>
      </c>
      <c r="F93" s="58">
        <v>0.32135848179930593</v>
      </c>
      <c r="G93" s="59">
        <v>1168468</v>
      </c>
      <c r="H93" s="58">
        <v>0.14397641968317579</v>
      </c>
      <c r="I93" s="58">
        <v>0.21215386300694586</v>
      </c>
      <c r="J93" s="60">
        <v>7.2207334479042267</v>
      </c>
      <c r="K93" s="59"/>
      <c r="L93" s="50"/>
    </row>
    <row r="94" spans="1:12" ht="15" customHeight="1" x14ac:dyDescent="0.35">
      <c r="A94">
        <v>830072281</v>
      </c>
      <c r="B94" t="s">
        <v>147</v>
      </c>
      <c r="C94" t="s">
        <v>97</v>
      </c>
      <c r="D94" s="56">
        <v>2.0640372468578096</v>
      </c>
      <c r="E94" s="57">
        <v>4611198</v>
      </c>
      <c r="F94" s="58">
        <v>0.68233138627395218</v>
      </c>
      <c r="G94" s="59">
        <v>2908692</v>
      </c>
      <c r="H94" s="58">
        <v>0.17515354334664429</v>
      </c>
      <c r="I94" s="58">
        <v>0.55137188812015847</v>
      </c>
      <c r="J94" s="60">
        <v>1.9698280944473376</v>
      </c>
      <c r="K94" s="59"/>
      <c r="L94" s="50"/>
    </row>
    <row r="95" spans="1:12" ht="15" customHeight="1" x14ac:dyDescent="0.35">
      <c r="A95">
        <v>830075260</v>
      </c>
      <c r="B95" t="s">
        <v>148</v>
      </c>
      <c r="C95" t="s">
        <v>97</v>
      </c>
      <c r="D95" s="56">
        <v>3.6769354807823089</v>
      </c>
      <c r="E95" s="57">
        <v>5451812</v>
      </c>
      <c r="F95" s="58">
        <v>0.2036223552023097</v>
      </c>
      <c r="G95" s="59">
        <v>9014322</v>
      </c>
      <c r="H95" s="58">
        <v>0.16328754222377906</v>
      </c>
      <c r="I95" s="58">
        <v>0.20503782758148645</v>
      </c>
      <c r="J95" s="60">
        <v>1000</v>
      </c>
      <c r="K95" s="59"/>
      <c r="L95" s="50"/>
    </row>
    <row r="96" spans="1:12" ht="15" customHeight="1" x14ac:dyDescent="0.35">
      <c r="A96">
        <v>830085577</v>
      </c>
      <c r="B96" t="s">
        <v>349</v>
      </c>
      <c r="C96" t="s">
        <v>324</v>
      </c>
      <c r="D96" s="56">
        <v>8.8579480277072999</v>
      </c>
      <c r="E96" s="57">
        <v>67021696</v>
      </c>
      <c r="F96" s="58">
        <v>0.88682632223479974</v>
      </c>
      <c r="G96" s="59">
        <v>17924351</v>
      </c>
      <c r="H96" s="58">
        <v>6.7692451514656748E-2</v>
      </c>
      <c r="I96" s="58">
        <v>0.59812893643959553</v>
      </c>
      <c r="J96" s="60">
        <v>1.8759854499692208</v>
      </c>
      <c r="K96" s="59"/>
      <c r="L96" s="50"/>
    </row>
    <row r="97" spans="1:12" ht="15" customHeight="1" x14ac:dyDescent="0.35">
      <c r="A97">
        <v>830086418</v>
      </c>
      <c r="B97" t="s">
        <v>350</v>
      </c>
      <c r="C97" t="s">
        <v>324</v>
      </c>
      <c r="D97" s="56">
        <v>5.3111272302670569</v>
      </c>
      <c r="E97" s="57">
        <v>3898880</v>
      </c>
      <c r="F97" s="58">
        <v>0.25517476718017151</v>
      </c>
      <c r="G97" s="59">
        <v>6436767</v>
      </c>
      <c r="H97" s="58">
        <v>0.16615087069715365</v>
      </c>
      <c r="I97" s="58">
        <v>0.22307363308319222</v>
      </c>
      <c r="J97" s="60">
        <v>2.545273898176494</v>
      </c>
      <c r="K97" s="59"/>
      <c r="L97" s="50"/>
    </row>
    <row r="98" spans="1:12" ht="15" customHeight="1" x14ac:dyDescent="0.35">
      <c r="A98">
        <v>830091761</v>
      </c>
      <c r="B98" t="s">
        <v>149</v>
      </c>
      <c r="C98" t="s">
        <v>101</v>
      </c>
      <c r="D98" s="56">
        <v>2.1091470841742308</v>
      </c>
      <c r="E98" s="57">
        <v>2852896</v>
      </c>
      <c r="F98" s="58">
        <v>0.4407744950725197</v>
      </c>
      <c r="G98" s="59">
        <v>3268035</v>
      </c>
      <c r="H98" s="58">
        <v>0.20810409696743196</v>
      </c>
      <c r="I98" s="58">
        <v>0.37212912346409999</v>
      </c>
      <c r="J98" s="60">
        <v>7.1514821849658636</v>
      </c>
      <c r="K98" s="59"/>
      <c r="L98" s="50"/>
    </row>
    <row r="99" spans="1:12" ht="15" customHeight="1" x14ac:dyDescent="0.35">
      <c r="A99">
        <v>830103572</v>
      </c>
      <c r="B99" t="s">
        <v>351</v>
      </c>
      <c r="C99" t="s">
        <v>324</v>
      </c>
      <c r="D99" s="56">
        <v>1.9366445805162371</v>
      </c>
      <c r="E99" s="57">
        <v>1621284</v>
      </c>
      <c r="F99" s="58">
        <v>0.48262237766778837</v>
      </c>
      <c r="G99" s="59">
        <v>1991834</v>
      </c>
      <c r="H99" s="58">
        <v>0.10535304484702711</v>
      </c>
      <c r="I99" s="58">
        <v>0.20362891686757029</v>
      </c>
      <c r="J99" s="60">
        <v>1000</v>
      </c>
      <c r="K99" s="59"/>
      <c r="L99" s="50"/>
    </row>
    <row r="100" spans="1:12" ht="15" customHeight="1" x14ac:dyDescent="0.35">
      <c r="A100">
        <v>830103718</v>
      </c>
      <c r="B100" t="s">
        <v>150</v>
      </c>
      <c r="C100" t="s">
        <v>97</v>
      </c>
      <c r="D100" s="56">
        <v>2.0736597195278499</v>
      </c>
      <c r="E100" s="57">
        <v>8304482</v>
      </c>
      <c r="F100" s="58">
        <v>0.50261432431480457</v>
      </c>
      <c r="G100" s="59">
        <v>8642098</v>
      </c>
      <c r="H100" s="58">
        <v>0.15298660538643816</v>
      </c>
      <c r="I100" s="58">
        <v>0.30758144607941268</v>
      </c>
      <c r="J100" s="60">
        <v>1000</v>
      </c>
      <c r="K100" s="59"/>
      <c r="L100" s="50"/>
    </row>
    <row r="101" spans="1:12" ht="15" customHeight="1" x14ac:dyDescent="0.35">
      <c r="A101">
        <v>830109536</v>
      </c>
      <c r="B101" t="s">
        <v>352</v>
      </c>
      <c r="C101" t="s">
        <v>324</v>
      </c>
      <c r="D101" s="56">
        <v>18.005250925933531</v>
      </c>
      <c r="E101" s="57">
        <v>20707124</v>
      </c>
      <c r="F101" s="58">
        <v>0.36053025135394273</v>
      </c>
      <c r="G101" s="59">
        <v>21484778</v>
      </c>
      <c r="H101" s="58">
        <v>0.30075190633006288</v>
      </c>
      <c r="I101" s="58">
        <v>0.47031451756215492</v>
      </c>
      <c r="J101" s="60">
        <v>6.1158510566826392</v>
      </c>
      <c r="K101" s="59"/>
      <c r="L101" s="50"/>
    </row>
    <row r="102" spans="1:12" ht="15" customHeight="1" x14ac:dyDescent="0.35">
      <c r="A102">
        <v>830122904</v>
      </c>
      <c r="B102" t="s">
        <v>353</v>
      </c>
      <c r="C102" t="s">
        <v>324</v>
      </c>
      <c r="D102" s="56">
        <v>1.5389549783801415</v>
      </c>
      <c r="E102" s="57">
        <v>10625734</v>
      </c>
      <c r="F102" s="58">
        <v>0.58278358947390851</v>
      </c>
      <c r="G102" s="59">
        <v>15997522</v>
      </c>
      <c r="H102" s="58">
        <v>0.13969061688559534</v>
      </c>
      <c r="I102" s="58">
        <v>0.33481572958611966</v>
      </c>
      <c r="J102" s="60">
        <v>2.203844718500954</v>
      </c>
      <c r="K102" s="59"/>
      <c r="L102" s="50"/>
    </row>
    <row r="103" spans="1:12" ht="15" customHeight="1" x14ac:dyDescent="0.35">
      <c r="A103">
        <v>830125982</v>
      </c>
      <c r="B103" t="s">
        <v>151</v>
      </c>
      <c r="C103" t="s">
        <v>101</v>
      </c>
      <c r="D103" s="56">
        <v>2.0888842950872024</v>
      </c>
      <c r="E103" s="57">
        <v>3587105</v>
      </c>
      <c r="F103" s="58">
        <v>0.42322967661948602</v>
      </c>
      <c r="G103" s="59">
        <v>4649345</v>
      </c>
      <c r="H103" s="58">
        <v>0.18164758487130442</v>
      </c>
      <c r="I103" s="58">
        <v>0.31493920111327511</v>
      </c>
      <c r="J103" s="60">
        <v>6.3739732288605939</v>
      </c>
      <c r="K103" s="59"/>
      <c r="L103" s="50"/>
    </row>
    <row r="104" spans="1:12" ht="15" customHeight="1" x14ac:dyDescent="0.35">
      <c r="A104">
        <v>830129423</v>
      </c>
      <c r="B104" t="s">
        <v>152</v>
      </c>
      <c r="C104" t="s">
        <v>97</v>
      </c>
      <c r="D104" s="56">
        <v>2.0249670190075233</v>
      </c>
      <c r="E104" s="57">
        <v>5970766</v>
      </c>
      <c r="F104" s="58">
        <v>0.61571162112659461</v>
      </c>
      <c r="G104" s="59">
        <v>7134386</v>
      </c>
      <c r="H104" s="58">
        <v>0.10591726838424691</v>
      </c>
      <c r="I104" s="58">
        <v>0.27561923338602651</v>
      </c>
      <c r="J104" s="60">
        <v>1.3839420065453778</v>
      </c>
      <c r="K104" s="59"/>
      <c r="L104" s="50"/>
    </row>
    <row r="105" spans="1:12" ht="15" customHeight="1" x14ac:dyDescent="0.35">
      <c r="A105">
        <v>830132339</v>
      </c>
      <c r="B105" t="s">
        <v>354</v>
      </c>
      <c r="C105" t="s">
        <v>324</v>
      </c>
      <c r="D105" s="56">
        <v>3.011875893489385</v>
      </c>
      <c r="E105" s="57">
        <v>1204663</v>
      </c>
      <c r="F105" s="58">
        <v>0.4230168466816836</v>
      </c>
      <c r="G105" s="59">
        <v>1084531</v>
      </c>
      <c r="H105" s="58">
        <v>0.24538719277655829</v>
      </c>
      <c r="I105" s="58">
        <v>0.42529351397055504</v>
      </c>
      <c r="J105" s="60">
        <v>1000</v>
      </c>
      <c r="K105" s="59"/>
      <c r="L105" s="50"/>
    </row>
    <row r="106" spans="1:12" ht="15" customHeight="1" x14ac:dyDescent="0.35">
      <c r="A106">
        <v>830138262</v>
      </c>
      <c r="B106" t="s">
        <v>355</v>
      </c>
      <c r="C106" t="s">
        <v>324</v>
      </c>
      <c r="D106" s="56">
        <v>1.2058849918326309</v>
      </c>
      <c r="E106" s="57">
        <v>312078</v>
      </c>
      <c r="F106" s="58">
        <v>0.64275916036760472</v>
      </c>
      <c r="G106" s="59">
        <v>1230774</v>
      </c>
      <c r="H106" s="58">
        <v>0.29275791226225772</v>
      </c>
      <c r="I106" s="58">
        <v>0.81949732444786771</v>
      </c>
      <c r="J106" s="60">
        <v>8.0872375057129346</v>
      </c>
      <c r="K106" s="59"/>
      <c r="L106" s="50"/>
    </row>
    <row r="107" spans="1:12" ht="15" customHeight="1" x14ac:dyDescent="0.35">
      <c r="A107">
        <v>830140354</v>
      </c>
      <c r="B107" t="s">
        <v>153</v>
      </c>
      <c r="C107" t="s">
        <v>97</v>
      </c>
      <c r="D107" s="56">
        <v>1.2682499026129366</v>
      </c>
      <c r="E107" s="57">
        <v>1176848</v>
      </c>
      <c r="F107" s="58">
        <v>0.762012706065612</v>
      </c>
      <c r="G107" s="59">
        <v>1464253</v>
      </c>
      <c r="H107" s="58">
        <v>5.2179775485432948E-2</v>
      </c>
      <c r="I107" s="58">
        <v>0.21925445944109387</v>
      </c>
      <c r="J107" s="60">
        <v>1.4039743208494411</v>
      </c>
      <c r="K107" s="59"/>
      <c r="L107" s="50"/>
    </row>
    <row r="108" spans="1:12" ht="15" customHeight="1" x14ac:dyDescent="0.35">
      <c r="A108">
        <v>830140704</v>
      </c>
      <c r="B108" t="s">
        <v>154</v>
      </c>
      <c r="C108" t="s">
        <v>97</v>
      </c>
      <c r="D108" s="56">
        <v>4.4906125595342772</v>
      </c>
      <c r="E108" s="57">
        <v>3830867</v>
      </c>
      <c r="F108" s="58">
        <v>0.70052547099562712</v>
      </c>
      <c r="G108" s="59">
        <v>2324176</v>
      </c>
      <c r="H108" s="58">
        <v>6.888642438125632E-2</v>
      </c>
      <c r="I108" s="58">
        <v>0.23002431829603265</v>
      </c>
      <c r="J108" s="60">
        <v>0.79148228696464495</v>
      </c>
      <c r="K108" s="59"/>
      <c r="L108" s="50"/>
    </row>
    <row r="109" spans="1:12" ht="15" customHeight="1" x14ac:dyDescent="0.35">
      <c r="A109">
        <v>830140992</v>
      </c>
      <c r="B109" t="s">
        <v>155</v>
      </c>
      <c r="C109" t="s">
        <v>101</v>
      </c>
      <c r="D109" s="56">
        <v>2.013130764944365</v>
      </c>
      <c r="E109" s="57">
        <v>1952690</v>
      </c>
      <c r="F109" s="58">
        <v>0.47985779337951168</v>
      </c>
      <c r="G109" s="59">
        <v>2091006</v>
      </c>
      <c r="H109" s="58">
        <v>0.13401048639499949</v>
      </c>
      <c r="I109" s="58">
        <v>0.25764201537441789</v>
      </c>
      <c r="J109" s="60">
        <v>3.3666899973752953</v>
      </c>
      <c r="K109" s="59"/>
      <c r="L109" s="50"/>
    </row>
    <row r="110" spans="1:12" ht="15" customHeight="1" x14ac:dyDescent="0.35">
      <c r="A110">
        <v>830503864</v>
      </c>
      <c r="B110" t="s">
        <v>156</v>
      </c>
      <c r="C110" t="s">
        <v>97</v>
      </c>
      <c r="D110" s="56">
        <v>8.0575952637160722</v>
      </c>
      <c r="E110" s="57">
        <v>3633490</v>
      </c>
      <c r="F110" s="58">
        <v>0.11352213336955452</v>
      </c>
      <c r="G110" s="59">
        <v>4020264</v>
      </c>
      <c r="H110" s="58">
        <v>0.31864294884035582</v>
      </c>
      <c r="I110" s="58">
        <v>0.35944828498824954</v>
      </c>
      <c r="J110" s="60">
        <v>1000</v>
      </c>
      <c r="K110" s="59"/>
      <c r="L110" s="50"/>
    </row>
    <row r="111" spans="1:12" ht="15" customHeight="1" x14ac:dyDescent="0.35">
      <c r="A111">
        <v>830506672</v>
      </c>
      <c r="B111" t="s">
        <v>157</v>
      </c>
      <c r="C111" t="s">
        <v>97</v>
      </c>
      <c r="D111" s="56">
        <v>2.1422091206825384</v>
      </c>
      <c r="E111" s="57">
        <v>13700249</v>
      </c>
      <c r="F111" s="58">
        <v>0.53419954739750564</v>
      </c>
      <c r="G111" s="59">
        <v>13984434</v>
      </c>
      <c r="H111" s="58">
        <v>0.12777495155196103</v>
      </c>
      <c r="I111" s="58">
        <v>0.27431263932455185</v>
      </c>
      <c r="J111" s="60">
        <v>1000</v>
      </c>
      <c r="K111" s="59"/>
      <c r="L111" s="50"/>
    </row>
    <row r="112" spans="1:12" ht="15" customHeight="1" x14ac:dyDescent="0.35">
      <c r="A112">
        <v>830506751</v>
      </c>
      <c r="B112" t="s">
        <v>158</v>
      </c>
      <c r="C112" t="s">
        <v>97</v>
      </c>
      <c r="D112" s="56">
        <v>1.9460793643669541</v>
      </c>
      <c r="E112" s="57">
        <v>10771527</v>
      </c>
      <c r="F112" s="58">
        <v>0.52229339664616525</v>
      </c>
      <c r="G112" s="59">
        <v>12291196</v>
      </c>
      <c r="H112" s="58">
        <v>0.1562907798926621</v>
      </c>
      <c r="I112" s="58">
        <v>0.32716897525676103</v>
      </c>
      <c r="J112" s="60">
        <v>3.0025685327853795</v>
      </c>
      <c r="K112" s="59"/>
      <c r="L112" s="50"/>
    </row>
    <row r="113" spans="1:12" ht="15" customHeight="1" x14ac:dyDescent="0.35">
      <c r="A113">
        <v>830507952</v>
      </c>
      <c r="B113" t="s">
        <v>159</v>
      </c>
      <c r="C113" t="s">
        <v>101</v>
      </c>
      <c r="D113" s="56">
        <v>1.7628641192193752</v>
      </c>
      <c r="E113" s="57">
        <v>11488607</v>
      </c>
      <c r="F113" s="58">
        <v>0.55161964853414058</v>
      </c>
      <c r="G113" s="59">
        <v>16227970</v>
      </c>
      <c r="H113" s="58">
        <v>0.23059400283263734</v>
      </c>
      <c r="I113" s="58">
        <v>0.5142821314064544</v>
      </c>
      <c r="J113" s="60">
        <v>3.5356552020690928</v>
      </c>
      <c r="K113" s="59"/>
      <c r="L113" s="50"/>
    </row>
    <row r="114" spans="1:12" ht="15" customHeight="1" x14ac:dyDescent="0.35">
      <c r="A114">
        <v>830514610</v>
      </c>
      <c r="B114" t="s">
        <v>160</v>
      </c>
      <c r="C114" t="s">
        <v>97</v>
      </c>
      <c r="D114" s="56">
        <v>1.7288106798657727</v>
      </c>
      <c r="E114" s="57">
        <v>3689357</v>
      </c>
      <c r="F114" s="58">
        <v>0.4246105438387901</v>
      </c>
      <c r="G114" s="59">
        <v>11874967</v>
      </c>
      <c r="H114" s="58">
        <v>0.17591562765982086</v>
      </c>
      <c r="I114" s="58">
        <v>0.30573314435315907</v>
      </c>
      <c r="J114" s="60">
        <v>4.0554843754363432</v>
      </c>
      <c r="K114" s="59"/>
      <c r="L114" s="50"/>
    </row>
    <row r="115" spans="1:12" ht="15" customHeight="1" x14ac:dyDescent="0.35">
      <c r="A115">
        <v>832008716</v>
      </c>
      <c r="B115" t="s">
        <v>161</v>
      </c>
      <c r="C115" t="s">
        <v>97</v>
      </c>
      <c r="D115" s="56">
        <v>1.536469415828621</v>
      </c>
      <c r="E115" s="57">
        <v>1277993</v>
      </c>
      <c r="F115" s="58">
        <v>0.66205068563546376</v>
      </c>
      <c r="G115" s="59">
        <v>1336965</v>
      </c>
      <c r="H115" s="58">
        <v>7.8663616870204095E-2</v>
      </c>
      <c r="I115" s="58">
        <v>0.23276749952317374</v>
      </c>
      <c r="J115" s="60">
        <v>3.4051339285714284</v>
      </c>
      <c r="K115" s="59"/>
      <c r="L115" s="50"/>
    </row>
    <row r="116" spans="1:12" ht="15" customHeight="1" x14ac:dyDescent="0.35">
      <c r="A116">
        <v>860001711</v>
      </c>
      <c r="B116" t="s">
        <v>356</v>
      </c>
      <c r="C116" t="s">
        <v>324</v>
      </c>
      <c r="D116" s="56">
        <v>4.0357483324078594</v>
      </c>
      <c r="E116" s="57">
        <v>17450720</v>
      </c>
      <c r="F116" s="58">
        <v>0.33649112626653332</v>
      </c>
      <c r="G116" s="59">
        <v>16172636</v>
      </c>
      <c r="H116" s="58">
        <v>0.17612046208465862</v>
      </c>
      <c r="I116" s="58">
        <v>0.26543799044262173</v>
      </c>
      <c r="J116" s="60">
        <v>24.238909121707461</v>
      </c>
      <c r="K116" s="59"/>
      <c r="L116" s="50"/>
    </row>
    <row r="117" spans="1:12" ht="15" customHeight="1" x14ac:dyDescent="0.35">
      <c r="A117">
        <v>860001860</v>
      </c>
      <c r="B117" t="s">
        <v>162</v>
      </c>
      <c r="C117" t="s">
        <v>97</v>
      </c>
      <c r="D117" s="56">
        <v>1.4308267928090157</v>
      </c>
      <c r="E117" s="57">
        <v>1860893</v>
      </c>
      <c r="F117" s="58">
        <v>0.66386152861175718</v>
      </c>
      <c r="G117" s="59">
        <v>2220322</v>
      </c>
      <c r="H117" s="58">
        <v>0.16277642812017296</v>
      </c>
      <c r="I117" s="58">
        <v>0.48425408566865524</v>
      </c>
      <c r="J117" s="60">
        <v>6.1944761312178089</v>
      </c>
      <c r="K117" s="59"/>
      <c r="L117" s="50"/>
    </row>
    <row r="118" spans="1:12" ht="15" customHeight="1" x14ac:dyDescent="0.35">
      <c r="A118">
        <v>860002693</v>
      </c>
      <c r="B118" t="s">
        <v>357</v>
      </c>
      <c r="C118" t="s">
        <v>324</v>
      </c>
      <c r="D118" s="56">
        <v>1.6647355257768741</v>
      </c>
      <c r="E118" s="57">
        <v>97856319</v>
      </c>
      <c r="F118" s="58">
        <v>0.47800575134960888</v>
      </c>
      <c r="G118" s="59">
        <v>163758275</v>
      </c>
      <c r="H118" s="58">
        <v>0.12566337135838196</v>
      </c>
      <c r="I118" s="58">
        <v>0.24073708030937674</v>
      </c>
      <c r="J118" s="60">
        <v>15.694732789721646</v>
      </c>
      <c r="K118" s="59"/>
      <c r="L118" s="50"/>
    </row>
    <row r="119" spans="1:12" ht="15" customHeight="1" x14ac:dyDescent="0.35">
      <c r="A119">
        <v>860031342</v>
      </c>
      <c r="B119" t="s">
        <v>163</v>
      </c>
      <c r="C119" t="s">
        <v>97</v>
      </c>
      <c r="D119" s="56">
        <v>3.3643123383731655</v>
      </c>
      <c r="E119" s="57">
        <v>9321831</v>
      </c>
      <c r="F119" s="58">
        <v>0.20530655930338143</v>
      </c>
      <c r="G119" s="59">
        <v>15261358</v>
      </c>
      <c r="H119" s="58">
        <v>0.32913398307713954</v>
      </c>
      <c r="I119" s="58">
        <v>0.41416471587915049</v>
      </c>
      <c r="J119" s="60">
        <v>275.46047241349254</v>
      </c>
      <c r="K119" s="59"/>
      <c r="L119" s="50"/>
    </row>
    <row r="120" spans="1:12" ht="15" customHeight="1" x14ac:dyDescent="0.35">
      <c r="A120">
        <v>860032999</v>
      </c>
      <c r="B120" t="s">
        <v>164</v>
      </c>
      <c r="C120" t="s">
        <v>97</v>
      </c>
      <c r="D120" s="56">
        <v>2.2693231692731382</v>
      </c>
      <c r="E120" s="57">
        <v>10549157</v>
      </c>
      <c r="F120" s="58">
        <v>0.48395528671717697</v>
      </c>
      <c r="G120" s="59">
        <v>10654785</v>
      </c>
      <c r="H120" s="58">
        <v>0.13168651610191281</v>
      </c>
      <c r="I120" s="58">
        <v>0.25518431390215757</v>
      </c>
      <c r="J120" s="60">
        <v>1.7475654645943899</v>
      </c>
      <c r="K120" s="59"/>
      <c r="L120" s="50"/>
    </row>
    <row r="121" spans="1:12" ht="15" customHeight="1" x14ac:dyDescent="0.35">
      <c r="A121">
        <v>860065036</v>
      </c>
      <c r="B121" t="s">
        <v>165</v>
      </c>
      <c r="C121" t="s">
        <v>97</v>
      </c>
      <c r="D121" s="56">
        <v>3.8790386754965906</v>
      </c>
      <c r="E121" s="57">
        <v>7760538</v>
      </c>
      <c r="F121" s="58">
        <v>0.41022348150447624</v>
      </c>
      <c r="G121" s="59">
        <v>7909175</v>
      </c>
      <c r="H121" s="58">
        <v>0.14534638294686514</v>
      </c>
      <c r="I121" s="58">
        <v>0.24644314988605007</v>
      </c>
      <c r="J121" s="60">
        <v>3.00217481709665</v>
      </c>
      <c r="K121" s="59"/>
      <c r="L121" s="50"/>
    </row>
    <row r="122" spans="1:12" ht="15" customHeight="1" x14ac:dyDescent="0.35">
      <c r="A122">
        <v>860065726</v>
      </c>
      <c r="B122" t="s">
        <v>166</v>
      </c>
      <c r="C122" t="s">
        <v>97</v>
      </c>
      <c r="D122" s="56">
        <v>2.2244966658980538</v>
      </c>
      <c r="E122" s="57">
        <v>5230762</v>
      </c>
      <c r="F122" s="58">
        <v>0.52049622140986551</v>
      </c>
      <c r="G122" s="59">
        <v>5312232</v>
      </c>
      <c r="H122" s="58">
        <v>0.19738535625836579</v>
      </c>
      <c r="I122" s="58">
        <v>0.41164504863492407</v>
      </c>
      <c r="J122" s="60">
        <v>11.056273510496299</v>
      </c>
      <c r="K122" s="59"/>
      <c r="L122" s="50"/>
    </row>
    <row r="123" spans="1:12" ht="15" customHeight="1" x14ac:dyDescent="0.35">
      <c r="A123">
        <v>860066471</v>
      </c>
      <c r="B123" t="s">
        <v>167</v>
      </c>
      <c r="C123" t="s">
        <v>101</v>
      </c>
      <c r="D123" s="56">
        <v>1.7244782703717623</v>
      </c>
      <c r="E123" s="57">
        <v>24089548</v>
      </c>
      <c r="F123" s="58">
        <v>0.82350738751600805</v>
      </c>
      <c r="G123" s="59">
        <v>20162114</v>
      </c>
      <c r="H123" s="58">
        <v>0.15671844366784554</v>
      </c>
      <c r="I123" s="58">
        <v>0.88796035971228016</v>
      </c>
      <c r="J123" s="60">
        <v>1.5230110623408193</v>
      </c>
      <c r="K123" s="59"/>
      <c r="L123" s="50"/>
    </row>
    <row r="124" spans="1:12" ht="15" customHeight="1" x14ac:dyDescent="0.35">
      <c r="A124">
        <v>860502994</v>
      </c>
      <c r="B124" t="s">
        <v>168</v>
      </c>
      <c r="C124" t="s">
        <v>101</v>
      </c>
      <c r="D124" s="56">
        <v>4.1201860802738697</v>
      </c>
      <c r="E124" s="57">
        <v>23589833</v>
      </c>
      <c r="F124" s="58">
        <v>0.29603646860612864</v>
      </c>
      <c r="G124" s="59">
        <v>26118412</v>
      </c>
      <c r="H124" s="58">
        <v>0.20793158546242016</v>
      </c>
      <c r="I124" s="58">
        <v>0.29537266660775546</v>
      </c>
      <c r="J124" s="60">
        <v>6.779053878903178</v>
      </c>
      <c r="K124" s="59"/>
      <c r="L124" s="50"/>
    </row>
    <row r="125" spans="1:12" ht="15" customHeight="1" x14ac:dyDescent="0.35">
      <c r="A125">
        <v>860524523</v>
      </c>
      <c r="B125" t="s">
        <v>358</v>
      </c>
      <c r="C125" t="s">
        <v>324</v>
      </c>
      <c r="D125" s="56">
        <v>1.4804160462673563</v>
      </c>
      <c r="E125" s="57">
        <v>5595116</v>
      </c>
      <c r="F125" s="58">
        <v>0.89216803784491916</v>
      </c>
      <c r="G125" s="59">
        <v>2376189</v>
      </c>
      <c r="H125" s="58">
        <v>7.9646992771295166E-2</v>
      </c>
      <c r="I125" s="58">
        <v>0.73862138070666938</v>
      </c>
      <c r="J125" s="60">
        <v>1.1508554185029536</v>
      </c>
      <c r="K125" s="59"/>
      <c r="L125" s="50"/>
    </row>
    <row r="126" spans="1:12" ht="15" customHeight="1" x14ac:dyDescent="0.35">
      <c r="A126">
        <v>860531083</v>
      </c>
      <c r="B126" t="s">
        <v>169</v>
      </c>
      <c r="C126" t="s">
        <v>97</v>
      </c>
      <c r="D126" s="56">
        <v>1.6491200428717538</v>
      </c>
      <c r="E126" s="57">
        <v>6950312</v>
      </c>
      <c r="F126" s="58">
        <v>0.4778525157459213</v>
      </c>
      <c r="G126" s="59">
        <v>13403516</v>
      </c>
      <c r="H126" s="58">
        <v>0.20642290307889202</v>
      </c>
      <c r="I126" s="58">
        <v>0.39533447790863235</v>
      </c>
      <c r="J126" s="60">
        <v>2993.7129943502823</v>
      </c>
      <c r="K126" s="59"/>
      <c r="L126" s="50"/>
    </row>
    <row r="127" spans="1:12" ht="15" customHeight="1" x14ac:dyDescent="0.35">
      <c r="A127">
        <v>860531287</v>
      </c>
      <c r="B127" t="s">
        <v>170</v>
      </c>
      <c r="C127" t="s">
        <v>97</v>
      </c>
      <c r="D127" s="56">
        <v>1.3602980530780584</v>
      </c>
      <c r="E127" s="57">
        <v>61287583</v>
      </c>
      <c r="F127" s="58">
        <v>0.89225271654184213</v>
      </c>
      <c r="G127" s="59">
        <v>27433666</v>
      </c>
      <c r="H127" s="58">
        <v>0.13175063762314815</v>
      </c>
      <c r="I127" s="58">
        <v>1.2227745646535173</v>
      </c>
      <c r="J127" s="60">
        <v>1.9930942303143617</v>
      </c>
      <c r="K127" s="59"/>
      <c r="L127" s="50"/>
    </row>
    <row r="128" spans="1:12" ht="15" customHeight="1" x14ac:dyDescent="0.35">
      <c r="A128">
        <v>860536079</v>
      </c>
      <c r="B128" t="s">
        <v>359</v>
      </c>
      <c r="C128" t="s">
        <v>324</v>
      </c>
      <c r="D128" s="56">
        <v>3.6157969043694638</v>
      </c>
      <c r="E128" s="57">
        <v>3120065</v>
      </c>
      <c r="F128" s="58">
        <v>0.20521924639064906</v>
      </c>
      <c r="G128" s="59">
        <v>4901277</v>
      </c>
      <c r="H128" s="58">
        <v>0.35562312494800813</v>
      </c>
      <c r="I128" s="58">
        <v>0.44744808342805353</v>
      </c>
      <c r="J128" s="60">
        <v>1000</v>
      </c>
      <c r="K128" s="59"/>
      <c r="L128" s="50"/>
    </row>
    <row r="129" spans="1:12" ht="15" customHeight="1" x14ac:dyDescent="0.35">
      <c r="A129">
        <v>890106278</v>
      </c>
      <c r="B129" t="s">
        <v>171</v>
      </c>
      <c r="C129" t="s">
        <v>97</v>
      </c>
      <c r="D129" s="56">
        <v>2.070254465319064</v>
      </c>
      <c r="E129" s="57">
        <v>78963916</v>
      </c>
      <c r="F129" s="58">
        <v>0.55607312250692498</v>
      </c>
      <c r="G129" s="59">
        <v>81595261</v>
      </c>
      <c r="H129" s="58">
        <v>0.10327157692490978</v>
      </c>
      <c r="I129" s="58">
        <v>0.23263195395624753</v>
      </c>
      <c r="J129" s="60">
        <v>1.3457452197445336</v>
      </c>
      <c r="K129" s="59"/>
      <c r="L129" s="50"/>
    </row>
    <row r="130" spans="1:12" ht="15" customHeight="1" x14ac:dyDescent="0.35">
      <c r="A130">
        <v>890207956</v>
      </c>
      <c r="B130" t="s">
        <v>172</v>
      </c>
      <c r="C130" t="s">
        <v>97</v>
      </c>
      <c r="D130" s="56">
        <v>2.6538181179869711</v>
      </c>
      <c r="E130" s="57">
        <v>15865876</v>
      </c>
      <c r="F130" s="58">
        <v>0.50810655848787434</v>
      </c>
      <c r="G130" s="59">
        <v>13462395</v>
      </c>
      <c r="H130" s="58">
        <v>0.14539248543189348</v>
      </c>
      <c r="I130" s="58">
        <v>0.29557719855939452</v>
      </c>
      <c r="J130" s="60">
        <v>12.769406773678028</v>
      </c>
      <c r="K130" s="59"/>
      <c r="L130" s="50"/>
    </row>
    <row r="131" spans="1:12" ht="15" customHeight="1" x14ac:dyDescent="0.35">
      <c r="A131">
        <v>890311366</v>
      </c>
      <c r="B131" t="s">
        <v>173</v>
      </c>
      <c r="C131" t="s">
        <v>97</v>
      </c>
      <c r="D131" s="56">
        <v>1.7761987856649573</v>
      </c>
      <c r="E131" s="57">
        <v>16559154</v>
      </c>
      <c r="F131" s="58">
        <v>0.54517220265288779</v>
      </c>
      <c r="G131" s="59">
        <v>17879449</v>
      </c>
      <c r="H131" s="58">
        <v>0.12253865837436788</v>
      </c>
      <c r="I131" s="58">
        <v>0.26941769849842689</v>
      </c>
      <c r="J131" s="60">
        <v>13.721923275230951</v>
      </c>
      <c r="K131" s="59"/>
      <c r="L131" s="50"/>
    </row>
    <row r="132" spans="1:12" ht="15" customHeight="1" x14ac:dyDescent="0.35">
      <c r="A132">
        <v>890319790</v>
      </c>
      <c r="B132" t="s">
        <v>360</v>
      </c>
      <c r="C132" t="s">
        <v>324</v>
      </c>
      <c r="D132" s="56">
        <v>2.9259467121002829</v>
      </c>
      <c r="E132" s="57">
        <v>16880401</v>
      </c>
      <c r="F132" s="58">
        <v>0.31947630495895235</v>
      </c>
      <c r="G132" s="59">
        <v>20851589</v>
      </c>
      <c r="H132" s="58">
        <v>0.29627936276766204</v>
      </c>
      <c r="I132" s="58">
        <v>0.43536964976626003</v>
      </c>
      <c r="J132" s="60">
        <v>8.8218135632914407</v>
      </c>
      <c r="K132" s="59"/>
      <c r="L132" s="50"/>
    </row>
    <row r="133" spans="1:12" ht="15" customHeight="1" x14ac:dyDescent="0.35">
      <c r="A133">
        <v>890900137</v>
      </c>
      <c r="B133" t="s">
        <v>174</v>
      </c>
      <c r="C133" t="s">
        <v>97</v>
      </c>
      <c r="D133" s="56">
        <v>1.460230629894288</v>
      </c>
      <c r="E133" s="57">
        <v>6027242</v>
      </c>
      <c r="F133" s="58">
        <v>0.77301131257501421</v>
      </c>
      <c r="G133" s="59">
        <v>6395330</v>
      </c>
      <c r="H133" s="58">
        <v>0.10289836996813875</v>
      </c>
      <c r="I133" s="58">
        <v>0.45331937523161431</v>
      </c>
      <c r="J133" s="60">
        <v>1.4463121901964384</v>
      </c>
      <c r="K133" s="59"/>
      <c r="L133" s="50"/>
    </row>
    <row r="134" spans="1:12" ht="15" customHeight="1" x14ac:dyDescent="0.35">
      <c r="A134">
        <v>890901484</v>
      </c>
      <c r="B134" t="s">
        <v>175</v>
      </c>
      <c r="C134" t="s">
        <v>97</v>
      </c>
      <c r="D134" s="56">
        <v>1.2326818054227304</v>
      </c>
      <c r="E134" s="57">
        <v>2183413</v>
      </c>
      <c r="F134" s="58">
        <v>0.64308661202466788</v>
      </c>
      <c r="G134" s="59">
        <v>5483184</v>
      </c>
      <c r="H134" s="58">
        <v>9.2994851324492839E-2</v>
      </c>
      <c r="I134" s="58">
        <v>0.26055299256782188</v>
      </c>
      <c r="J134" s="60">
        <v>1.5623144378430336</v>
      </c>
      <c r="K134" s="59"/>
      <c r="L134" s="50"/>
    </row>
    <row r="135" spans="1:12" ht="15" customHeight="1" x14ac:dyDescent="0.35">
      <c r="A135">
        <v>890902464</v>
      </c>
      <c r="B135" t="s">
        <v>176</v>
      </c>
      <c r="C135" t="s">
        <v>97</v>
      </c>
      <c r="D135" s="56">
        <v>2.3279660138424481</v>
      </c>
      <c r="E135" s="57">
        <v>3266564</v>
      </c>
      <c r="F135" s="58">
        <v>0.41219114207127699</v>
      </c>
      <c r="G135" s="59">
        <v>4229484</v>
      </c>
      <c r="H135" s="58">
        <v>0.14979669477699384</v>
      </c>
      <c r="I135" s="58">
        <v>0.25483912458351893</v>
      </c>
      <c r="J135" s="60"/>
      <c r="K135" s="59"/>
      <c r="L135" s="50"/>
    </row>
    <row r="136" spans="1:12" ht="15" customHeight="1" x14ac:dyDescent="0.35">
      <c r="A136">
        <v>890917961</v>
      </c>
      <c r="B136" t="s">
        <v>177</v>
      </c>
      <c r="C136" t="s">
        <v>97</v>
      </c>
      <c r="D136" s="56">
        <v>2.5598480435036515</v>
      </c>
      <c r="E136" s="57">
        <v>4420561</v>
      </c>
      <c r="F136" s="58">
        <v>0.40102492326043809</v>
      </c>
      <c r="G136" s="59">
        <v>5149935</v>
      </c>
      <c r="H136" s="58">
        <v>0.1951245837361443</v>
      </c>
      <c r="I136" s="58">
        <v>0.32576411158587437</v>
      </c>
      <c r="J136" s="60">
        <v>222.94538205980066</v>
      </c>
      <c r="K136" s="59"/>
      <c r="L136" s="50"/>
    </row>
    <row r="137" spans="1:12" ht="15" customHeight="1" x14ac:dyDescent="0.35">
      <c r="A137">
        <v>890921157</v>
      </c>
      <c r="B137" t="s">
        <v>178</v>
      </c>
      <c r="C137" t="s">
        <v>101</v>
      </c>
      <c r="D137" s="56">
        <v>2.0381234500220655</v>
      </c>
      <c r="E137" s="57">
        <v>51477005</v>
      </c>
      <c r="F137" s="58">
        <v>0.48110985772421855</v>
      </c>
      <c r="G137" s="59">
        <v>53695015</v>
      </c>
      <c r="H137" s="58">
        <v>0.13803432563390899</v>
      </c>
      <c r="I137" s="58">
        <v>0.2660184004045813</v>
      </c>
      <c r="J137" s="60">
        <v>10.721382474228351</v>
      </c>
      <c r="K137" s="59"/>
      <c r="L137" s="50"/>
    </row>
    <row r="138" spans="1:12" ht="15" customHeight="1" x14ac:dyDescent="0.35">
      <c r="A138">
        <v>890926803</v>
      </c>
      <c r="B138" t="s">
        <v>179</v>
      </c>
      <c r="C138" t="s">
        <v>101</v>
      </c>
      <c r="D138" s="56">
        <v>1.3727607482293365</v>
      </c>
      <c r="E138" s="57">
        <v>37242211</v>
      </c>
      <c r="F138" s="58">
        <v>0.76255180625010888</v>
      </c>
      <c r="G138" s="59">
        <v>48545365</v>
      </c>
      <c r="H138" s="58">
        <v>7.4588209501619679E-2</v>
      </c>
      <c r="I138" s="58">
        <v>0.31412413934883382</v>
      </c>
      <c r="J138" s="60">
        <v>0.49291304233006639</v>
      </c>
      <c r="K138" s="59"/>
      <c r="L138" s="50"/>
    </row>
    <row r="139" spans="1:12" ht="15" customHeight="1" x14ac:dyDescent="0.35">
      <c r="A139">
        <v>890933815</v>
      </c>
      <c r="B139" t="s">
        <v>361</v>
      </c>
      <c r="C139" t="s">
        <v>324</v>
      </c>
      <c r="D139" s="56">
        <v>3.5399538400519095</v>
      </c>
      <c r="E139" s="57">
        <v>58403597</v>
      </c>
      <c r="F139" s="58">
        <v>0.28694070676245553</v>
      </c>
      <c r="G139" s="59">
        <v>60400521</v>
      </c>
      <c r="H139" s="58">
        <v>0.2498223594553072</v>
      </c>
      <c r="I139" s="58">
        <v>0.35035285540003869</v>
      </c>
      <c r="J139" s="60">
        <v>9.4336656429752459</v>
      </c>
      <c r="K139" s="59"/>
      <c r="L139" s="50"/>
    </row>
    <row r="140" spans="1:12" ht="15" customHeight="1" x14ac:dyDescent="0.35">
      <c r="A140">
        <v>890937010</v>
      </c>
      <c r="B140" t="s">
        <v>180</v>
      </c>
      <c r="C140" t="s">
        <v>97</v>
      </c>
      <c r="D140" s="56">
        <v>3.3206949527659018</v>
      </c>
      <c r="E140" s="57">
        <v>22669154</v>
      </c>
      <c r="F140" s="58">
        <v>0.36266882706873549</v>
      </c>
      <c r="G140" s="59">
        <v>34548721</v>
      </c>
      <c r="H140" s="58">
        <v>0.14688706708115573</v>
      </c>
      <c r="I140" s="58">
        <v>0.23047212080586138</v>
      </c>
      <c r="J140" s="60">
        <v>7.8008521402455511</v>
      </c>
      <c r="K140" s="59"/>
      <c r="L140" s="50"/>
    </row>
    <row r="141" spans="1:12" ht="15" customHeight="1" x14ac:dyDescent="0.35">
      <c r="A141">
        <v>890939141</v>
      </c>
      <c r="B141" t="s">
        <v>362</v>
      </c>
      <c r="C141" t="s">
        <v>324</v>
      </c>
      <c r="D141" s="56">
        <v>2.9841758633666564</v>
      </c>
      <c r="E141" s="57">
        <v>5541325</v>
      </c>
      <c r="F141" s="58">
        <v>0.33225142191156054</v>
      </c>
      <c r="G141" s="59">
        <v>5614814</v>
      </c>
      <c r="H141" s="58">
        <v>0.14220174048515949</v>
      </c>
      <c r="I141" s="58">
        <v>0.21295700979587212</v>
      </c>
      <c r="J141" s="60">
        <v>5.4073387359357472</v>
      </c>
      <c r="K141" s="59"/>
      <c r="L141" s="50"/>
    </row>
    <row r="142" spans="1:12" ht="15" customHeight="1" x14ac:dyDescent="0.35">
      <c r="A142">
        <v>890940343</v>
      </c>
      <c r="B142" t="s">
        <v>181</v>
      </c>
      <c r="C142" t="s">
        <v>97</v>
      </c>
      <c r="D142" s="56">
        <v>1.9558752622821263</v>
      </c>
      <c r="E142" s="57">
        <v>6030661</v>
      </c>
      <c r="F142" s="58">
        <v>0.62405441437938025</v>
      </c>
      <c r="G142" s="59">
        <v>5030923</v>
      </c>
      <c r="H142" s="58">
        <v>0.11934284213981848</v>
      </c>
      <c r="I142" s="58">
        <v>0.31744711656290509</v>
      </c>
      <c r="J142" s="60">
        <v>1.1630792266394003</v>
      </c>
      <c r="K142" s="59"/>
      <c r="L142" s="50"/>
    </row>
    <row r="143" spans="1:12" ht="15" customHeight="1" x14ac:dyDescent="0.35">
      <c r="A143">
        <v>890941103</v>
      </c>
      <c r="B143" t="s">
        <v>182</v>
      </c>
      <c r="C143" t="s">
        <v>97</v>
      </c>
      <c r="D143" s="56">
        <v>1.4385923849687969</v>
      </c>
      <c r="E143" s="57">
        <v>9365611</v>
      </c>
      <c r="F143" s="58">
        <v>0.63959442813644241</v>
      </c>
      <c r="G143" s="59">
        <v>12452201</v>
      </c>
      <c r="H143" s="58">
        <v>0.11514228019066455</v>
      </c>
      <c r="I143" s="58">
        <v>0.3194797449864486</v>
      </c>
      <c r="J143" s="60">
        <v>9.9872618180905288</v>
      </c>
      <c r="K143" s="59"/>
      <c r="L143" s="50"/>
    </row>
    <row r="144" spans="1:12" ht="15" customHeight="1" x14ac:dyDescent="0.35">
      <c r="A144">
        <v>891201261</v>
      </c>
      <c r="B144" t="s">
        <v>183</v>
      </c>
      <c r="C144" t="s">
        <v>97</v>
      </c>
      <c r="D144" s="56">
        <v>1.6778912784803703</v>
      </c>
      <c r="E144" s="57">
        <v>7774167</v>
      </c>
      <c r="F144" s="58">
        <v>0.68547318242298527</v>
      </c>
      <c r="G144" s="59">
        <v>7517530</v>
      </c>
      <c r="H144" s="58">
        <v>6.7472856245228766E-2</v>
      </c>
      <c r="I144" s="58">
        <v>0.21452179106701269</v>
      </c>
      <c r="J144" s="60">
        <v>1.0678291339896546</v>
      </c>
      <c r="K144" s="59"/>
      <c r="L144" s="50"/>
    </row>
    <row r="145" spans="1:12" ht="15" customHeight="1" x14ac:dyDescent="0.35">
      <c r="A145">
        <v>892002380</v>
      </c>
      <c r="B145" t="s">
        <v>184</v>
      </c>
      <c r="C145" t="s">
        <v>97</v>
      </c>
      <c r="D145" s="56">
        <v>1.3796084142597975</v>
      </c>
      <c r="E145" s="57">
        <v>362832</v>
      </c>
      <c r="F145" s="58">
        <v>0.7604078866666325</v>
      </c>
      <c r="G145" s="59">
        <v>327745</v>
      </c>
      <c r="H145" s="58">
        <v>6.036424405067807E-2</v>
      </c>
      <c r="I145" s="58">
        <v>0.25194587255335704</v>
      </c>
      <c r="J145" s="60">
        <v>6.7805879454754479</v>
      </c>
      <c r="K145" s="59"/>
      <c r="L145" s="50"/>
    </row>
    <row r="146" spans="1:12" ht="15" customHeight="1" x14ac:dyDescent="0.35">
      <c r="A146">
        <v>892400420</v>
      </c>
      <c r="B146" t="s">
        <v>185</v>
      </c>
      <c r="C146" t="s">
        <v>97</v>
      </c>
      <c r="D146" s="56">
        <v>3.6479223424429157</v>
      </c>
      <c r="E146" s="57">
        <v>7163186</v>
      </c>
      <c r="F146" s="58">
        <v>0.21005614858055385</v>
      </c>
      <c r="G146" s="59">
        <v>10173299</v>
      </c>
      <c r="H146" s="58">
        <v>0.21493365419863433</v>
      </c>
      <c r="I146" s="58">
        <v>0.27208725507821996</v>
      </c>
      <c r="J146" s="60">
        <v>6.9087666665002718</v>
      </c>
      <c r="K146" s="59"/>
      <c r="L146" s="50"/>
    </row>
    <row r="147" spans="1:12" ht="15" customHeight="1" x14ac:dyDescent="0.35">
      <c r="A147">
        <v>900006588</v>
      </c>
      <c r="B147" t="s">
        <v>363</v>
      </c>
      <c r="C147" t="s">
        <v>324</v>
      </c>
      <c r="D147" s="56">
        <v>1.7525025808897936</v>
      </c>
      <c r="E147" s="57">
        <v>5523010</v>
      </c>
      <c r="F147" s="58">
        <v>0.64986053668894672</v>
      </c>
      <c r="G147" s="59">
        <v>4666365</v>
      </c>
      <c r="H147" s="58">
        <v>0.27299250005308706</v>
      </c>
      <c r="I147" s="58">
        <v>0.77966789996067598</v>
      </c>
      <c r="J147" s="60">
        <v>2.3535536365688796</v>
      </c>
      <c r="K147" s="59"/>
      <c r="L147" s="50"/>
    </row>
    <row r="148" spans="1:12" ht="15" customHeight="1" x14ac:dyDescent="0.35">
      <c r="A148">
        <v>900014141</v>
      </c>
      <c r="B148" t="s">
        <v>186</v>
      </c>
      <c r="C148" t="s">
        <v>97</v>
      </c>
      <c r="D148" s="56">
        <v>1.4175005771797011</v>
      </c>
      <c r="E148" s="57">
        <v>19993281</v>
      </c>
      <c r="F148" s="58">
        <v>0.64677894411181036</v>
      </c>
      <c r="G148" s="59">
        <v>27825841</v>
      </c>
      <c r="H148" s="58">
        <v>7.3761764682473141E-2</v>
      </c>
      <c r="I148" s="58">
        <v>0.20882606926417785</v>
      </c>
      <c r="J148" s="60">
        <v>2.3338057901327884</v>
      </c>
      <c r="K148" s="59"/>
      <c r="L148" s="50"/>
    </row>
    <row r="149" spans="1:12" ht="15" customHeight="1" x14ac:dyDescent="0.35">
      <c r="A149">
        <v>900016411</v>
      </c>
      <c r="B149" t="s">
        <v>187</v>
      </c>
      <c r="C149" t="s">
        <v>101</v>
      </c>
      <c r="D149" s="56">
        <v>1.8427053267711335</v>
      </c>
      <c r="E149" s="57">
        <v>3113540</v>
      </c>
      <c r="F149" s="58">
        <v>0.62186854247906409</v>
      </c>
      <c r="G149" s="59">
        <v>2993531</v>
      </c>
      <c r="H149" s="58">
        <v>0.14484059590424778</v>
      </c>
      <c r="I149" s="58">
        <v>0.38304296832068885</v>
      </c>
      <c r="J149" s="60">
        <v>2.63337620283398</v>
      </c>
      <c r="K149" s="59"/>
      <c r="L149" s="50"/>
    </row>
    <row r="150" spans="1:12" ht="15" customHeight="1" x14ac:dyDescent="0.35">
      <c r="A150">
        <v>900016544</v>
      </c>
      <c r="B150" t="s">
        <v>188</v>
      </c>
      <c r="C150" t="s">
        <v>97</v>
      </c>
      <c r="D150" s="56">
        <v>1.2801873136777859</v>
      </c>
      <c r="E150" s="57">
        <v>393520</v>
      </c>
      <c r="F150" s="58">
        <v>1.6276995201932523</v>
      </c>
      <c r="G150" s="59">
        <v>-1227516</v>
      </c>
      <c r="H150" s="58">
        <v>-0.66868022207233768</v>
      </c>
      <c r="I150" s="58">
        <v>1.0652871327135451</v>
      </c>
      <c r="J150" s="60">
        <v>1000</v>
      </c>
      <c r="K150" s="59"/>
      <c r="L150" s="50"/>
    </row>
    <row r="151" spans="1:12" ht="15" customHeight="1" x14ac:dyDescent="0.35">
      <c r="A151">
        <v>900026143</v>
      </c>
      <c r="B151" t="s">
        <v>364</v>
      </c>
      <c r="C151" t="s">
        <v>324</v>
      </c>
      <c r="D151" s="56">
        <v>1.8004925843072086</v>
      </c>
      <c r="E151" s="57">
        <v>19471148</v>
      </c>
      <c r="F151" s="58">
        <v>0.62972957394689222</v>
      </c>
      <c r="G151" s="59">
        <v>21269480</v>
      </c>
      <c r="H151" s="58">
        <v>0.21781600668223025</v>
      </c>
      <c r="I151" s="58">
        <v>0.58826196033001277</v>
      </c>
      <c r="J151" s="60">
        <v>1.3879587287247401</v>
      </c>
      <c r="K151" s="59"/>
      <c r="L151" s="50"/>
    </row>
    <row r="152" spans="1:12" ht="15" customHeight="1" x14ac:dyDescent="0.35">
      <c r="A152">
        <v>900041895</v>
      </c>
      <c r="B152" t="s">
        <v>189</v>
      </c>
      <c r="C152" t="s">
        <v>97</v>
      </c>
      <c r="D152" s="56">
        <v>7.3066536637182748</v>
      </c>
      <c r="E152" s="57">
        <v>7029516</v>
      </c>
      <c r="F152" s="58">
        <v>0.13334589544223954</v>
      </c>
      <c r="G152" s="59">
        <v>12326131</v>
      </c>
      <c r="H152" s="58">
        <v>0.19227233433396623</v>
      </c>
      <c r="I152" s="58">
        <v>0.22185590920622214</v>
      </c>
      <c r="J152" s="60">
        <v>14.490843286666596</v>
      </c>
      <c r="K152" s="59"/>
      <c r="L152" s="50"/>
    </row>
    <row r="153" spans="1:12" ht="15" customHeight="1" x14ac:dyDescent="0.35">
      <c r="A153">
        <v>900042543</v>
      </c>
      <c r="B153" t="s">
        <v>190</v>
      </c>
      <c r="C153" t="s">
        <v>97</v>
      </c>
      <c r="D153" s="56">
        <v>7.0981060638042521</v>
      </c>
      <c r="E153" s="57">
        <v>10111477</v>
      </c>
      <c r="F153" s="58">
        <v>0.13782101698934268</v>
      </c>
      <c r="G153" s="59">
        <v>12886040</v>
      </c>
      <c r="H153" s="58">
        <v>0.23193954408496939</v>
      </c>
      <c r="I153" s="58">
        <v>0.2690155392967894</v>
      </c>
      <c r="J153" s="60">
        <v>12.834064530460376</v>
      </c>
      <c r="K153" s="59"/>
      <c r="L153" s="50"/>
    </row>
    <row r="154" spans="1:12" ht="15" customHeight="1" x14ac:dyDescent="0.35">
      <c r="A154">
        <v>900046626</v>
      </c>
      <c r="B154" t="s">
        <v>191</v>
      </c>
      <c r="C154" t="s">
        <v>97</v>
      </c>
      <c r="D154" s="56">
        <v>2.940834716839666</v>
      </c>
      <c r="E154" s="57">
        <v>6378235</v>
      </c>
      <c r="F154" s="58">
        <v>0.5340127638097254</v>
      </c>
      <c r="G154" s="59">
        <v>4738216</v>
      </c>
      <c r="H154" s="58">
        <v>0.11377713332370848</v>
      </c>
      <c r="I154" s="58">
        <v>0.24416362614114678</v>
      </c>
      <c r="J154" s="60">
        <v>2.4410211397621224</v>
      </c>
      <c r="K154" s="59"/>
      <c r="L154" s="50"/>
    </row>
    <row r="155" spans="1:12" ht="15" customHeight="1" x14ac:dyDescent="0.35">
      <c r="A155">
        <v>900048343</v>
      </c>
      <c r="B155" t="s">
        <v>365</v>
      </c>
      <c r="C155" t="s">
        <v>324</v>
      </c>
      <c r="D155" s="56">
        <v>2.6559744128945293</v>
      </c>
      <c r="E155" s="57">
        <v>6258078</v>
      </c>
      <c r="F155" s="58">
        <v>0.34239964892734753</v>
      </c>
      <c r="G155" s="59">
        <v>7303660</v>
      </c>
      <c r="H155" s="58">
        <v>0.18366649610639071</v>
      </c>
      <c r="I155" s="58">
        <v>0.27929805056642831</v>
      </c>
      <c r="J155" s="60">
        <v>6.3456104222530536</v>
      </c>
      <c r="K155" s="59"/>
      <c r="L155" s="50"/>
    </row>
    <row r="156" spans="1:12" ht="15" customHeight="1" x14ac:dyDescent="0.35">
      <c r="A156">
        <v>900061363</v>
      </c>
      <c r="B156" t="s">
        <v>192</v>
      </c>
      <c r="C156" t="s">
        <v>97</v>
      </c>
      <c r="D156" s="56">
        <v>1.8195664444478346</v>
      </c>
      <c r="E156" s="57">
        <v>2148936</v>
      </c>
      <c r="F156" s="58">
        <v>0.65640227589502165</v>
      </c>
      <c r="G156" s="59">
        <v>1872543</v>
      </c>
      <c r="H156" s="58">
        <v>0.11587243743453902</v>
      </c>
      <c r="I156" s="58">
        <v>0.33723284325112962</v>
      </c>
      <c r="J156" s="60">
        <v>1.6560404488606713</v>
      </c>
      <c r="K156" s="59"/>
      <c r="L156" s="50"/>
    </row>
    <row r="157" spans="1:12" ht="15" customHeight="1" x14ac:dyDescent="0.35">
      <c r="A157">
        <v>900076393</v>
      </c>
      <c r="B157" t="s">
        <v>193</v>
      </c>
      <c r="C157" t="s">
        <v>97</v>
      </c>
      <c r="D157" s="56">
        <v>1.8548937613566667</v>
      </c>
      <c r="E157" s="57">
        <v>4771139</v>
      </c>
      <c r="F157" s="58">
        <v>0.78742329974549519</v>
      </c>
      <c r="G157" s="59">
        <v>4933523</v>
      </c>
      <c r="H157" s="58">
        <v>0.12154754599257625</v>
      </c>
      <c r="I157" s="58">
        <v>0.57178207135144599</v>
      </c>
      <c r="J157" s="60">
        <v>0.85811177081489132</v>
      </c>
      <c r="K157" s="59"/>
      <c r="L157" s="50"/>
    </row>
    <row r="158" spans="1:12" ht="15" customHeight="1" x14ac:dyDescent="0.35">
      <c r="A158">
        <v>900080289</v>
      </c>
      <c r="B158" t="s">
        <v>194</v>
      </c>
      <c r="C158" t="s">
        <v>97</v>
      </c>
      <c r="D158" s="56">
        <v>3.5056603144905094</v>
      </c>
      <c r="E158" s="57">
        <v>33689520</v>
      </c>
      <c r="F158" s="58">
        <v>0.53243044264183437</v>
      </c>
      <c r="G158" s="59">
        <v>30942352</v>
      </c>
      <c r="H158" s="58">
        <v>0.20604131921779534</v>
      </c>
      <c r="I158" s="58">
        <v>0.44066452996204036</v>
      </c>
      <c r="J158" s="60">
        <v>2.4065907688147758</v>
      </c>
      <c r="K158" s="59"/>
      <c r="L158" s="50"/>
    </row>
    <row r="159" spans="1:12" ht="15" customHeight="1" x14ac:dyDescent="0.35">
      <c r="A159">
        <v>900084476</v>
      </c>
      <c r="B159" t="s">
        <v>366</v>
      </c>
      <c r="C159" t="s">
        <v>324</v>
      </c>
      <c r="D159" s="56">
        <v>2.4191607430229305</v>
      </c>
      <c r="E159" s="57">
        <v>21089644</v>
      </c>
      <c r="F159" s="58">
        <v>0.46235259000404594</v>
      </c>
      <c r="G159" s="59">
        <v>22509404</v>
      </c>
      <c r="H159" s="58">
        <v>0.19054133976731122</v>
      </c>
      <c r="I159" s="58">
        <v>0.35439832169701163</v>
      </c>
      <c r="J159" s="60">
        <v>8.9538462401858716</v>
      </c>
      <c r="K159" s="59"/>
      <c r="L159" s="50"/>
    </row>
    <row r="160" spans="1:12" ht="15" customHeight="1" x14ac:dyDescent="0.35">
      <c r="A160">
        <v>900088496</v>
      </c>
      <c r="B160" t="s">
        <v>195</v>
      </c>
      <c r="C160" t="s">
        <v>97</v>
      </c>
      <c r="D160" s="56">
        <v>2.090595723375702</v>
      </c>
      <c r="E160" s="57">
        <v>5807263</v>
      </c>
      <c r="F160" s="58">
        <v>0.8392367048454259</v>
      </c>
      <c r="G160" s="59">
        <v>2089696</v>
      </c>
      <c r="H160" s="58">
        <v>3.7268583536259205E-2</v>
      </c>
      <c r="I160" s="58">
        <v>0.23182271488293035</v>
      </c>
      <c r="J160" s="60">
        <v>0.39310626322691217</v>
      </c>
      <c r="K160" s="59"/>
      <c r="L160" s="50"/>
    </row>
    <row r="161" spans="1:12" ht="15" customHeight="1" x14ac:dyDescent="0.35">
      <c r="A161">
        <v>900095714</v>
      </c>
      <c r="B161" t="s">
        <v>196</v>
      </c>
      <c r="C161" t="s">
        <v>97</v>
      </c>
      <c r="D161" s="56">
        <v>1.7364566816762508</v>
      </c>
      <c r="E161" s="57">
        <v>2616350</v>
      </c>
      <c r="F161" s="58">
        <v>0.54636419686538173</v>
      </c>
      <c r="G161" s="59">
        <v>2949672</v>
      </c>
      <c r="H161" s="58">
        <v>0.11308906353160755</v>
      </c>
      <c r="I161" s="58">
        <v>0.2492948368496565</v>
      </c>
      <c r="J161" s="60">
        <v>5.3058517930586619</v>
      </c>
      <c r="K161" s="59"/>
      <c r="L161" s="50"/>
    </row>
    <row r="162" spans="1:12" ht="15" customHeight="1" x14ac:dyDescent="0.35">
      <c r="A162">
        <v>900104624</v>
      </c>
      <c r="B162" t="s">
        <v>197</v>
      </c>
      <c r="C162" t="s">
        <v>97</v>
      </c>
      <c r="D162" s="56">
        <v>1.9061008420575014</v>
      </c>
      <c r="E162" s="57">
        <v>3291009</v>
      </c>
      <c r="F162" s="58">
        <v>0.88389137906741166</v>
      </c>
      <c r="G162" s="59">
        <v>810034</v>
      </c>
      <c r="H162" s="58">
        <v>5.4867620943912003E-2</v>
      </c>
      <c r="I162" s="58">
        <v>0.47255423846406447</v>
      </c>
      <c r="J162" s="60">
        <v>1000</v>
      </c>
      <c r="K162" s="59"/>
      <c r="L162" s="50"/>
    </row>
    <row r="163" spans="1:12" ht="15" customHeight="1" x14ac:dyDescent="0.35">
      <c r="A163">
        <v>900109044</v>
      </c>
      <c r="B163" t="s">
        <v>198</v>
      </c>
      <c r="C163" t="s">
        <v>101</v>
      </c>
      <c r="D163" s="56">
        <v>1.29469171975644</v>
      </c>
      <c r="E163" s="57">
        <v>3212814</v>
      </c>
      <c r="F163" s="58">
        <v>0.67849930363504163</v>
      </c>
      <c r="G163" s="59">
        <v>5245425</v>
      </c>
      <c r="H163" s="58">
        <v>0.16276141880092837</v>
      </c>
      <c r="I163" s="58">
        <v>0.50625526053656278</v>
      </c>
      <c r="J163" s="60">
        <v>4.2271615157472482</v>
      </c>
      <c r="K163" s="59"/>
      <c r="L163" s="50"/>
    </row>
    <row r="164" spans="1:12" ht="15" customHeight="1" x14ac:dyDescent="0.35">
      <c r="A164">
        <v>900109762</v>
      </c>
      <c r="B164" t="s">
        <v>367</v>
      </c>
      <c r="C164" t="s">
        <v>324</v>
      </c>
      <c r="D164" s="56">
        <v>2.6876181233369199</v>
      </c>
      <c r="E164" s="57">
        <v>1488518</v>
      </c>
      <c r="F164" s="58">
        <v>0.52297934072034491</v>
      </c>
      <c r="G164" s="59">
        <v>1457342</v>
      </c>
      <c r="H164" s="58">
        <v>0.12177276494455813</v>
      </c>
      <c r="I164" s="58">
        <v>0.25527775909841344</v>
      </c>
      <c r="J164" s="60">
        <v>1.0481936876271407</v>
      </c>
      <c r="K164" s="59"/>
      <c r="L164" s="50"/>
    </row>
    <row r="165" spans="1:12" ht="15" customHeight="1" x14ac:dyDescent="0.35">
      <c r="A165">
        <v>900115658</v>
      </c>
      <c r="B165" t="s">
        <v>368</v>
      </c>
      <c r="C165" t="s">
        <v>324</v>
      </c>
      <c r="D165" s="56">
        <v>2.3000625572992504</v>
      </c>
      <c r="E165" s="57">
        <v>1205353</v>
      </c>
      <c r="F165" s="58">
        <v>0.64288810120836637</v>
      </c>
      <c r="G165" s="59">
        <v>906340</v>
      </c>
      <c r="H165" s="58">
        <v>0.27718509108847539</v>
      </c>
      <c r="I165" s="58">
        <v>0.77618553743628216</v>
      </c>
      <c r="J165" s="60">
        <v>2.0227378590528766</v>
      </c>
      <c r="K165" s="59"/>
      <c r="L165" s="50"/>
    </row>
    <row r="166" spans="1:12" ht="15" customHeight="1" x14ac:dyDescent="0.35">
      <c r="A166">
        <v>900119327</v>
      </c>
      <c r="B166" t="s">
        <v>369</v>
      </c>
      <c r="C166" t="s">
        <v>324</v>
      </c>
      <c r="D166" s="56">
        <v>4.5260884836671798</v>
      </c>
      <c r="E166" s="57">
        <v>11404160</v>
      </c>
      <c r="F166" s="58">
        <v>0.59493244516123667</v>
      </c>
      <c r="G166" s="59">
        <v>6622605</v>
      </c>
      <c r="H166" s="58">
        <v>8.5441445378003231E-2</v>
      </c>
      <c r="I166" s="58">
        <v>0.21093134801184729</v>
      </c>
      <c r="J166" s="60">
        <v>11.372473195313964</v>
      </c>
      <c r="K166" s="59"/>
      <c r="L166" s="50"/>
    </row>
    <row r="167" spans="1:12" ht="15" customHeight="1" x14ac:dyDescent="0.35">
      <c r="A167">
        <v>900123683</v>
      </c>
      <c r="B167" t="s">
        <v>199</v>
      </c>
      <c r="C167" t="s">
        <v>97</v>
      </c>
      <c r="D167" s="56">
        <v>1.6676969864548847</v>
      </c>
      <c r="E167" s="57">
        <v>5474280</v>
      </c>
      <c r="F167" s="58">
        <v>0.62827040535455791</v>
      </c>
      <c r="G167" s="59">
        <v>6699155</v>
      </c>
      <c r="H167" s="58">
        <v>0.1009216117054325</v>
      </c>
      <c r="I167" s="58">
        <v>0.27149200160318726</v>
      </c>
      <c r="J167" s="60">
        <v>1.1728630876110058</v>
      </c>
      <c r="K167" s="59"/>
      <c r="L167" s="50"/>
    </row>
    <row r="168" spans="1:12" ht="15" customHeight="1" x14ac:dyDescent="0.35">
      <c r="A168">
        <v>900128172</v>
      </c>
      <c r="B168" t="s">
        <v>370</v>
      </c>
      <c r="C168" t="s">
        <v>324</v>
      </c>
      <c r="D168" s="56">
        <v>1.958566093706803</v>
      </c>
      <c r="E168" s="57">
        <v>873756</v>
      </c>
      <c r="F168" s="58">
        <v>0.76961126629422716</v>
      </c>
      <c r="G168" s="59">
        <v>1013504</v>
      </c>
      <c r="H168" s="58">
        <v>0.12834863644960429</v>
      </c>
      <c r="I168" s="58">
        <v>0.55709597594089422</v>
      </c>
      <c r="J168" s="60">
        <v>1.095783722938682</v>
      </c>
      <c r="K168" s="59"/>
      <c r="L168" s="50"/>
    </row>
    <row r="169" spans="1:12" ht="15" customHeight="1" x14ac:dyDescent="0.35">
      <c r="A169">
        <v>900139568</v>
      </c>
      <c r="B169" t="s">
        <v>200</v>
      </c>
      <c r="C169" t="s">
        <v>97</v>
      </c>
      <c r="D169" s="56">
        <v>4.8223118347165626</v>
      </c>
      <c r="E169" s="57">
        <v>11552540</v>
      </c>
      <c r="F169" s="58">
        <v>1.0385852167652669</v>
      </c>
      <c r="G169" s="59">
        <v>-607390</v>
      </c>
      <c r="H169" s="58">
        <v>-0.27492527564521879</v>
      </c>
      <c r="I169" s="58">
        <v>7.1251452937980542</v>
      </c>
      <c r="J169" s="60">
        <v>-16.381234646408444</v>
      </c>
      <c r="K169" s="59"/>
      <c r="L169" s="50"/>
    </row>
    <row r="170" spans="1:12" ht="15" customHeight="1" x14ac:dyDescent="0.35">
      <c r="A170">
        <v>900144255</v>
      </c>
      <c r="B170" t="s">
        <v>201</v>
      </c>
      <c r="C170" t="s">
        <v>97</v>
      </c>
      <c r="D170" s="56">
        <v>1.7200636704981966</v>
      </c>
      <c r="E170" s="57">
        <v>5161528</v>
      </c>
      <c r="F170" s="58">
        <v>0.70337083346443707</v>
      </c>
      <c r="G170" s="59">
        <v>4657088</v>
      </c>
      <c r="H170" s="58">
        <v>7.0984623345401676E-2</v>
      </c>
      <c r="I170" s="58">
        <v>0.23930426051644288</v>
      </c>
      <c r="J170" s="60">
        <v>1.0775266200447269</v>
      </c>
      <c r="K170" s="59"/>
      <c r="L170" s="50"/>
    </row>
    <row r="171" spans="1:12" ht="15" customHeight="1" x14ac:dyDescent="0.35">
      <c r="A171">
        <v>900145466</v>
      </c>
      <c r="B171" t="s">
        <v>202</v>
      </c>
      <c r="C171" t="s">
        <v>97</v>
      </c>
      <c r="D171" s="56">
        <v>1.9608559231819933</v>
      </c>
      <c r="E171" s="57">
        <v>17496287</v>
      </c>
      <c r="F171" s="58">
        <v>0.45940448849552418</v>
      </c>
      <c r="G171" s="59">
        <v>23388388</v>
      </c>
      <c r="H171" s="58">
        <v>0.15734711152553715</v>
      </c>
      <c r="I171" s="58">
        <v>0.29106255634206168</v>
      </c>
      <c r="J171" s="60">
        <v>4.7591038392408347</v>
      </c>
      <c r="K171" s="59"/>
      <c r="L171" s="50"/>
    </row>
    <row r="172" spans="1:12" ht="15" customHeight="1" x14ac:dyDescent="0.35">
      <c r="A172">
        <v>900150205</v>
      </c>
      <c r="B172" t="s">
        <v>371</v>
      </c>
      <c r="C172" t="s">
        <v>324</v>
      </c>
      <c r="D172" s="56">
        <v>1.6298709333861296</v>
      </c>
      <c r="E172" s="57">
        <v>1476163</v>
      </c>
      <c r="F172" s="58">
        <v>0.57524856052613882</v>
      </c>
      <c r="G172" s="59">
        <v>1730462</v>
      </c>
      <c r="H172" s="58">
        <v>0.13477520447671584</v>
      </c>
      <c r="I172" s="58">
        <v>0.3173037027106056</v>
      </c>
      <c r="J172" s="60">
        <v>1.2950199884432601</v>
      </c>
      <c r="K172" s="59"/>
      <c r="L172" s="50"/>
    </row>
    <row r="173" spans="1:12" ht="15" customHeight="1" x14ac:dyDescent="0.35">
      <c r="A173">
        <v>900153392</v>
      </c>
      <c r="B173" t="s">
        <v>372</v>
      </c>
      <c r="C173" t="s">
        <v>324</v>
      </c>
      <c r="D173" s="56">
        <v>2.6287957492026277</v>
      </c>
      <c r="E173" s="57">
        <v>7964505</v>
      </c>
      <c r="F173" s="58">
        <v>0.4016733056543117</v>
      </c>
      <c r="G173" s="59">
        <v>8524151</v>
      </c>
      <c r="H173" s="58">
        <v>0.21710731996644825</v>
      </c>
      <c r="I173" s="58">
        <v>0.36285748574843407</v>
      </c>
      <c r="J173" s="60">
        <v>3.6389746099609521</v>
      </c>
      <c r="K173" s="59"/>
      <c r="L173" s="50"/>
    </row>
    <row r="174" spans="1:12" ht="15" customHeight="1" x14ac:dyDescent="0.35">
      <c r="A174">
        <v>900156294</v>
      </c>
      <c r="B174" t="s">
        <v>373</v>
      </c>
      <c r="C174" t="s">
        <v>324</v>
      </c>
      <c r="D174" s="56">
        <v>1.6382217955031722</v>
      </c>
      <c r="E174" s="57">
        <v>4934976</v>
      </c>
      <c r="F174" s="58">
        <v>0.66702261059490353</v>
      </c>
      <c r="G174" s="59">
        <v>4368678</v>
      </c>
      <c r="H174" s="58">
        <v>0.13377981049453797</v>
      </c>
      <c r="I174" s="58">
        <v>0.40176845260740207</v>
      </c>
      <c r="J174" s="60">
        <v>1.3018653525359789</v>
      </c>
      <c r="K174" s="59"/>
      <c r="L174" s="50"/>
    </row>
    <row r="175" spans="1:12" ht="15" customHeight="1" x14ac:dyDescent="0.35">
      <c r="A175">
        <v>900159362</v>
      </c>
      <c r="B175" t="s">
        <v>203</v>
      </c>
      <c r="C175" t="s">
        <v>97</v>
      </c>
      <c r="D175" s="56">
        <v>1.7179298881016734</v>
      </c>
      <c r="E175" s="57">
        <v>2511509</v>
      </c>
      <c r="F175" s="58">
        <v>0.64832076266759442</v>
      </c>
      <c r="G175" s="59">
        <v>2632279</v>
      </c>
      <c r="H175" s="58">
        <v>0.16055114266269385</v>
      </c>
      <c r="I175" s="58">
        <v>0.45652721463036405</v>
      </c>
      <c r="J175" s="60">
        <v>2.4149332315143233</v>
      </c>
      <c r="K175" s="59"/>
      <c r="L175" s="50"/>
    </row>
    <row r="176" spans="1:12" ht="15" customHeight="1" x14ac:dyDescent="0.35">
      <c r="A176">
        <v>900178252</v>
      </c>
      <c r="B176" t="s">
        <v>204</v>
      </c>
      <c r="C176" t="s">
        <v>97</v>
      </c>
      <c r="D176" s="56">
        <v>3.6650255408304666</v>
      </c>
      <c r="E176" s="57">
        <v>6994682</v>
      </c>
      <c r="F176" s="58">
        <v>0.42794884882936324</v>
      </c>
      <c r="G176" s="59">
        <v>7902155</v>
      </c>
      <c r="H176" s="58">
        <v>0.15608415719414051</v>
      </c>
      <c r="I176" s="58">
        <v>0.27285000104401902</v>
      </c>
      <c r="J176" s="60">
        <v>2.6884948888617335</v>
      </c>
      <c r="K176" s="59"/>
      <c r="L176" s="50"/>
    </row>
    <row r="177" spans="1:12" ht="15" customHeight="1" x14ac:dyDescent="0.35">
      <c r="A177">
        <v>900183077</v>
      </c>
      <c r="B177" t="s">
        <v>374</v>
      </c>
      <c r="C177" t="s">
        <v>324</v>
      </c>
      <c r="D177" s="56">
        <v>1.3707457727950665</v>
      </c>
      <c r="E177" s="57">
        <v>3539762</v>
      </c>
      <c r="F177" s="58">
        <v>0.7173479497432651</v>
      </c>
      <c r="G177" s="59">
        <v>4389209</v>
      </c>
      <c r="H177" s="58">
        <v>0.10246991611964068</v>
      </c>
      <c r="I177" s="58">
        <v>0.36253024178160576</v>
      </c>
      <c r="J177" s="60">
        <v>1000</v>
      </c>
      <c r="K177" s="59"/>
      <c r="L177" s="50"/>
    </row>
    <row r="178" spans="1:12" ht="15" customHeight="1" x14ac:dyDescent="0.35">
      <c r="A178">
        <v>900186643</v>
      </c>
      <c r="B178" t="s">
        <v>205</v>
      </c>
      <c r="C178" t="s">
        <v>97</v>
      </c>
      <c r="D178" s="56">
        <v>3.0415175854373766</v>
      </c>
      <c r="E178" s="57">
        <v>885545</v>
      </c>
      <c r="F178" s="58">
        <v>0.86129068061947356</v>
      </c>
      <c r="G178" s="59">
        <v>221201</v>
      </c>
      <c r="H178" s="58">
        <v>6.9958845156075491E-2</v>
      </c>
      <c r="I178" s="58">
        <v>0.50435576692691264</v>
      </c>
      <c r="J178" s="60">
        <v>6.3270005104066236</v>
      </c>
      <c r="K178" s="59"/>
      <c r="L178" s="50"/>
    </row>
    <row r="179" spans="1:12" ht="15" customHeight="1" x14ac:dyDescent="0.35">
      <c r="A179">
        <v>900188750</v>
      </c>
      <c r="B179" t="s">
        <v>206</v>
      </c>
      <c r="C179" t="s">
        <v>97</v>
      </c>
      <c r="D179" s="56">
        <v>1.3124707355470036</v>
      </c>
      <c r="E179" s="57">
        <v>9080533</v>
      </c>
      <c r="F179" s="58">
        <v>0.53406755258745697</v>
      </c>
      <c r="G179" s="59">
        <v>29486028</v>
      </c>
      <c r="H179" s="58">
        <v>9.6169939683880476E-2</v>
      </c>
      <c r="I179" s="58">
        <v>0.20640318187312309</v>
      </c>
      <c r="J179" s="60">
        <v>3.2118639282308443</v>
      </c>
      <c r="K179" s="59"/>
      <c r="L179" s="50"/>
    </row>
    <row r="180" spans="1:12" ht="15" customHeight="1" x14ac:dyDescent="0.35">
      <c r="A180">
        <v>900189082</v>
      </c>
      <c r="B180" t="s">
        <v>207</v>
      </c>
      <c r="C180" t="s">
        <v>97</v>
      </c>
      <c r="D180" s="56">
        <v>1.4206189193902639</v>
      </c>
      <c r="E180" s="57">
        <v>5583407</v>
      </c>
      <c r="F180" s="58">
        <v>0.64723250871534477</v>
      </c>
      <c r="G180" s="59">
        <v>7282954</v>
      </c>
      <c r="H180" s="58">
        <v>0.14202374247258298</v>
      </c>
      <c r="I180" s="58">
        <v>0.40259872573683703</v>
      </c>
      <c r="J180" s="60">
        <v>8.5685045997030933</v>
      </c>
      <c r="K180" s="59"/>
      <c r="L180" s="50"/>
    </row>
    <row r="181" spans="1:12" ht="15" customHeight="1" x14ac:dyDescent="0.35">
      <c r="A181">
        <v>900196158</v>
      </c>
      <c r="B181" t="s">
        <v>208</v>
      </c>
      <c r="C181" t="s">
        <v>101</v>
      </c>
      <c r="D181" s="56">
        <v>1.6001449121203233</v>
      </c>
      <c r="E181" s="57">
        <v>1348453</v>
      </c>
      <c r="F181" s="58">
        <v>0.57918385891420621</v>
      </c>
      <c r="G181" s="59">
        <v>2201612</v>
      </c>
      <c r="H181" s="58">
        <v>8.4799456856545788E-2</v>
      </c>
      <c r="I181" s="58">
        <v>0.20151189219535504</v>
      </c>
      <c r="J181" s="60">
        <v>4.5549851641187278</v>
      </c>
      <c r="K181" s="59"/>
      <c r="L181" s="50"/>
    </row>
    <row r="182" spans="1:12" ht="15" customHeight="1" x14ac:dyDescent="0.35">
      <c r="A182">
        <v>900198381</v>
      </c>
      <c r="B182" t="s">
        <v>375</v>
      </c>
      <c r="C182" t="s">
        <v>324</v>
      </c>
      <c r="D182" s="56">
        <v>2.1112030146605774</v>
      </c>
      <c r="E182" s="57">
        <v>1321946</v>
      </c>
      <c r="F182" s="58">
        <v>0.34001481067797867</v>
      </c>
      <c r="G182" s="59">
        <v>2309174</v>
      </c>
      <c r="H182" s="58">
        <v>0.44118471704945689</v>
      </c>
      <c r="I182" s="58">
        <v>0.66847669339772575</v>
      </c>
      <c r="J182" s="60">
        <v>1000</v>
      </c>
      <c r="K182" s="59"/>
      <c r="L182" s="50"/>
    </row>
    <row r="183" spans="1:12" ht="15" customHeight="1" x14ac:dyDescent="0.35">
      <c r="A183">
        <v>900204896</v>
      </c>
      <c r="B183" t="s">
        <v>209</v>
      </c>
      <c r="C183" t="s">
        <v>97</v>
      </c>
      <c r="D183" s="56">
        <v>13.389073444264003</v>
      </c>
      <c r="E183" s="57">
        <v>2509890</v>
      </c>
      <c r="F183" s="58">
        <v>0.85995409294052338</v>
      </c>
      <c r="G183" s="59">
        <v>553020</v>
      </c>
      <c r="H183" s="58">
        <v>3.0143474755169101E-2</v>
      </c>
      <c r="I183" s="58">
        <v>0.21523995515532893</v>
      </c>
      <c r="J183" s="60">
        <v>1.6802936194240543</v>
      </c>
      <c r="K183" s="59"/>
      <c r="L183" s="50"/>
    </row>
    <row r="184" spans="1:12" ht="15" customHeight="1" x14ac:dyDescent="0.35">
      <c r="A184">
        <v>900209197</v>
      </c>
      <c r="B184" t="s">
        <v>210</v>
      </c>
      <c r="C184" t="s">
        <v>97</v>
      </c>
      <c r="D184" s="56">
        <v>8.2299529669721139</v>
      </c>
      <c r="E184" s="57">
        <v>1932270</v>
      </c>
      <c r="F184" s="58">
        <v>0.26622729188179478</v>
      </c>
      <c r="G184" s="59">
        <v>1774360</v>
      </c>
      <c r="H184" s="58">
        <v>0.26896535467652111</v>
      </c>
      <c r="I184" s="58">
        <v>0.36655131991253187</v>
      </c>
      <c r="J184" s="60">
        <v>80.504270330486449</v>
      </c>
      <c r="K184" s="59"/>
      <c r="L184" s="50"/>
    </row>
    <row r="185" spans="1:12" ht="15" customHeight="1" x14ac:dyDescent="0.35">
      <c r="A185">
        <v>900210699</v>
      </c>
      <c r="B185" t="s">
        <v>211</v>
      </c>
      <c r="C185" t="s">
        <v>97</v>
      </c>
      <c r="D185" s="56">
        <v>2.1809431653940208</v>
      </c>
      <c r="E185" s="57">
        <v>6556228</v>
      </c>
      <c r="F185" s="58">
        <v>0.44132852439168524</v>
      </c>
      <c r="G185" s="59">
        <v>8494140</v>
      </c>
      <c r="H185" s="58">
        <v>0.16892482901244835</v>
      </c>
      <c r="I185" s="58">
        <v>0.30236880955576434</v>
      </c>
      <c r="J185" s="60">
        <v>1000</v>
      </c>
      <c r="K185" s="59"/>
      <c r="L185" s="50"/>
    </row>
    <row r="186" spans="1:12" ht="15" customHeight="1" x14ac:dyDescent="0.35">
      <c r="A186">
        <v>900213817</v>
      </c>
      <c r="B186" t="s">
        <v>212</v>
      </c>
      <c r="C186" t="s">
        <v>101</v>
      </c>
      <c r="D186" s="56">
        <v>1.741892319012607</v>
      </c>
      <c r="E186" s="57">
        <v>2361329</v>
      </c>
      <c r="F186" s="58">
        <v>0.45642356550159979</v>
      </c>
      <c r="G186" s="59">
        <v>3790602</v>
      </c>
      <c r="H186" s="58">
        <v>0.26864715991285804</v>
      </c>
      <c r="I186" s="58">
        <v>0.49422149832665102</v>
      </c>
      <c r="J186" s="60">
        <v>1.5763841556898521</v>
      </c>
      <c r="K186" s="59"/>
      <c r="L186" s="50"/>
    </row>
    <row r="187" spans="1:12" ht="15" customHeight="1" x14ac:dyDescent="0.35">
      <c r="A187">
        <v>900220553</v>
      </c>
      <c r="B187" t="s">
        <v>213</v>
      </c>
      <c r="C187" t="s">
        <v>97</v>
      </c>
      <c r="D187" s="56">
        <v>2.6328287247414934</v>
      </c>
      <c r="E187" s="57">
        <v>3222781</v>
      </c>
      <c r="F187" s="58">
        <v>0.37799696786562748</v>
      </c>
      <c r="G187" s="59">
        <v>3342913</v>
      </c>
      <c r="H187" s="58">
        <v>0.12461930860786777</v>
      </c>
      <c r="I187" s="58">
        <v>0.20035160950943084</v>
      </c>
      <c r="J187" s="60">
        <v>2.2392443998662657</v>
      </c>
      <c r="K187" s="59"/>
      <c r="L187" s="50"/>
    </row>
    <row r="188" spans="1:12" ht="15" customHeight="1" x14ac:dyDescent="0.35">
      <c r="A188">
        <v>900222640</v>
      </c>
      <c r="B188" t="s">
        <v>376</v>
      </c>
      <c r="C188" t="s">
        <v>324</v>
      </c>
      <c r="D188" s="56">
        <v>1.4658184790681394</v>
      </c>
      <c r="E188" s="57">
        <v>3103415</v>
      </c>
      <c r="F188" s="58">
        <v>0.5527137111704743</v>
      </c>
      <c r="G188" s="59">
        <v>5655741</v>
      </c>
      <c r="H188" s="58">
        <v>0.21797086590397804</v>
      </c>
      <c r="I188" s="58">
        <v>0.48731846101156329</v>
      </c>
      <c r="J188" s="60">
        <v>4.959667957503167</v>
      </c>
      <c r="K188" s="59"/>
      <c r="L188" s="50"/>
    </row>
    <row r="189" spans="1:12" ht="15" customHeight="1" x14ac:dyDescent="0.35">
      <c r="A189">
        <v>900224641</v>
      </c>
      <c r="B189" t="s">
        <v>214</v>
      </c>
      <c r="C189" t="s">
        <v>97</v>
      </c>
      <c r="D189" s="56">
        <v>1.985211280198852</v>
      </c>
      <c r="E189" s="57">
        <v>1873196</v>
      </c>
      <c r="F189" s="58">
        <v>0.48023882189416234</v>
      </c>
      <c r="G189" s="59">
        <v>2057787</v>
      </c>
      <c r="H189" s="58">
        <v>0.13833721342294628</v>
      </c>
      <c r="I189" s="58">
        <v>0.26615534066450997</v>
      </c>
      <c r="J189" s="60">
        <v>12.800406665575993</v>
      </c>
      <c r="K189" s="59"/>
      <c r="L189" s="50"/>
    </row>
    <row r="190" spans="1:12" ht="15" customHeight="1" x14ac:dyDescent="0.35">
      <c r="A190">
        <v>900227850</v>
      </c>
      <c r="B190" t="s">
        <v>215</v>
      </c>
      <c r="C190" t="s">
        <v>101</v>
      </c>
      <c r="D190" s="56">
        <v>1.4747942580093509</v>
      </c>
      <c r="E190" s="57">
        <v>3146745</v>
      </c>
      <c r="F190" s="58">
        <v>0.73218772675675048</v>
      </c>
      <c r="G190" s="59">
        <v>3052659</v>
      </c>
      <c r="H190" s="58">
        <v>0.1069449207496809</v>
      </c>
      <c r="I190" s="58">
        <v>0.39932793017497203</v>
      </c>
      <c r="J190" s="60">
        <v>3.08285177420293</v>
      </c>
      <c r="K190" s="59"/>
      <c r="L190" s="50"/>
    </row>
    <row r="191" spans="1:12" ht="15" customHeight="1" x14ac:dyDescent="0.35">
      <c r="A191">
        <v>900228307</v>
      </c>
      <c r="B191" t="s">
        <v>216</v>
      </c>
      <c r="C191" t="s">
        <v>97</v>
      </c>
      <c r="D191" s="56">
        <v>2.3274806005615969</v>
      </c>
      <c r="E191" s="57">
        <v>5036703</v>
      </c>
      <c r="F191" s="58">
        <v>0.7534887297606061</v>
      </c>
      <c r="G191" s="59">
        <v>2676734</v>
      </c>
      <c r="H191" s="58">
        <v>9.7660396750369416E-2</v>
      </c>
      <c r="I191" s="58">
        <v>0.39617010879676501</v>
      </c>
      <c r="J191" s="60">
        <v>1.2760635647982133</v>
      </c>
      <c r="K191" s="59"/>
      <c r="L191" s="50"/>
    </row>
    <row r="192" spans="1:12" ht="15" customHeight="1" x14ac:dyDescent="0.35">
      <c r="A192">
        <v>900236042</v>
      </c>
      <c r="B192" t="s">
        <v>217</v>
      </c>
      <c r="C192" t="s">
        <v>101</v>
      </c>
      <c r="D192" s="56">
        <v>2.2833592000264744</v>
      </c>
      <c r="E192" s="57">
        <v>4576097</v>
      </c>
      <c r="F192" s="58">
        <v>0.56458101480311895</v>
      </c>
      <c r="G192" s="59">
        <v>4402335</v>
      </c>
      <c r="H192" s="58">
        <v>9.7083626920415583E-2</v>
      </c>
      <c r="I192" s="58">
        <v>0.22296599418263263</v>
      </c>
      <c r="J192" s="60">
        <v>2.1809974758696695</v>
      </c>
      <c r="K192" s="59"/>
      <c r="L192" s="50"/>
    </row>
    <row r="193" spans="1:12" ht="15" customHeight="1" x14ac:dyDescent="0.35">
      <c r="A193">
        <v>900255743</v>
      </c>
      <c r="B193" t="s">
        <v>377</v>
      </c>
      <c r="C193" t="s">
        <v>324</v>
      </c>
      <c r="D193" s="56">
        <v>1.9499941804756893</v>
      </c>
      <c r="E193" s="57">
        <v>2211937</v>
      </c>
      <c r="F193" s="58">
        <v>0.49161048070745217</v>
      </c>
      <c r="G193" s="59">
        <v>2407838</v>
      </c>
      <c r="H193" s="58">
        <v>0.20209716340523123</v>
      </c>
      <c r="I193" s="58">
        <v>0.39752425204685699</v>
      </c>
      <c r="J193" s="60">
        <v>2.1791544960511429</v>
      </c>
      <c r="K193" s="59"/>
      <c r="L193" s="50"/>
    </row>
    <row r="194" spans="1:12" ht="15" customHeight="1" x14ac:dyDescent="0.35">
      <c r="A194">
        <v>900263240</v>
      </c>
      <c r="B194" t="s">
        <v>378</v>
      </c>
      <c r="C194" t="s">
        <v>324</v>
      </c>
      <c r="D194" s="56">
        <v>1.5957339569867215</v>
      </c>
      <c r="E194" s="57">
        <v>3586070</v>
      </c>
      <c r="F194" s="58">
        <v>0.53475580532296563</v>
      </c>
      <c r="G194" s="59">
        <v>5237112</v>
      </c>
      <c r="H194" s="58">
        <v>0.16841142093660705</v>
      </c>
      <c r="I194" s="58">
        <v>0.36198500242118176</v>
      </c>
      <c r="J194" s="60">
        <v>4.9750324101046042</v>
      </c>
      <c r="K194" s="59"/>
      <c r="L194" s="50"/>
    </row>
    <row r="195" spans="1:12" ht="15" customHeight="1" x14ac:dyDescent="0.35">
      <c r="A195">
        <v>900273627</v>
      </c>
      <c r="B195" t="s">
        <v>218</v>
      </c>
      <c r="C195" t="s">
        <v>101</v>
      </c>
      <c r="D195" s="56">
        <v>2.1091489266688384</v>
      </c>
      <c r="E195" s="57">
        <v>1688941</v>
      </c>
      <c r="F195" s="58">
        <v>0.51221782270043548</v>
      </c>
      <c r="G195" s="59">
        <v>1630429</v>
      </c>
      <c r="H195" s="58">
        <v>0.10650898195531236</v>
      </c>
      <c r="I195" s="58">
        <v>0.21835357442734396</v>
      </c>
      <c r="J195" s="60">
        <v>1000</v>
      </c>
      <c r="K195" s="59"/>
      <c r="L195" s="50"/>
    </row>
    <row r="196" spans="1:12" ht="15" customHeight="1" x14ac:dyDescent="0.35">
      <c r="A196">
        <v>900277748</v>
      </c>
      <c r="B196" t="s">
        <v>379</v>
      </c>
      <c r="C196" t="s">
        <v>324</v>
      </c>
      <c r="D196" s="56">
        <v>2.0824834226324769</v>
      </c>
      <c r="E196" s="57">
        <v>724491</v>
      </c>
      <c r="F196" s="58">
        <v>0.47156395098957932</v>
      </c>
      <c r="G196" s="59">
        <v>750004</v>
      </c>
      <c r="H196" s="58">
        <v>0.18177962220546892</v>
      </c>
      <c r="I196" s="58">
        <v>0.34399549869067364</v>
      </c>
      <c r="J196" s="60">
        <v>3.5168756815703381</v>
      </c>
      <c r="K196" s="59"/>
      <c r="L196" s="50"/>
    </row>
    <row r="197" spans="1:12" ht="15" customHeight="1" x14ac:dyDescent="0.35">
      <c r="A197">
        <v>900304105</v>
      </c>
      <c r="B197" t="s">
        <v>219</v>
      </c>
      <c r="C197" t="s">
        <v>101</v>
      </c>
      <c r="D197" s="56">
        <v>1.4955067727644853</v>
      </c>
      <c r="E197" s="57">
        <v>729934</v>
      </c>
      <c r="F197" s="58">
        <v>0.61247041269485025</v>
      </c>
      <c r="G197" s="59">
        <v>932402</v>
      </c>
      <c r="H197" s="58">
        <v>0.30136512033383001</v>
      </c>
      <c r="I197" s="58">
        <v>0.77765706208266394</v>
      </c>
      <c r="J197" s="60">
        <v>1000</v>
      </c>
      <c r="K197" s="59"/>
      <c r="L197" s="50"/>
    </row>
    <row r="198" spans="1:12" ht="15" customHeight="1" x14ac:dyDescent="0.35">
      <c r="A198">
        <v>900304858</v>
      </c>
      <c r="B198" t="s">
        <v>380</v>
      </c>
      <c r="C198" t="s">
        <v>324</v>
      </c>
      <c r="D198" s="56">
        <v>1.3198380929307536</v>
      </c>
      <c r="E198" s="57">
        <v>6822625</v>
      </c>
      <c r="F198" s="58">
        <v>0.8052016361180534</v>
      </c>
      <c r="G198" s="59">
        <v>6633382</v>
      </c>
      <c r="H198" s="58">
        <v>8.4876685464570861E-2</v>
      </c>
      <c r="I198" s="58">
        <v>0.43571559726245224</v>
      </c>
      <c r="J198" s="60">
        <v>0.88325437751008928</v>
      </c>
      <c r="K198" s="59"/>
      <c r="L198" s="50"/>
    </row>
    <row r="199" spans="1:12" ht="15" customHeight="1" x14ac:dyDescent="0.35">
      <c r="A199">
        <v>900306706</v>
      </c>
      <c r="B199" t="s">
        <v>381</v>
      </c>
      <c r="C199" t="s">
        <v>324</v>
      </c>
      <c r="D199" s="56">
        <v>2.8871073194968271</v>
      </c>
      <c r="E199" s="57">
        <v>3342369</v>
      </c>
      <c r="F199" s="58">
        <v>0.63670816428510868</v>
      </c>
      <c r="G199" s="59">
        <v>2013832</v>
      </c>
      <c r="H199" s="58">
        <v>0.15396578566158364</v>
      </c>
      <c r="I199" s="58">
        <v>0.42380744769176376</v>
      </c>
      <c r="J199" s="60">
        <v>2.1604551380222508</v>
      </c>
      <c r="K199" s="59"/>
      <c r="L199" s="50"/>
    </row>
    <row r="200" spans="1:12" ht="15" customHeight="1" x14ac:dyDescent="0.35">
      <c r="A200">
        <v>900309589</v>
      </c>
      <c r="B200" t="s">
        <v>382</v>
      </c>
      <c r="C200" t="s">
        <v>324</v>
      </c>
      <c r="D200" s="56">
        <v>1.5827561176873102</v>
      </c>
      <c r="E200" s="57">
        <v>2675857</v>
      </c>
      <c r="F200" s="58">
        <v>0.48338888811103192</v>
      </c>
      <c r="G200" s="59">
        <v>4907306</v>
      </c>
      <c r="H200" s="58">
        <v>0.21131445695577644</v>
      </c>
      <c r="I200" s="58">
        <v>0.40903970528840061</v>
      </c>
      <c r="J200" s="60">
        <v>24.647384577603145</v>
      </c>
      <c r="K200" s="59"/>
      <c r="L200" s="50"/>
    </row>
    <row r="201" spans="1:12" ht="15" customHeight="1" x14ac:dyDescent="0.35">
      <c r="A201">
        <v>900311515</v>
      </c>
      <c r="B201" t="s">
        <v>220</v>
      </c>
      <c r="C201" t="s">
        <v>97</v>
      </c>
      <c r="D201" s="56">
        <v>1.6226886148764019</v>
      </c>
      <c r="E201" s="57">
        <v>457678</v>
      </c>
      <c r="F201" s="58">
        <v>0.46004768253126238</v>
      </c>
      <c r="G201" s="59">
        <v>1083018</v>
      </c>
      <c r="H201" s="58">
        <v>0.10929091429409014</v>
      </c>
      <c r="I201" s="58">
        <v>0.20240845489179313</v>
      </c>
      <c r="J201" s="60">
        <v>1.5555997104699186</v>
      </c>
      <c r="K201" s="59"/>
      <c r="L201" s="50"/>
    </row>
    <row r="202" spans="1:12" ht="15" customHeight="1" x14ac:dyDescent="0.35">
      <c r="A202">
        <v>900313398</v>
      </c>
      <c r="B202" t="s">
        <v>221</v>
      </c>
      <c r="C202" t="s">
        <v>97</v>
      </c>
      <c r="D202" s="56">
        <v>6.4703098727633197</v>
      </c>
      <c r="E202" s="57">
        <v>3487607</v>
      </c>
      <c r="F202" s="58">
        <v>0.1461525359580417</v>
      </c>
      <c r="G202" s="59">
        <v>3724685</v>
      </c>
      <c r="H202" s="58">
        <v>0.25945908028380854</v>
      </c>
      <c r="I202" s="58">
        <v>0.30387052864873138</v>
      </c>
      <c r="J202" s="60">
        <v>4.0728697736179029</v>
      </c>
      <c r="K202" s="59"/>
      <c r="L202" s="50"/>
    </row>
    <row r="203" spans="1:12" ht="15" customHeight="1" x14ac:dyDescent="0.35">
      <c r="A203">
        <v>900315752</v>
      </c>
      <c r="B203" t="s">
        <v>222</v>
      </c>
      <c r="C203" t="s">
        <v>97</v>
      </c>
      <c r="D203" s="56">
        <v>2.0808123430868393</v>
      </c>
      <c r="E203" s="57">
        <v>3826695</v>
      </c>
      <c r="F203" s="58">
        <v>0.6205622398468682</v>
      </c>
      <c r="G203" s="59">
        <v>3511015</v>
      </c>
      <c r="H203" s="58">
        <v>0.12077146467320941</v>
      </c>
      <c r="I203" s="58">
        <v>0.31829057978960501</v>
      </c>
      <c r="J203" s="60">
        <v>1.4258903177979347</v>
      </c>
      <c r="K203" s="59"/>
      <c r="L203" s="50"/>
    </row>
    <row r="204" spans="1:12" ht="15" customHeight="1" x14ac:dyDescent="0.35">
      <c r="A204">
        <v>900315753</v>
      </c>
      <c r="B204" t="s">
        <v>223</v>
      </c>
      <c r="C204" t="s">
        <v>101</v>
      </c>
      <c r="D204" s="56">
        <v>2.7095721779425062</v>
      </c>
      <c r="E204" s="57">
        <v>5684454</v>
      </c>
      <c r="F204" s="58">
        <v>0.81295567216201015</v>
      </c>
      <c r="G204" s="59">
        <v>2390841</v>
      </c>
      <c r="H204" s="58">
        <v>0.10666945387247406</v>
      </c>
      <c r="I204" s="58">
        <v>0.57028970140632518</v>
      </c>
      <c r="J204" s="60">
        <v>1.2687780211681372</v>
      </c>
      <c r="K204" s="59"/>
      <c r="L204" s="50"/>
    </row>
    <row r="205" spans="1:12" ht="15" customHeight="1" x14ac:dyDescent="0.35">
      <c r="A205">
        <v>900319132</v>
      </c>
      <c r="B205" t="s">
        <v>383</v>
      </c>
      <c r="C205" t="s">
        <v>324</v>
      </c>
      <c r="D205" s="56">
        <v>1.7206235827415675</v>
      </c>
      <c r="E205" s="57">
        <v>985465</v>
      </c>
      <c r="F205" s="58">
        <v>0.33115430666199791</v>
      </c>
      <c r="G205" s="59">
        <v>2914871</v>
      </c>
      <c r="H205" s="58">
        <v>0.17753969539671532</v>
      </c>
      <c r="I205" s="58">
        <v>0.26544193550932443</v>
      </c>
      <c r="J205" s="60">
        <v>27.058191991606925</v>
      </c>
      <c r="K205" s="59"/>
      <c r="L205" s="50"/>
    </row>
    <row r="206" spans="1:12" ht="15" customHeight="1" x14ac:dyDescent="0.35">
      <c r="A206">
        <v>900319774</v>
      </c>
      <c r="B206" t="s">
        <v>224</v>
      </c>
      <c r="C206" t="s">
        <v>97</v>
      </c>
      <c r="D206" s="56">
        <v>2.9962703200184246</v>
      </c>
      <c r="E206" s="57">
        <v>11155452</v>
      </c>
      <c r="F206" s="58">
        <v>0.50674443645879019</v>
      </c>
      <c r="G206" s="59">
        <v>8408644</v>
      </c>
      <c r="H206" s="58">
        <v>0.16310808391460058</v>
      </c>
      <c r="I206" s="58">
        <v>0.33067662277056797</v>
      </c>
      <c r="J206" s="60">
        <v>1000</v>
      </c>
      <c r="K206" s="59"/>
      <c r="L206" s="50"/>
    </row>
    <row r="207" spans="1:12" ht="15" customHeight="1" x14ac:dyDescent="0.35">
      <c r="A207">
        <v>900323278</v>
      </c>
      <c r="B207" t="s">
        <v>225</v>
      </c>
      <c r="C207" t="s">
        <v>97</v>
      </c>
      <c r="D207" s="56">
        <v>3.4452856112162031</v>
      </c>
      <c r="E207" s="57">
        <v>17712128</v>
      </c>
      <c r="F207" s="58">
        <v>0.4491650439488577</v>
      </c>
      <c r="G207" s="59">
        <v>19404496</v>
      </c>
      <c r="H207" s="58">
        <v>0.17672746030840802</v>
      </c>
      <c r="I207" s="58">
        <v>0.32083559397780803</v>
      </c>
      <c r="J207" s="60">
        <v>1.4752026087850771</v>
      </c>
      <c r="K207" s="59"/>
      <c r="L207" s="50"/>
    </row>
    <row r="208" spans="1:12" ht="15" customHeight="1" x14ac:dyDescent="0.35">
      <c r="A208">
        <v>900325884</v>
      </c>
      <c r="B208" t="s">
        <v>226</v>
      </c>
      <c r="C208" t="s">
        <v>97</v>
      </c>
      <c r="D208" s="56">
        <v>1.3021521591171645</v>
      </c>
      <c r="E208" s="57">
        <v>10897466</v>
      </c>
      <c r="F208" s="58">
        <v>0.61234842761379416</v>
      </c>
      <c r="G208" s="59">
        <v>23572154</v>
      </c>
      <c r="H208" s="58">
        <v>0.10313849030005799</v>
      </c>
      <c r="I208" s="58">
        <v>0.26605977544521386</v>
      </c>
      <c r="J208" s="60">
        <v>1000</v>
      </c>
      <c r="K208" s="59"/>
      <c r="L208" s="50"/>
    </row>
    <row r="209" spans="1:12" ht="15" customHeight="1" x14ac:dyDescent="0.35">
      <c r="A209">
        <v>900329804</v>
      </c>
      <c r="B209" t="s">
        <v>227</v>
      </c>
      <c r="C209" t="s">
        <v>97</v>
      </c>
      <c r="D209" s="56">
        <v>3.843463264027958</v>
      </c>
      <c r="E209" s="57">
        <v>3999823</v>
      </c>
      <c r="F209" s="58">
        <v>0.25506892344402055</v>
      </c>
      <c r="G209" s="59">
        <v>5781790</v>
      </c>
      <c r="H209" s="58">
        <v>0.14953804092244938</v>
      </c>
      <c r="I209" s="58">
        <v>0.20074077405094271</v>
      </c>
      <c r="J209" s="60">
        <v>1000</v>
      </c>
      <c r="K209" s="59"/>
      <c r="L209" s="50"/>
    </row>
    <row r="210" spans="1:12" ht="15" customHeight="1" x14ac:dyDescent="0.35">
      <c r="A210">
        <v>900335900</v>
      </c>
      <c r="B210" t="s">
        <v>228</v>
      </c>
      <c r="C210" t="s">
        <v>97</v>
      </c>
      <c r="D210" s="56">
        <v>3.8862447756544181</v>
      </c>
      <c r="E210" s="57">
        <v>2742276</v>
      </c>
      <c r="F210" s="58">
        <v>0.25731781133925269</v>
      </c>
      <c r="G210" s="59">
        <v>2742276</v>
      </c>
      <c r="H210" s="58">
        <v>0.22581359794929848</v>
      </c>
      <c r="I210" s="58">
        <v>0.30405145215142459</v>
      </c>
      <c r="J210" s="60">
        <v>30.223031752936059</v>
      </c>
      <c r="K210" s="59"/>
      <c r="L210" s="50"/>
    </row>
    <row r="211" spans="1:12" ht="15" customHeight="1" x14ac:dyDescent="0.35">
      <c r="A211">
        <v>900340894</v>
      </c>
      <c r="B211" t="s">
        <v>229</v>
      </c>
      <c r="C211" t="s">
        <v>101</v>
      </c>
      <c r="D211" s="56">
        <v>2.0786733484089197</v>
      </c>
      <c r="E211" s="57">
        <v>569546</v>
      </c>
      <c r="F211" s="58">
        <v>0.65280846647610535</v>
      </c>
      <c r="G211" s="59">
        <v>430221</v>
      </c>
      <c r="H211" s="58">
        <v>9.7108008257299788E-2</v>
      </c>
      <c r="I211" s="58">
        <v>0.27969578425971769</v>
      </c>
      <c r="J211" s="60">
        <v>4.8339292170489694</v>
      </c>
      <c r="K211" s="59"/>
      <c r="L211" s="50"/>
    </row>
    <row r="212" spans="1:12" ht="15" customHeight="1" x14ac:dyDescent="0.35">
      <c r="A212">
        <v>900346668</v>
      </c>
      <c r="B212" t="s">
        <v>230</v>
      </c>
      <c r="C212" t="s">
        <v>101</v>
      </c>
      <c r="D212" s="56">
        <v>1.4519480332581391</v>
      </c>
      <c r="E212" s="57">
        <v>628088</v>
      </c>
      <c r="F212" s="58">
        <v>0.52023267444594012</v>
      </c>
      <c r="G212" s="59">
        <v>1281637</v>
      </c>
      <c r="H212" s="58">
        <v>0.10659765843169727</v>
      </c>
      <c r="I212" s="58">
        <v>0.22218615723484886</v>
      </c>
      <c r="J212" s="60">
        <v>1.0458501972248953</v>
      </c>
      <c r="K212" s="59"/>
      <c r="L212" s="50"/>
    </row>
    <row r="213" spans="1:12" ht="15" customHeight="1" x14ac:dyDescent="0.35">
      <c r="A213">
        <v>900349268</v>
      </c>
      <c r="B213" t="s">
        <v>384</v>
      </c>
      <c r="C213" t="s">
        <v>324</v>
      </c>
      <c r="D213" s="56">
        <v>2.2243755032096302</v>
      </c>
      <c r="E213" s="57">
        <v>1066016</v>
      </c>
      <c r="F213" s="58">
        <v>0.40693270143066129</v>
      </c>
      <c r="G213" s="59">
        <v>1268909</v>
      </c>
      <c r="H213" s="58">
        <v>0.12976626144505671</v>
      </c>
      <c r="I213" s="58">
        <v>0.2188052886377195</v>
      </c>
      <c r="J213" s="60">
        <v>2.5355616438356163</v>
      </c>
      <c r="K213" s="59"/>
      <c r="L213" s="50"/>
    </row>
    <row r="214" spans="1:12" ht="15" customHeight="1" x14ac:dyDescent="0.35">
      <c r="A214">
        <v>900355557</v>
      </c>
      <c r="B214" t="s">
        <v>231</v>
      </c>
      <c r="C214" t="s">
        <v>101</v>
      </c>
      <c r="D214" s="56">
        <v>1.7407740586359348</v>
      </c>
      <c r="E214" s="57">
        <v>2912591</v>
      </c>
      <c r="F214" s="58">
        <v>0.5620279382913258</v>
      </c>
      <c r="G214" s="59">
        <v>3063954</v>
      </c>
      <c r="H214" s="58">
        <v>0.17847986820616729</v>
      </c>
      <c r="I214" s="58">
        <v>0.40751427730311879</v>
      </c>
      <c r="J214" s="60">
        <v>7.6096866791401805</v>
      </c>
      <c r="K214" s="59"/>
      <c r="L214" s="50"/>
    </row>
    <row r="215" spans="1:12" ht="15" customHeight="1" x14ac:dyDescent="0.35">
      <c r="A215">
        <v>900365409</v>
      </c>
      <c r="B215" t="s">
        <v>232</v>
      </c>
      <c r="C215" t="s">
        <v>101</v>
      </c>
      <c r="D215" s="56">
        <v>1.3938756304888611</v>
      </c>
      <c r="E215" s="57">
        <v>3366353</v>
      </c>
      <c r="F215" s="58">
        <v>0.62164000930492247</v>
      </c>
      <c r="G215" s="59">
        <v>5203154</v>
      </c>
      <c r="H215" s="58">
        <v>0.15449938012026154</v>
      </c>
      <c r="I215" s="58">
        <v>0.40833963399891682</v>
      </c>
      <c r="J215" s="60">
        <v>2.9090144844592256</v>
      </c>
      <c r="K215" s="59"/>
      <c r="L215" s="50"/>
    </row>
    <row r="216" spans="1:12" ht="15" customHeight="1" x14ac:dyDescent="0.35">
      <c r="A216">
        <v>900367592</v>
      </c>
      <c r="B216" t="s">
        <v>233</v>
      </c>
      <c r="C216" t="s">
        <v>97</v>
      </c>
      <c r="D216" s="56">
        <v>10.838897379783987</v>
      </c>
      <c r="E216" s="57">
        <v>2504206</v>
      </c>
      <c r="F216" s="58">
        <v>0.45715779965822523</v>
      </c>
      <c r="G216" s="59">
        <v>1540337</v>
      </c>
      <c r="H216" s="58">
        <v>0.16108348742802306</v>
      </c>
      <c r="I216" s="58">
        <v>0.29674090799610736</v>
      </c>
      <c r="J216" s="60">
        <v>2.9775518047801759</v>
      </c>
      <c r="K216" s="59"/>
      <c r="L216" s="50"/>
    </row>
    <row r="217" spans="1:12" ht="15" customHeight="1" x14ac:dyDescent="0.35">
      <c r="A217">
        <v>900368119</v>
      </c>
      <c r="B217" t="s">
        <v>234</v>
      </c>
      <c r="C217" t="s">
        <v>97</v>
      </c>
      <c r="D217" s="56">
        <v>4.9669604823903466</v>
      </c>
      <c r="E217" s="57">
        <v>3495995</v>
      </c>
      <c r="F217" s="58">
        <v>0.18214944605592062</v>
      </c>
      <c r="G217" s="59">
        <v>3956936</v>
      </c>
      <c r="H217" s="58">
        <v>0.20600328964365777</v>
      </c>
      <c r="I217" s="58">
        <v>0.25188378078391965</v>
      </c>
      <c r="J217" s="60">
        <v>1000</v>
      </c>
      <c r="K217" s="59"/>
      <c r="L217" s="50"/>
    </row>
    <row r="218" spans="1:12" ht="15" customHeight="1" x14ac:dyDescent="0.35">
      <c r="A218">
        <v>900371464</v>
      </c>
      <c r="B218" t="s">
        <v>385</v>
      </c>
      <c r="C218" t="s">
        <v>324</v>
      </c>
      <c r="D218" s="56">
        <v>1.2730469963896298</v>
      </c>
      <c r="E218" s="57">
        <v>2092944</v>
      </c>
      <c r="F218" s="58">
        <v>0.95708843842418023</v>
      </c>
      <c r="G218" s="59">
        <v>856787</v>
      </c>
      <c r="H218" s="58">
        <v>0.10871780031436902</v>
      </c>
      <c r="I218" s="58">
        <v>2.5335316712321734</v>
      </c>
      <c r="J218" s="60">
        <v>2.3683215955398205</v>
      </c>
      <c r="K218" s="59"/>
      <c r="L218" s="50"/>
    </row>
    <row r="219" spans="1:12" ht="15" customHeight="1" x14ac:dyDescent="0.35">
      <c r="A219">
        <v>900371519</v>
      </c>
      <c r="B219" t="s">
        <v>235</v>
      </c>
      <c r="C219" t="s">
        <v>97</v>
      </c>
      <c r="D219" s="56">
        <v>1.5245694351311911</v>
      </c>
      <c r="E219" s="57">
        <v>1793014</v>
      </c>
      <c r="F219" s="58">
        <v>0.53644013061998153</v>
      </c>
      <c r="G219" s="59">
        <v>3641050</v>
      </c>
      <c r="H219" s="58">
        <v>0.1188837132558096</v>
      </c>
      <c r="I219" s="58">
        <v>0.25645816454044851</v>
      </c>
      <c r="J219" s="60">
        <v>1.794275777256831</v>
      </c>
      <c r="K219" s="59"/>
      <c r="L219" s="50"/>
    </row>
    <row r="220" spans="1:12" ht="15" customHeight="1" x14ac:dyDescent="0.35">
      <c r="A220">
        <v>900377621</v>
      </c>
      <c r="B220" t="s">
        <v>236</v>
      </c>
      <c r="C220" t="s">
        <v>97</v>
      </c>
      <c r="D220" s="56">
        <v>1.5611188811505499</v>
      </c>
      <c r="E220" s="57">
        <v>9912408</v>
      </c>
      <c r="F220" s="58">
        <v>0.65707307281335203</v>
      </c>
      <c r="G220" s="59">
        <v>13132291</v>
      </c>
      <c r="H220" s="58">
        <v>6.934940197109675E-2</v>
      </c>
      <c r="I220" s="58">
        <v>0.20222792808962275</v>
      </c>
      <c r="J220" s="60">
        <v>1.0126711829920161</v>
      </c>
      <c r="K220" s="59"/>
      <c r="L220" s="50"/>
    </row>
    <row r="221" spans="1:12" ht="15" customHeight="1" x14ac:dyDescent="0.35">
      <c r="A221">
        <v>900384945</v>
      </c>
      <c r="B221" t="s">
        <v>237</v>
      </c>
      <c r="C221" t="s">
        <v>97</v>
      </c>
      <c r="D221" s="56">
        <v>4.970533809865211</v>
      </c>
      <c r="E221" s="57">
        <v>4441590</v>
      </c>
      <c r="F221" s="58">
        <v>0.21367650807562646</v>
      </c>
      <c r="G221" s="59">
        <v>4392554</v>
      </c>
      <c r="H221" s="58">
        <v>0.2604298241091606</v>
      </c>
      <c r="I221" s="58">
        <v>0.33119934325224004</v>
      </c>
      <c r="J221" s="60">
        <v>1000</v>
      </c>
      <c r="K221" s="59"/>
      <c r="L221" s="50"/>
    </row>
    <row r="222" spans="1:12" ht="15" customHeight="1" x14ac:dyDescent="0.35">
      <c r="A222">
        <v>900386756</v>
      </c>
      <c r="B222" t="s">
        <v>238</v>
      </c>
      <c r="C222" t="s">
        <v>97</v>
      </c>
      <c r="D222" s="56">
        <v>2.0503890181159834</v>
      </c>
      <c r="E222" s="57">
        <v>916685</v>
      </c>
      <c r="F222" s="58">
        <v>0.57959458791143148</v>
      </c>
      <c r="G222" s="59">
        <v>756562</v>
      </c>
      <c r="H222" s="58">
        <v>0.19592454105104409</v>
      </c>
      <c r="I222" s="58">
        <v>0.46603715227568926</v>
      </c>
      <c r="J222" s="60">
        <v>3120.2300884955753</v>
      </c>
      <c r="K222" s="59"/>
      <c r="L222" s="50"/>
    </row>
    <row r="223" spans="1:12" ht="15" customHeight="1" x14ac:dyDescent="0.35">
      <c r="A223">
        <v>900386830</v>
      </c>
      <c r="B223" t="s">
        <v>386</v>
      </c>
      <c r="C223" t="s">
        <v>324</v>
      </c>
      <c r="D223" s="56">
        <v>1.4532433353380578</v>
      </c>
      <c r="E223" s="57">
        <v>2309108</v>
      </c>
      <c r="F223" s="58">
        <v>0.75972002792749105</v>
      </c>
      <c r="G223" s="59">
        <v>2109285</v>
      </c>
      <c r="H223" s="58">
        <v>5.7431456839689296E-2</v>
      </c>
      <c r="I223" s="58">
        <v>0.23901890925123917</v>
      </c>
      <c r="J223" s="60">
        <v>1000</v>
      </c>
      <c r="K223" s="59"/>
      <c r="L223" s="50"/>
    </row>
    <row r="224" spans="1:12" ht="15" customHeight="1" x14ac:dyDescent="0.35">
      <c r="A224">
        <v>900393440</v>
      </c>
      <c r="B224" t="s">
        <v>239</v>
      </c>
      <c r="C224" t="s">
        <v>101</v>
      </c>
      <c r="D224" s="56">
        <v>1.2769066665586148</v>
      </c>
      <c r="E224" s="57">
        <v>273357</v>
      </c>
      <c r="F224" s="58">
        <v>0.62724054874856006</v>
      </c>
      <c r="G224" s="59">
        <v>800883</v>
      </c>
      <c r="H224" s="58">
        <v>0.27804191247483739</v>
      </c>
      <c r="I224" s="58">
        <v>0.7459017109864986</v>
      </c>
      <c r="J224" s="60">
        <v>2.7745627153911179</v>
      </c>
      <c r="K224" s="59"/>
      <c r="L224" s="50"/>
    </row>
    <row r="225" spans="1:12" ht="15" customHeight="1" x14ac:dyDescent="0.35">
      <c r="A225">
        <v>900396963</v>
      </c>
      <c r="B225" t="s">
        <v>387</v>
      </c>
      <c r="C225" t="s">
        <v>324</v>
      </c>
      <c r="D225" s="56">
        <v>1.4975575801866836</v>
      </c>
      <c r="E225" s="57">
        <v>802026</v>
      </c>
      <c r="F225" s="58">
        <v>0.66541146360089987</v>
      </c>
      <c r="G225" s="59">
        <v>810524</v>
      </c>
      <c r="H225" s="58">
        <v>0.14175731181242132</v>
      </c>
      <c r="I225" s="58">
        <v>0.42367653517971088</v>
      </c>
      <c r="J225" s="60">
        <v>1.7339405996586652</v>
      </c>
      <c r="K225" s="59"/>
      <c r="L225" s="50"/>
    </row>
    <row r="226" spans="1:12" ht="15" customHeight="1" x14ac:dyDescent="0.35">
      <c r="A226">
        <v>900399762</v>
      </c>
      <c r="B226" t="s">
        <v>240</v>
      </c>
      <c r="C226" t="s">
        <v>97</v>
      </c>
      <c r="D226" s="56">
        <v>1.2314173078145865</v>
      </c>
      <c r="E226" s="57">
        <v>247486</v>
      </c>
      <c r="F226" s="58">
        <v>0.61423890412532489</v>
      </c>
      <c r="G226" s="59">
        <v>671639</v>
      </c>
      <c r="H226" s="58">
        <v>0.15791508119983344</v>
      </c>
      <c r="I226" s="58">
        <v>0.40935979000623846</v>
      </c>
      <c r="J226" s="60">
        <v>1.6136419658892163</v>
      </c>
      <c r="K226" s="59"/>
      <c r="L226" s="50"/>
    </row>
    <row r="227" spans="1:12" ht="15" customHeight="1" x14ac:dyDescent="0.35">
      <c r="A227">
        <v>900400181</v>
      </c>
      <c r="B227" t="s">
        <v>241</v>
      </c>
      <c r="C227" t="s">
        <v>97</v>
      </c>
      <c r="D227" s="56">
        <v>15.484309879104281</v>
      </c>
      <c r="E227" s="57">
        <v>6933306</v>
      </c>
      <c r="F227" s="58">
        <v>0.58034255498144349</v>
      </c>
      <c r="G227" s="59">
        <v>4539879</v>
      </c>
      <c r="H227" s="58">
        <v>0.11860990959653668</v>
      </c>
      <c r="I227" s="58">
        <v>0.28263506582444159</v>
      </c>
      <c r="J227" s="60">
        <v>3.1283010863841159</v>
      </c>
      <c r="K227" s="59"/>
      <c r="L227" s="50"/>
    </row>
    <row r="228" spans="1:12" ht="15" customHeight="1" x14ac:dyDescent="0.35">
      <c r="A228">
        <v>900407727</v>
      </c>
      <c r="B228" t="s">
        <v>242</v>
      </c>
      <c r="C228" t="s">
        <v>101</v>
      </c>
      <c r="D228" s="56">
        <v>2.7513024438934863</v>
      </c>
      <c r="E228" s="57">
        <v>1087804</v>
      </c>
      <c r="F228" s="58">
        <v>0.31105984614560839</v>
      </c>
      <c r="G228" s="59">
        <v>1389573</v>
      </c>
      <c r="H228" s="58">
        <v>0.80539392713433799</v>
      </c>
      <c r="I228" s="58">
        <v>1.1690332209966658</v>
      </c>
      <c r="J228" s="60">
        <v>18.023088359295254</v>
      </c>
      <c r="K228" s="59"/>
      <c r="L228" s="50"/>
    </row>
    <row r="229" spans="1:12" ht="15" customHeight="1" x14ac:dyDescent="0.35">
      <c r="A229">
        <v>900408954</v>
      </c>
      <c r="B229" t="s">
        <v>243</v>
      </c>
      <c r="C229" t="s">
        <v>97</v>
      </c>
      <c r="D229" s="56">
        <v>1.8632901632115979</v>
      </c>
      <c r="E229" s="57">
        <v>6981892</v>
      </c>
      <c r="F229" s="58">
        <v>0.48212084042120429</v>
      </c>
      <c r="G229" s="59">
        <v>9495781</v>
      </c>
      <c r="H229" s="58">
        <v>0.19311311726650357</v>
      </c>
      <c r="I229" s="58">
        <v>0.3728922349830941</v>
      </c>
      <c r="J229" s="60">
        <v>11.659712137826117</v>
      </c>
      <c r="K229" s="59"/>
      <c r="L229" s="50"/>
    </row>
    <row r="230" spans="1:12" ht="15" customHeight="1" x14ac:dyDescent="0.35">
      <c r="A230">
        <v>900409801</v>
      </c>
      <c r="B230" t="s">
        <v>388</v>
      </c>
      <c r="C230" t="s">
        <v>324</v>
      </c>
      <c r="D230" s="56">
        <v>1.8204450153209299</v>
      </c>
      <c r="E230" s="57">
        <v>8785244</v>
      </c>
      <c r="F230" s="58">
        <v>0.5355511253708215</v>
      </c>
      <c r="G230" s="59">
        <v>10907279</v>
      </c>
      <c r="H230" s="58">
        <v>0.16875099108563713</v>
      </c>
      <c r="I230" s="58">
        <v>0.36333598874659756</v>
      </c>
      <c r="J230" s="60">
        <v>5.7334258280033161</v>
      </c>
      <c r="K230" s="59"/>
      <c r="L230" s="50"/>
    </row>
    <row r="231" spans="1:12" ht="15" customHeight="1" x14ac:dyDescent="0.35">
      <c r="A231">
        <v>900410857</v>
      </c>
      <c r="B231" t="s">
        <v>244</v>
      </c>
      <c r="C231" t="s">
        <v>97</v>
      </c>
      <c r="D231" s="56">
        <v>1.9153654426373006</v>
      </c>
      <c r="E231" s="57">
        <v>2124933</v>
      </c>
      <c r="F231" s="58">
        <v>0.63714140493274085</v>
      </c>
      <c r="G231" s="59">
        <v>1750493</v>
      </c>
      <c r="H231" s="58">
        <v>0.11656980034302246</v>
      </c>
      <c r="I231" s="58">
        <v>0.32125406956783031</v>
      </c>
      <c r="J231" s="60">
        <v>3.5775367389783064</v>
      </c>
      <c r="K231" s="59"/>
      <c r="L231" s="50"/>
    </row>
    <row r="232" spans="1:12" ht="15" customHeight="1" x14ac:dyDescent="0.35">
      <c r="A232">
        <v>900411425</v>
      </c>
      <c r="B232" t="s">
        <v>245</v>
      </c>
      <c r="C232" t="s">
        <v>97</v>
      </c>
      <c r="D232" s="56">
        <v>2.0018826512724703</v>
      </c>
      <c r="E232" s="57">
        <v>417218</v>
      </c>
      <c r="F232" s="58">
        <v>0.49819174988126441</v>
      </c>
      <c r="G232" s="59">
        <v>419457</v>
      </c>
      <c r="H232" s="58">
        <v>0.15338004596293056</v>
      </c>
      <c r="I232" s="58">
        <v>0.30565469166088538</v>
      </c>
      <c r="J232" s="60">
        <v>1.9048390212013608</v>
      </c>
      <c r="K232" s="59"/>
      <c r="L232" s="50"/>
    </row>
    <row r="233" spans="1:12" ht="15" customHeight="1" x14ac:dyDescent="0.35">
      <c r="A233">
        <v>900414127</v>
      </c>
      <c r="B233" t="s">
        <v>246</v>
      </c>
      <c r="C233" t="s">
        <v>101</v>
      </c>
      <c r="D233" s="56">
        <v>3.6961332164869898</v>
      </c>
      <c r="E233" s="57">
        <v>3701098</v>
      </c>
      <c r="F233" s="58">
        <v>0.71534152490524505</v>
      </c>
      <c r="G233" s="59">
        <v>3757072</v>
      </c>
      <c r="H233" s="58">
        <v>0.1312623948509398</v>
      </c>
      <c r="I233" s="58">
        <v>0.46112238466550548</v>
      </c>
      <c r="J233" s="60">
        <v>1.3302093666788493</v>
      </c>
      <c r="K233" s="59"/>
      <c r="L233" s="50"/>
    </row>
    <row r="234" spans="1:12" ht="15" customHeight="1" x14ac:dyDescent="0.35">
      <c r="A234">
        <v>900422207</v>
      </c>
      <c r="B234" t="s">
        <v>389</v>
      </c>
      <c r="C234" t="s">
        <v>324</v>
      </c>
      <c r="D234" s="56">
        <v>3.8679333454123865</v>
      </c>
      <c r="E234" s="57">
        <v>7898515</v>
      </c>
      <c r="F234" s="58">
        <v>0.25550429753566334</v>
      </c>
      <c r="G234" s="59">
        <v>8251837</v>
      </c>
      <c r="H234" s="58">
        <v>0.20156265986177657</v>
      </c>
      <c r="I234" s="58">
        <v>0.27073717040217832</v>
      </c>
      <c r="J234" s="60">
        <v>9.303545549947529</v>
      </c>
      <c r="K234" s="59"/>
      <c r="L234" s="50"/>
    </row>
    <row r="235" spans="1:12" ht="15" customHeight="1" x14ac:dyDescent="0.35">
      <c r="A235">
        <v>900424243</v>
      </c>
      <c r="B235" t="s">
        <v>247</v>
      </c>
      <c r="C235" t="s">
        <v>101</v>
      </c>
      <c r="D235" s="56">
        <v>6.0655684569772541</v>
      </c>
      <c r="E235" s="57">
        <v>1594104</v>
      </c>
      <c r="F235" s="58">
        <v>0.1638307664115016</v>
      </c>
      <c r="G235" s="59">
        <v>1606154</v>
      </c>
      <c r="H235" s="58">
        <v>0.42906934853772916</v>
      </c>
      <c r="I235" s="58">
        <v>0.51313697192174601</v>
      </c>
      <c r="J235" s="60">
        <v>66.535642205538068</v>
      </c>
      <c r="K235" s="59"/>
      <c r="L235" s="50"/>
    </row>
    <row r="236" spans="1:12" ht="15" customHeight="1" x14ac:dyDescent="0.35">
      <c r="A236">
        <v>900430690</v>
      </c>
      <c r="B236" t="s">
        <v>248</v>
      </c>
      <c r="C236" t="s">
        <v>97</v>
      </c>
      <c r="D236" s="56">
        <v>2.0354620204134104</v>
      </c>
      <c r="E236" s="57">
        <v>12271599</v>
      </c>
      <c r="F236" s="58">
        <v>0.81488137702792829</v>
      </c>
      <c r="G236" s="59">
        <v>4816826</v>
      </c>
      <c r="H236" s="58">
        <v>5.7940417320949678E-2</v>
      </c>
      <c r="I236" s="58">
        <v>0.31299075366226642</v>
      </c>
      <c r="J236" s="60">
        <v>0.69835886209373976</v>
      </c>
      <c r="K236" s="59"/>
      <c r="L236" s="50"/>
    </row>
    <row r="237" spans="1:12" ht="15" customHeight="1" x14ac:dyDescent="0.35">
      <c r="A237">
        <v>900432249</v>
      </c>
      <c r="B237" t="s">
        <v>249</v>
      </c>
      <c r="C237" t="s">
        <v>97</v>
      </c>
      <c r="D237" s="56">
        <v>1.437110648363449</v>
      </c>
      <c r="E237" s="57">
        <v>6856734</v>
      </c>
      <c r="F237" s="58">
        <v>0.65583924877819488</v>
      </c>
      <c r="G237" s="59">
        <v>8815244</v>
      </c>
      <c r="H237" s="58">
        <v>0.1326101147274861</v>
      </c>
      <c r="I237" s="58">
        <v>0.38531446208408981</v>
      </c>
      <c r="J237" s="60">
        <v>1000</v>
      </c>
      <c r="K237" s="59"/>
      <c r="L237" s="50"/>
    </row>
    <row r="238" spans="1:12" ht="15" customHeight="1" x14ac:dyDescent="0.35">
      <c r="A238">
        <v>900439807</v>
      </c>
      <c r="B238" t="s">
        <v>250</v>
      </c>
      <c r="C238" t="s">
        <v>97</v>
      </c>
      <c r="D238" s="56">
        <v>3.3110875207465438</v>
      </c>
      <c r="E238" s="57">
        <v>6757576</v>
      </c>
      <c r="F238" s="58">
        <v>0.2889002688845077</v>
      </c>
      <c r="G238" s="59">
        <v>7197093</v>
      </c>
      <c r="H238" s="58">
        <v>0.21417440481118902</v>
      </c>
      <c r="I238" s="58">
        <v>0.30118757670631741</v>
      </c>
      <c r="J238" s="60">
        <v>1000</v>
      </c>
      <c r="K238" s="59"/>
      <c r="L238" s="50"/>
    </row>
    <row r="239" spans="1:12" ht="15" customHeight="1" x14ac:dyDescent="0.35">
      <c r="A239">
        <v>900442761</v>
      </c>
      <c r="B239" t="s">
        <v>251</v>
      </c>
      <c r="C239" t="s">
        <v>97</v>
      </c>
      <c r="D239" s="56">
        <v>1.7974977255125824</v>
      </c>
      <c r="E239" s="57">
        <v>1296445</v>
      </c>
      <c r="F239" s="58">
        <v>0.47569220307003351</v>
      </c>
      <c r="G239" s="59">
        <v>1791781</v>
      </c>
      <c r="H239" s="58">
        <v>0.11972884823706291</v>
      </c>
      <c r="I239" s="58">
        <v>0.22835603234993562</v>
      </c>
      <c r="J239" s="60">
        <v>1000</v>
      </c>
      <c r="K239" s="59"/>
      <c r="L239" s="50"/>
    </row>
    <row r="240" spans="1:12" ht="15" customHeight="1" x14ac:dyDescent="0.35">
      <c r="A240">
        <v>900446898</v>
      </c>
      <c r="B240" t="s">
        <v>252</v>
      </c>
      <c r="C240" t="s">
        <v>97</v>
      </c>
      <c r="D240" s="56">
        <v>6.5357066508729753</v>
      </c>
      <c r="E240" s="57">
        <v>6318367</v>
      </c>
      <c r="F240" s="58">
        <v>0.11892064453831393</v>
      </c>
      <c r="G240" s="59">
        <v>8928378</v>
      </c>
      <c r="H240" s="58">
        <v>0.20493079606116571</v>
      </c>
      <c r="I240" s="58">
        <v>0.23259062284325327</v>
      </c>
      <c r="J240" s="60">
        <v>1000</v>
      </c>
      <c r="K240" s="59"/>
      <c r="L240" s="50"/>
    </row>
    <row r="241" spans="1:12" ht="15" customHeight="1" x14ac:dyDescent="0.35">
      <c r="A241">
        <v>900448470</v>
      </c>
      <c r="B241" t="s">
        <v>253</v>
      </c>
      <c r="C241" t="s">
        <v>97</v>
      </c>
      <c r="D241" s="56">
        <v>1.4609650510836774</v>
      </c>
      <c r="E241" s="57">
        <v>18881648</v>
      </c>
      <c r="F241" s="58">
        <v>0.6661251075398823</v>
      </c>
      <c r="G241" s="59">
        <v>28495356</v>
      </c>
      <c r="H241" s="58">
        <v>0.1854633988524502</v>
      </c>
      <c r="I241" s="58">
        <v>0.55548770824270455</v>
      </c>
      <c r="J241" s="60">
        <v>3.936060483084868</v>
      </c>
      <c r="K241" s="59"/>
      <c r="L241" s="50"/>
    </row>
    <row r="242" spans="1:12" ht="15" customHeight="1" x14ac:dyDescent="0.35">
      <c r="A242">
        <v>900463519</v>
      </c>
      <c r="B242" t="s">
        <v>254</v>
      </c>
      <c r="C242" t="s">
        <v>101</v>
      </c>
      <c r="D242" s="56">
        <v>1.4506329393753663</v>
      </c>
      <c r="E242" s="57">
        <v>3709997</v>
      </c>
      <c r="F242" s="58">
        <v>0.63563232687367499</v>
      </c>
      <c r="G242" s="59">
        <v>4719375</v>
      </c>
      <c r="H242" s="58">
        <v>0.20431944051655032</v>
      </c>
      <c r="I242" s="58">
        <v>0.56075073500198647</v>
      </c>
      <c r="J242" s="60">
        <v>5.4274296753870006</v>
      </c>
      <c r="K242" s="59"/>
      <c r="L242" s="50"/>
    </row>
    <row r="243" spans="1:12" ht="15" customHeight="1" x14ac:dyDescent="0.35">
      <c r="A243">
        <v>900463523</v>
      </c>
      <c r="B243" t="s">
        <v>255</v>
      </c>
      <c r="C243" t="s">
        <v>101</v>
      </c>
      <c r="D243" s="56">
        <v>1.7903490900752432</v>
      </c>
      <c r="E243" s="57">
        <v>7527525</v>
      </c>
      <c r="F243" s="58">
        <v>0.507914937687308</v>
      </c>
      <c r="G243" s="59">
        <v>11055681</v>
      </c>
      <c r="H243" s="58">
        <v>0.14749064094504422</v>
      </c>
      <c r="I243" s="58">
        <v>0.29972590562263873</v>
      </c>
      <c r="J243" s="60">
        <v>4.1581011895798827</v>
      </c>
      <c r="K243" s="59"/>
      <c r="L243" s="50"/>
    </row>
    <row r="244" spans="1:12" ht="15" customHeight="1" x14ac:dyDescent="0.35">
      <c r="A244">
        <v>900468902</v>
      </c>
      <c r="B244" t="s">
        <v>256</v>
      </c>
      <c r="C244" t="s">
        <v>101</v>
      </c>
      <c r="D244" s="56">
        <v>3.1513819455150087</v>
      </c>
      <c r="E244" s="57">
        <v>1465317</v>
      </c>
      <c r="F244" s="58">
        <v>0.15405734466374477</v>
      </c>
      <c r="G244" s="59">
        <v>3741524</v>
      </c>
      <c r="H244" s="58">
        <v>0.19372855623170745</v>
      </c>
      <c r="I244" s="58">
        <v>0.22900908827525895</v>
      </c>
      <c r="J244" s="60">
        <v>1000</v>
      </c>
      <c r="K244" s="59"/>
      <c r="L244" s="50"/>
    </row>
    <row r="245" spans="1:12" ht="15" customHeight="1" x14ac:dyDescent="0.35">
      <c r="A245">
        <v>900470224</v>
      </c>
      <c r="B245" t="s">
        <v>257</v>
      </c>
      <c r="C245" t="s">
        <v>97</v>
      </c>
      <c r="D245" s="56">
        <v>1.9022793293762699</v>
      </c>
      <c r="E245" s="57">
        <v>2253116</v>
      </c>
      <c r="F245" s="58">
        <v>0.49973022872464995</v>
      </c>
      <c r="G245" s="59">
        <v>2755671</v>
      </c>
      <c r="H245" s="58">
        <v>0.10786203541156458</v>
      </c>
      <c r="I245" s="58">
        <v>0.21560774127245233</v>
      </c>
      <c r="J245" s="60">
        <v>1000</v>
      </c>
      <c r="K245" s="59"/>
      <c r="L245" s="50"/>
    </row>
    <row r="246" spans="1:12" ht="15" customHeight="1" x14ac:dyDescent="0.35">
      <c r="A246">
        <v>900473048</v>
      </c>
      <c r="B246" t="s">
        <v>258</v>
      </c>
      <c r="C246" t="s">
        <v>97</v>
      </c>
      <c r="D246" s="56">
        <v>1.3934242552586416</v>
      </c>
      <c r="E246" s="57">
        <v>1034801</v>
      </c>
      <c r="F246" s="58">
        <v>0.59503889635887219</v>
      </c>
      <c r="G246" s="59">
        <v>3174401</v>
      </c>
      <c r="H246" s="58">
        <v>0.15960889322062871</v>
      </c>
      <c r="I246" s="58">
        <v>0.39413388541649275</v>
      </c>
      <c r="J246" s="60">
        <v>3.0126585021695473</v>
      </c>
      <c r="K246" s="59"/>
      <c r="L246" s="50"/>
    </row>
    <row r="247" spans="1:12" ht="15" customHeight="1" x14ac:dyDescent="0.35">
      <c r="A247">
        <v>900476207</v>
      </c>
      <c r="B247" t="s">
        <v>259</v>
      </c>
      <c r="C247" t="s">
        <v>101</v>
      </c>
      <c r="D247" s="56">
        <v>3.431112676528798</v>
      </c>
      <c r="E247" s="57">
        <v>11595824</v>
      </c>
      <c r="F247" s="58">
        <v>0.47971076934940587</v>
      </c>
      <c r="G247" s="59">
        <v>12765379</v>
      </c>
      <c r="H247" s="58">
        <v>0.16595168590511275</v>
      </c>
      <c r="I247" s="58">
        <v>0.31896044762948284</v>
      </c>
      <c r="J247" s="60">
        <v>2.7172363764495784</v>
      </c>
      <c r="K247" s="59"/>
      <c r="L247" s="50"/>
    </row>
    <row r="248" spans="1:12" ht="15" customHeight="1" x14ac:dyDescent="0.35">
      <c r="A248">
        <v>900476791</v>
      </c>
      <c r="B248" t="s">
        <v>260</v>
      </c>
      <c r="C248" t="s">
        <v>101</v>
      </c>
      <c r="D248" s="56">
        <v>1.5175824741864905</v>
      </c>
      <c r="E248" s="57">
        <v>1919216</v>
      </c>
      <c r="F248" s="58">
        <v>0.64959588542661206</v>
      </c>
      <c r="G248" s="59">
        <v>2135992</v>
      </c>
      <c r="H248" s="58">
        <v>0.28324323845483018</v>
      </c>
      <c r="I248" s="58">
        <v>0.80833308364450807</v>
      </c>
      <c r="J248" s="60">
        <v>1.9780371230017344</v>
      </c>
      <c r="K248" s="59"/>
      <c r="L248" s="50"/>
    </row>
    <row r="249" spans="1:12" ht="15" customHeight="1" x14ac:dyDescent="0.35">
      <c r="A249">
        <v>900484033</v>
      </c>
      <c r="B249" t="s">
        <v>261</v>
      </c>
      <c r="C249" t="s">
        <v>97</v>
      </c>
      <c r="D249" s="56">
        <v>1.4341042337100565</v>
      </c>
      <c r="E249" s="57">
        <v>3476117</v>
      </c>
      <c r="F249" s="58">
        <v>0.71247276899673195</v>
      </c>
      <c r="G249" s="59">
        <v>4693263</v>
      </c>
      <c r="H249" s="58">
        <v>7.8449182302572584E-2</v>
      </c>
      <c r="I249" s="58">
        <v>0.27284087851032429</v>
      </c>
      <c r="J249" s="60">
        <v>1000</v>
      </c>
      <c r="K249" s="59"/>
      <c r="L249" s="50"/>
    </row>
    <row r="250" spans="1:12" ht="15" customHeight="1" x14ac:dyDescent="0.35">
      <c r="A250">
        <v>900484766</v>
      </c>
      <c r="B250" t="s">
        <v>262</v>
      </c>
      <c r="C250" t="s">
        <v>97</v>
      </c>
      <c r="D250" s="56">
        <v>4.9074427109675911</v>
      </c>
      <c r="E250" s="57">
        <v>401732</v>
      </c>
      <c r="F250" s="58">
        <v>0.97166245938326778</v>
      </c>
      <c r="G250" s="59">
        <v>191531</v>
      </c>
      <c r="H250" s="58">
        <v>1.6306169896524798E-2</v>
      </c>
      <c r="I250" s="58">
        <v>0.57542643227467094</v>
      </c>
      <c r="J250" s="60">
        <v>386.70877192982454</v>
      </c>
      <c r="K250" s="59"/>
      <c r="L250" s="50"/>
    </row>
    <row r="251" spans="1:12" ht="15" customHeight="1" x14ac:dyDescent="0.35">
      <c r="A251">
        <v>900487988</v>
      </c>
      <c r="B251" t="s">
        <v>390</v>
      </c>
      <c r="C251" t="s">
        <v>324</v>
      </c>
      <c r="D251" s="56">
        <v>1.2090205981759916</v>
      </c>
      <c r="E251" s="57">
        <v>1837058</v>
      </c>
      <c r="F251" s="58">
        <v>0.80099729006145581</v>
      </c>
      <c r="G251" s="59">
        <v>2192384</v>
      </c>
      <c r="H251" s="58">
        <v>0.31196952306261633</v>
      </c>
      <c r="I251" s="58">
        <v>1.5676646974252686</v>
      </c>
      <c r="J251" s="60">
        <v>0.8685581964719119</v>
      </c>
      <c r="K251" s="59"/>
      <c r="L251" s="50"/>
    </row>
    <row r="252" spans="1:12" ht="15" customHeight="1" x14ac:dyDescent="0.35">
      <c r="A252">
        <v>900489024</v>
      </c>
      <c r="B252" t="s">
        <v>263</v>
      </c>
      <c r="C252" t="s">
        <v>97</v>
      </c>
      <c r="D252" s="56">
        <v>2.1233824287511611</v>
      </c>
      <c r="E252" s="57">
        <v>1869733</v>
      </c>
      <c r="F252" s="58">
        <v>0.44003083569026125</v>
      </c>
      <c r="G252" s="59">
        <v>2184984</v>
      </c>
      <c r="H252" s="58">
        <v>0.274088076490554</v>
      </c>
      <c r="I252" s="58">
        <v>0.48946994577534664</v>
      </c>
      <c r="J252" s="60">
        <v>5.6063198507055843</v>
      </c>
      <c r="K252" s="59"/>
      <c r="L252" s="50"/>
    </row>
    <row r="253" spans="1:12" ht="15" customHeight="1" x14ac:dyDescent="0.35">
      <c r="A253">
        <v>900490594</v>
      </c>
      <c r="B253" t="s">
        <v>264</v>
      </c>
      <c r="C253" t="s">
        <v>97</v>
      </c>
      <c r="D253" s="56">
        <v>1.2387250504145468</v>
      </c>
      <c r="E253" s="57">
        <v>32900339</v>
      </c>
      <c r="F253" s="58">
        <v>0.77992463763733633</v>
      </c>
      <c r="G253" s="59">
        <v>42795373</v>
      </c>
      <c r="H253" s="58">
        <v>0.17576662516151961</v>
      </c>
      <c r="I253" s="58">
        <v>0.79866561742551001</v>
      </c>
      <c r="J253" s="60">
        <v>2.3096338670866903</v>
      </c>
      <c r="K253" s="59"/>
      <c r="L253" s="50"/>
    </row>
    <row r="254" spans="1:12" ht="15" customHeight="1" x14ac:dyDescent="0.35">
      <c r="A254">
        <v>900492755</v>
      </c>
      <c r="B254" t="s">
        <v>265</v>
      </c>
      <c r="C254" t="s">
        <v>97</v>
      </c>
      <c r="D254" s="56">
        <v>3.7613428329178733</v>
      </c>
      <c r="E254" s="57">
        <v>13463540</v>
      </c>
      <c r="F254" s="58">
        <v>0.25443208548570573</v>
      </c>
      <c r="G254" s="59">
        <v>14287435</v>
      </c>
      <c r="H254" s="58">
        <v>0.15743381949018109</v>
      </c>
      <c r="I254" s="58">
        <v>0.21115959582668267</v>
      </c>
      <c r="J254" s="60">
        <v>5.2737521085890586</v>
      </c>
      <c r="K254" s="59"/>
      <c r="L254" s="50"/>
    </row>
    <row r="255" spans="1:12" ht="15" customHeight="1" x14ac:dyDescent="0.35">
      <c r="A255">
        <v>900499032</v>
      </c>
      <c r="B255" t="s">
        <v>266</v>
      </c>
      <c r="C255" t="s">
        <v>97</v>
      </c>
      <c r="D255" s="56">
        <v>1.6592931593133275</v>
      </c>
      <c r="E255" s="57">
        <v>119758074</v>
      </c>
      <c r="F255" s="58">
        <v>0.68774811744846065</v>
      </c>
      <c r="G255" s="59">
        <v>113629952</v>
      </c>
      <c r="H255" s="58">
        <v>7.8413716238702427E-2</v>
      </c>
      <c r="I255" s="58">
        <v>0.25112327777802812</v>
      </c>
      <c r="J255" s="60">
        <v>1.6300669738350129</v>
      </c>
      <c r="K255" s="59"/>
      <c r="L255" s="50"/>
    </row>
    <row r="256" spans="1:12" ht="15" customHeight="1" x14ac:dyDescent="0.35">
      <c r="A256">
        <v>900507831</v>
      </c>
      <c r="B256" t="s">
        <v>267</v>
      </c>
      <c r="C256" t="s">
        <v>101</v>
      </c>
      <c r="D256" s="56">
        <v>5.3991844400832427</v>
      </c>
      <c r="E256" s="57">
        <v>1929997</v>
      </c>
      <c r="F256" s="58">
        <v>0.83607568351891259</v>
      </c>
      <c r="G256" s="59">
        <v>1220339</v>
      </c>
      <c r="H256" s="58">
        <v>6.5454527869937204E-2</v>
      </c>
      <c r="I256" s="58">
        <v>0.39929724445420495</v>
      </c>
      <c r="J256" s="60">
        <v>2.0183996222319793</v>
      </c>
      <c r="K256" s="59"/>
      <c r="L256" s="50"/>
    </row>
    <row r="257" spans="1:12" ht="15" customHeight="1" x14ac:dyDescent="0.35">
      <c r="A257">
        <v>900513594</v>
      </c>
      <c r="B257" t="s">
        <v>268</v>
      </c>
      <c r="C257" t="s">
        <v>97</v>
      </c>
      <c r="D257" s="56">
        <v>3.8013820402742118</v>
      </c>
      <c r="E257" s="57">
        <v>2142934</v>
      </c>
      <c r="F257" s="58">
        <v>1.5113528445531221</v>
      </c>
      <c r="G257" s="59">
        <v>-1658958</v>
      </c>
      <c r="H257" s="58">
        <v>-0.58823926494018808</v>
      </c>
      <c r="I257" s="58">
        <v>1.1503588397054054</v>
      </c>
      <c r="J257" s="60">
        <v>-2.9334996533718236</v>
      </c>
      <c r="K257" s="59"/>
      <c r="L257" s="50"/>
    </row>
    <row r="258" spans="1:12" ht="15" customHeight="1" x14ac:dyDescent="0.35">
      <c r="A258">
        <v>900519038</v>
      </c>
      <c r="B258" t="s">
        <v>269</v>
      </c>
      <c r="C258" t="s">
        <v>101</v>
      </c>
      <c r="D258" s="56">
        <v>2.6464611054103115</v>
      </c>
      <c r="E258" s="57">
        <v>6702050</v>
      </c>
      <c r="F258" s="58">
        <v>0.73257063303654124</v>
      </c>
      <c r="G258" s="59">
        <v>3486106</v>
      </c>
      <c r="H258" s="58">
        <v>0.11546813214935638</v>
      </c>
      <c r="I258" s="58">
        <v>0.4317705772572607</v>
      </c>
      <c r="J258" s="60">
        <v>2.0479608802488252</v>
      </c>
      <c r="K258" s="59"/>
      <c r="L258" s="50"/>
    </row>
    <row r="259" spans="1:12" ht="15" customHeight="1" x14ac:dyDescent="0.35">
      <c r="A259">
        <v>900536650</v>
      </c>
      <c r="B259" t="s">
        <v>270</v>
      </c>
      <c r="C259" t="s">
        <v>101</v>
      </c>
      <c r="D259" s="56">
        <v>1.3066170395322232</v>
      </c>
      <c r="E259" s="57">
        <v>308756</v>
      </c>
      <c r="F259" s="58">
        <v>1.0088942588024825</v>
      </c>
      <c r="G259" s="59">
        <v>-49498</v>
      </c>
      <c r="H259" s="58">
        <v>-5.2521911757121939E-2</v>
      </c>
      <c r="I259" s="58">
        <v>5.9051476827346558</v>
      </c>
      <c r="J259" s="60">
        <v>1000</v>
      </c>
      <c r="K259" s="59"/>
      <c r="L259" s="50"/>
    </row>
    <row r="260" spans="1:12" ht="15" customHeight="1" x14ac:dyDescent="0.35">
      <c r="A260">
        <v>900537115</v>
      </c>
      <c r="B260" t="s">
        <v>271</v>
      </c>
      <c r="C260" t="s">
        <v>97</v>
      </c>
      <c r="D260" s="56">
        <v>1.6313140815766258</v>
      </c>
      <c r="E260" s="57">
        <v>5086692</v>
      </c>
      <c r="F260" s="58">
        <v>0.60253011095866671</v>
      </c>
      <c r="G260" s="59">
        <v>5315149</v>
      </c>
      <c r="H260" s="58">
        <v>0.22972352799489279</v>
      </c>
      <c r="I260" s="58">
        <v>0.57796460644847403</v>
      </c>
      <c r="J260" s="60">
        <v>1000</v>
      </c>
      <c r="K260" s="59"/>
      <c r="L260" s="50"/>
    </row>
    <row r="261" spans="1:12" ht="15" customHeight="1" x14ac:dyDescent="0.35">
      <c r="A261">
        <v>900546890</v>
      </c>
      <c r="B261" t="s">
        <v>272</v>
      </c>
      <c r="C261" t="s">
        <v>101</v>
      </c>
      <c r="D261" s="56">
        <v>1.5914351495808658</v>
      </c>
      <c r="E261" s="57">
        <v>1230469</v>
      </c>
      <c r="F261" s="58">
        <v>0.66009725328051094</v>
      </c>
      <c r="G261" s="59">
        <v>1221931</v>
      </c>
      <c r="H261" s="58">
        <v>0.14506989401500942</v>
      </c>
      <c r="I261" s="58">
        <v>0.4267982398351462</v>
      </c>
      <c r="J261" s="60">
        <v>1000</v>
      </c>
      <c r="K261" s="59"/>
      <c r="L261" s="50"/>
    </row>
    <row r="262" spans="1:12" ht="15" customHeight="1" x14ac:dyDescent="0.35">
      <c r="A262">
        <v>900548857</v>
      </c>
      <c r="B262" t="s">
        <v>273</v>
      </c>
      <c r="C262" t="s">
        <v>97</v>
      </c>
      <c r="D262" s="56">
        <v>3.5808597786094931</v>
      </c>
      <c r="E262" s="57">
        <v>2440381</v>
      </c>
      <c r="F262" s="58">
        <v>1.0285672871444016</v>
      </c>
      <c r="G262" s="59">
        <v>-138747</v>
      </c>
      <c r="H262" s="58">
        <v>-8.8405672072572161E-2</v>
      </c>
      <c r="I262" s="58">
        <v>3.0946470914686444</v>
      </c>
      <c r="J262" s="60">
        <v>-7.0406329425268508</v>
      </c>
      <c r="K262" s="59"/>
      <c r="L262" s="50"/>
    </row>
    <row r="263" spans="1:12" ht="15" customHeight="1" x14ac:dyDescent="0.35">
      <c r="A263">
        <v>900549481</v>
      </c>
      <c r="B263" t="s">
        <v>274</v>
      </c>
      <c r="C263" t="s">
        <v>101</v>
      </c>
      <c r="D263" s="56">
        <v>2.3602297600171203</v>
      </c>
      <c r="E263" s="57">
        <v>2593293</v>
      </c>
      <c r="F263" s="58">
        <v>0.42064513341479998</v>
      </c>
      <c r="G263" s="59">
        <v>2896301</v>
      </c>
      <c r="H263" s="58">
        <v>0.17936970901045232</v>
      </c>
      <c r="I263" s="58">
        <v>0.3096024895202536</v>
      </c>
      <c r="J263" s="60">
        <v>11.772068476605577</v>
      </c>
      <c r="K263" s="59"/>
      <c r="L263" s="50"/>
    </row>
    <row r="264" spans="1:12" ht="15" customHeight="1" x14ac:dyDescent="0.35">
      <c r="A264">
        <v>900567160</v>
      </c>
      <c r="B264" t="s">
        <v>391</v>
      </c>
      <c r="C264" t="s">
        <v>324</v>
      </c>
      <c r="D264" s="56">
        <v>2.045262687322821</v>
      </c>
      <c r="E264" s="57">
        <v>2328816</v>
      </c>
      <c r="F264" s="58">
        <v>0.66760152478053181</v>
      </c>
      <c r="G264" s="59">
        <v>1517176</v>
      </c>
      <c r="H264" s="58">
        <v>0.17375609865108321</v>
      </c>
      <c r="I264" s="58">
        <v>0.52273434327988311</v>
      </c>
      <c r="J264" s="60">
        <v>2.2920128663454897</v>
      </c>
      <c r="K264" s="59"/>
      <c r="L264" s="50"/>
    </row>
    <row r="265" spans="1:12" ht="15" customHeight="1" x14ac:dyDescent="0.35">
      <c r="A265">
        <v>900570413</v>
      </c>
      <c r="B265" t="s">
        <v>275</v>
      </c>
      <c r="C265" t="s">
        <v>101</v>
      </c>
      <c r="D265" s="56">
        <v>1.6397251190882431</v>
      </c>
      <c r="E265" s="57">
        <v>461174</v>
      </c>
      <c r="F265" s="58">
        <v>1.0902203392510446</v>
      </c>
      <c r="G265" s="59">
        <v>-108413</v>
      </c>
      <c r="H265" s="58">
        <v>-0.21941718324932363</v>
      </c>
      <c r="I265" s="58">
        <v>2.4320146107939085</v>
      </c>
      <c r="J265" s="60">
        <v>1000</v>
      </c>
      <c r="K265" s="59"/>
      <c r="L265" s="50"/>
    </row>
    <row r="266" spans="1:12" ht="15" customHeight="1" x14ac:dyDescent="0.35">
      <c r="A266">
        <v>900584791</v>
      </c>
      <c r="B266" t="s">
        <v>276</v>
      </c>
      <c r="C266" t="s">
        <v>101</v>
      </c>
      <c r="D266" s="56">
        <v>1.8590270028729683</v>
      </c>
      <c r="E266" s="57">
        <v>2722126</v>
      </c>
      <c r="F266" s="58">
        <v>0.48847684317361878</v>
      </c>
      <c r="G266" s="59">
        <v>3334932</v>
      </c>
      <c r="H266" s="58">
        <v>0.2165304034243761</v>
      </c>
      <c r="I266" s="58">
        <v>0.42330518283431268</v>
      </c>
      <c r="J266" s="60">
        <v>9.1505039701831148</v>
      </c>
      <c r="K266" s="59"/>
      <c r="L266" s="50"/>
    </row>
    <row r="267" spans="1:12" ht="15" customHeight="1" x14ac:dyDescent="0.35">
      <c r="A267">
        <v>900584804</v>
      </c>
      <c r="B267" t="s">
        <v>277</v>
      </c>
      <c r="C267" t="s">
        <v>97</v>
      </c>
      <c r="D267" s="56">
        <v>2.2677415868690969</v>
      </c>
      <c r="E267" s="57">
        <v>12387600</v>
      </c>
      <c r="F267" s="58">
        <v>0.63576020516822951</v>
      </c>
      <c r="G267" s="59">
        <v>8568417</v>
      </c>
      <c r="H267" s="58">
        <v>8.5093208627233935E-2</v>
      </c>
      <c r="I267" s="58">
        <v>0.23361864857884485</v>
      </c>
      <c r="J267" s="60">
        <v>1000</v>
      </c>
      <c r="K267" s="59"/>
      <c r="L267" s="50"/>
    </row>
    <row r="268" spans="1:12" ht="15" customHeight="1" x14ac:dyDescent="0.35">
      <c r="A268">
        <v>900591767</v>
      </c>
      <c r="B268" t="s">
        <v>392</v>
      </c>
      <c r="C268" t="s">
        <v>324</v>
      </c>
      <c r="D268" s="56">
        <v>1.3586550857665431</v>
      </c>
      <c r="E268" s="57">
        <v>677696</v>
      </c>
      <c r="F268" s="58">
        <v>0.73379560731323812</v>
      </c>
      <c r="G268" s="59">
        <v>695829</v>
      </c>
      <c r="H268" s="58">
        <v>8.345837047465654E-2</v>
      </c>
      <c r="I268" s="58">
        <v>0.31351237157405054</v>
      </c>
      <c r="J268" s="60">
        <v>6.5536395589869922</v>
      </c>
      <c r="K268" s="59"/>
      <c r="L268" s="50"/>
    </row>
    <row r="269" spans="1:12" ht="15" customHeight="1" x14ac:dyDescent="0.35">
      <c r="A269">
        <v>900593525</v>
      </c>
      <c r="B269" t="s">
        <v>278</v>
      </c>
      <c r="C269" t="s">
        <v>101</v>
      </c>
      <c r="D269" s="56">
        <v>1.4092453378659355</v>
      </c>
      <c r="E269" s="57">
        <v>2432754</v>
      </c>
      <c r="F269" s="58">
        <v>0.5944296593649685</v>
      </c>
      <c r="G269" s="59">
        <v>4055834</v>
      </c>
      <c r="H269" s="58">
        <v>0.16271406060724844</v>
      </c>
      <c r="I269" s="58">
        <v>0.40119812595880405</v>
      </c>
      <c r="J269" s="60">
        <v>2.5280790121308541</v>
      </c>
      <c r="K269" s="59"/>
      <c r="L269" s="50"/>
    </row>
    <row r="270" spans="1:12" ht="15" customHeight="1" x14ac:dyDescent="0.35">
      <c r="A270">
        <v>900596174</v>
      </c>
      <c r="B270" t="s">
        <v>279</v>
      </c>
      <c r="C270" t="s">
        <v>101</v>
      </c>
      <c r="D270" s="56">
        <v>1.5211930292972207</v>
      </c>
      <c r="E270" s="57">
        <v>1770143</v>
      </c>
      <c r="F270" s="58">
        <v>0.62339185952912202</v>
      </c>
      <c r="G270" s="59">
        <v>2633597</v>
      </c>
      <c r="H270" s="58">
        <v>0.15602843268858277</v>
      </c>
      <c r="I270" s="58">
        <v>0.4142991505534066</v>
      </c>
      <c r="J270" s="60">
        <v>4.7991950736749507</v>
      </c>
      <c r="K270" s="59"/>
      <c r="L270" s="50"/>
    </row>
    <row r="271" spans="1:12" ht="15" customHeight="1" x14ac:dyDescent="0.35">
      <c r="A271">
        <v>900613286</v>
      </c>
      <c r="B271" t="s">
        <v>280</v>
      </c>
      <c r="C271" t="s">
        <v>97</v>
      </c>
      <c r="D271" s="56">
        <v>1.4990903882397766</v>
      </c>
      <c r="E271" s="57">
        <v>1570611</v>
      </c>
      <c r="F271" s="58">
        <v>0.50582691234162902</v>
      </c>
      <c r="G271" s="59">
        <v>3074444</v>
      </c>
      <c r="H271" s="58">
        <v>0.12517618648305501</v>
      </c>
      <c r="I271" s="58">
        <v>0.25330433730456631</v>
      </c>
      <c r="J271" s="60">
        <v>1000</v>
      </c>
      <c r="K271" s="59"/>
      <c r="L271" s="50"/>
    </row>
    <row r="272" spans="1:12" ht="15" customHeight="1" x14ac:dyDescent="0.35">
      <c r="A272">
        <v>900629052</v>
      </c>
      <c r="B272" t="s">
        <v>393</v>
      </c>
      <c r="C272" t="s">
        <v>324</v>
      </c>
      <c r="D272" s="56">
        <v>4.5661941318405033</v>
      </c>
      <c r="E272" s="57">
        <v>2604199</v>
      </c>
      <c r="F272" s="58">
        <v>0.20561448164593851</v>
      </c>
      <c r="G272" s="59">
        <v>2821284</v>
      </c>
      <c r="H272" s="58">
        <v>0.34012439709083125</v>
      </c>
      <c r="I272" s="58">
        <v>0.42816036953387182</v>
      </c>
      <c r="J272" s="60">
        <v>1000</v>
      </c>
      <c r="K272" s="59"/>
      <c r="L272" s="50"/>
    </row>
    <row r="273" spans="1:12" ht="15" customHeight="1" x14ac:dyDescent="0.35">
      <c r="A273">
        <v>900638635</v>
      </c>
      <c r="B273" t="s">
        <v>281</v>
      </c>
      <c r="C273" t="s">
        <v>101</v>
      </c>
      <c r="D273" s="56">
        <v>1.8437670893258087</v>
      </c>
      <c r="E273" s="57">
        <v>4068720</v>
      </c>
      <c r="F273" s="58">
        <v>0.68381010493665617</v>
      </c>
      <c r="G273" s="59">
        <v>2885272</v>
      </c>
      <c r="H273" s="58">
        <v>0.15395264765717157</v>
      </c>
      <c r="I273" s="58">
        <v>0.48689932872879921</v>
      </c>
      <c r="J273" s="60">
        <v>6.3376581778810364</v>
      </c>
      <c r="K273" s="59"/>
      <c r="L273" s="50"/>
    </row>
    <row r="274" spans="1:12" ht="15" customHeight="1" x14ac:dyDescent="0.35">
      <c r="A274">
        <v>900639678</v>
      </c>
      <c r="B274" t="s">
        <v>282</v>
      </c>
      <c r="C274" t="s">
        <v>101</v>
      </c>
      <c r="D274" s="56">
        <v>2.7008979032667453</v>
      </c>
      <c r="E274" s="57">
        <v>7672861</v>
      </c>
      <c r="F274" s="58">
        <v>0.36562168172068987</v>
      </c>
      <c r="G274" s="59">
        <v>8528879</v>
      </c>
      <c r="H274" s="58">
        <v>0.2148450946515697</v>
      </c>
      <c r="I274" s="58">
        <v>0.3386702988751511</v>
      </c>
      <c r="J274" s="60">
        <v>4.1372841104735603</v>
      </c>
      <c r="K274" s="59"/>
      <c r="L274" s="50"/>
    </row>
    <row r="275" spans="1:12" ht="15" customHeight="1" x14ac:dyDescent="0.35">
      <c r="A275">
        <v>900665212</v>
      </c>
      <c r="B275" t="s">
        <v>283</v>
      </c>
      <c r="C275" t="s">
        <v>97</v>
      </c>
      <c r="D275" s="56">
        <v>2.0924652760750782</v>
      </c>
      <c r="E275" s="57">
        <v>3675878</v>
      </c>
      <c r="F275" s="58">
        <v>0.47435635975275048</v>
      </c>
      <c r="G275" s="59">
        <v>6551882</v>
      </c>
      <c r="H275" s="58">
        <v>0.18402431739306865</v>
      </c>
      <c r="I275" s="58">
        <v>0.35009330143613698</v>
      </c>
      <c r="J275" s="60">
        <v>2.9028449214103116</v>
      </c>
      <c r="K275" s="59"/>
      <c r="L275" s="50"/>
    </row>
    <row r="276" spans="1:12" ht="15" customHeight="1" x14ac:dyDescent="0.35">
      <c r="A276">
        <v>900677100</v>
      </c>
      <c r="B276" t="s">
        <v>394</v>
      </c>
      <c r="C276" t="s">
        <v>324</v>
      </c>
      <c r="D276" s="56">
        <v>1.4080058346216957</v>
      </c>
      <c r="E276" s="57">
        <v>14801887</v>
      </c>
      <c r="F276" s="58">
        <v>0.64422492272654941</v>
      </c>
      <c r="G276" s="59">
        <v>27883956</v>
      </c>
      <c r="H276" s="58">
        <v>0.1293311559619271</v>
      </c>
      <c r="I276" s="58">
        <v>0.36351943748584309</v>
      </c>
      <c r="J276" s="60">
        <v>2.0653176291093494</v>
      </c>
      <c r="K276" s="59"/>
      <c r="L276" s="50"/>
    </row>
    <row r="277" spans="1:12" ht="15" customHeight="1" x14ac:dyDescent="0.35">
      <c r="A277">
        <v>900690141</v>
      </c>
      <c r="B277" t="s">
        <v>395</v>
      </c>
      <c r="C277" t="s">
        <v>324</v>
      </c>
      <c r="D277" s="56">
        <v>1.5413699981981577</v>
      </c>
      <c r="E277" s="57">
        <v>7730671</v>
      </c>
      <c r="F277" s="58">
        <v>0.63741449131236061</v>
      </c>
      <c r="G277" s="59">
        <v>8219572</v>
      </c>
      <c r="H277" s="58">
        <v>0.24129120864335935</v>
      </c>
      <c r="I277" s="58">
        <v>0.6654739443854254</v>
      </c>
      <c r="J277" s="60">
        <v>1.6296302585851183</v>
      </c>
      <c r="K277" s="59"/>
      <c r="L277" s="50"/>
    </row>
    <row r="278" spans="1:12" ht="15" customHeight="1" x14ac:dyDescent="0.35">
      <c r="A278">
        <v>900712613</v>
      </c>
      <c r="B278" t="s">
        <v>284</v>
      </c>
      <c r="C278" t="s">
        <v>97</v>
      </c>
      <c r="D278" s="56">
        <v>1.4703707432036335</v>
      </c>
      <c r="E278" s="57">
        <v>3574566</v>
      </c>
      <c r="F278" s="58">
        <v>0.72843435733974127</v>
      </c>
      <c r="G278" s="59">
        <v>3930561</v>
      </c>
      <c r="H278" s="58">
        <v>7.9288198840587118E-2</v>
      </c>
      <c r="I278" s="58">
        <v>0.2919669736711884</v>
      </c>
      <c r="J278" s="60">
        <v>1.3638469336458139</v>
      </c>
      <c r="K278" s="59"/>
      <c r="L278" s="50"/>
    </row>
    <row r="279" spans="1:12" ht="15" customHeight="1" x14ac:dyDescent="0.35">
      <c r="A279">
        <v>900748926</v>
      </c>
      <c r="B279" t="s">
        <v>285</v>
      </c>
      <c r="C279" t="s">
        <v>97</v>
      </c>
      <c r="D279" s="56">
        <v>34.813823980128404</v>
      </c>
      <c r="E279" s="57">
        <v>3376006</v>
      </c>
      <c r="F279" s="58">
        <v>1.1882971938338887</v>
      </c>
      <c r="G279" s="59">
        <v>-687593</v>
      </c>
      <c r="H279" s="58">
        <v>-5.7790519703902664E-2</v>
      </c>
      <c r="I279" s="58">
        <v>0.30691121055624476</v>
      </c>
      <c r="J279" s="60">
        <v>1000</v>
      </c>
      <c r="K279" s="59"/>
      <c r="L279" s="50"/>
    </row>
    <row r="280" spans="1:12" ht="15" customHeight="1" x14ac:dyDescent="0.35">
      <c r="A280">
        <v>900756658</v>
      </c>
      <c r="B280" t="s">
        <v>286</v>
      </c>
      <c r="C280" t="s">
        <v>101</v>
      </c>
      <c r="D280" s="56">
        <v>1.4040467916832002</v>
      </c>
      <c r="E280" s="57">
        <v>1543664</v>
      </c>
      <c r="F280" s="58">
        <v>0.58633687332919748</v>
      </c>
      <c r="G280" s="59">
        <v>4184780</v>
      </c>
      <c r="H280" s="58">
        <v>0.13281903950774565</v>
      </c>
      <c r="I280" s="58">
        <v>0.32108020015389099</v>
      </c>
      <c r="J280" s="60">
        <v>1.9574122795516591</v>
      </c>
      <c r="K280" s="59"/>
      <c r="L280" s="50"/>
    </row>
    <row r="281" spans="1:12" ht="15" customHeight="1" x14ac:dyDescent="0.35">
      <c r="A281">
        <v>900775475</v>
      </c>
      <c r="B281" t="s">
        <v>287</v>
      </c>
      <c r="C281" t="s">
        <v>97</v>
      </c>
      <c r="D281" s="56">
        <v>2.8679973653117488</v>
      </c>
      <c r="E281" s="57">
        <v>1650555</v>
      </c>
      <c r="F281" s="58">
        <v>0.35483377480075279</v>
      </c>
      <c r="G281" s="59">
        <v>1648961</v>
      </c>
      <c r="H281" s="58">
        <v>0.22854331401831862</v>
      </c>
      <c r="I281" s="58">
        <v>0.3542394271301747</v>
      </c>
      <c r="J281" s="60">
        <v>6.5568888489773922</v>
      </c>
      <c r="K281" s="59"/>
      <c r="L281" s="50"/>
    </row>
    <row r="282" spans="1:12" ht="15" customHeight="1" x14ac:dyDescent="0.35">
      <c r="A282">
        <v>900795612</v>
      </c>
      <c r="B282" t="s">
        <v>288</v>
      </c>
      <c r="C282" t="s">
        <v>97</v>
      </c>
      <c r="D282" s="56">
        <v>1.5820168902785754</v>
      </c>
      <c r="E282" s="57">
        <v>47176429</v>
      </c>
      <c r="F282" s="58">
        <v>0.87419137961599569</v>
      </c>
      <c r="G282" s="59">
        <v>17183253</v>
      </c>
      <c r="H282" s="58">
        <v>7.3936915055362484E-2</v>
      </c>
      <c r="I282" s="58">
        <v>0.58769355255375688</v>
      </c>
      <c r="J282" s="60">
        <v>1000</v>
      </c>
      <c r="K282" s="59"/>
      <c r="L282" s="50"/>
    </row>
    <row r="283" spans="1:12" ht="15" customHeight="1" x14ac:dyDescent="0.35">
      <c r="A283">
        <v>900795834</v>
      </c>
      <c r="B283" t="s">
        <v>396</v>
      </c>
      <c r="C283" t="s">
        <v>324</v>
      </c>
      <c r="D283" s="56">
        <v>1.4337015001242333</v>
      </c>
      <c r="E283" s="57">
        <v>2436738</v>
      </c>
      <c r="F283" s="58">
        <v>0.76863714415387563</v>
      </c>
      <c r="G283" s="59">
        <v>1920817</v>
      </c>
      <c r="H283" s="58">
        <v>0.11340281063392477</v>
      </c>
      <c r="I283" s="58">
        <v>0.49015132623253543</v>
      </c>
      <c r="J283" s="60">
        <v>0.96005070013501004</v>
      </c>
      <c r="K283" s="59"/>
      <c r="L283" s="50"/>
    </row>
    <row r="284" spans="1:12" ht="15" customHeight="1" x14ac:dyDescent="0.35">
      <c r="A284">
        <v>900797309</v>
      </c>
      <c r="B284" t="s">
        <v>289</v>
      </c>
      <c r="C284" t="s">
        <v>97</v>
      </c>
      <c r="D284" s="56">
        <v>1.618704876527802</v>
      </c>
      <c r="E284" s="57">
        <v>6699978</v>
      </c>
      <c r="F284" s="58">
        <v>0.54834915904371218</v>
      </c>
      <c r="G284" s="59">
        <v>8932249</v>
      </c>
      <c r="H284" s="58">
        <v>0.10723096503039659</v>
      </c>
      <c r="I284" s="58">
        <v>0.23742004953063892</v>
      </c>
      <c r="J284" s="60">
        <v>2.6004652326285767</v>
      </c>
      <c r="K284" s="59"/>
      <c r="L284" s="50"/>
    </row>
    <row r="285" spans="1:12" ht="15" customHeight="1" x14ac:dyDescent="0.35">
      <c r="A285">
        <v>900816647</v>
      </c>
      <c r="B285" t="s">
        <v>397</v>
      </c>
      <c r="C285" t="s">
        <v>324</v>
      </c>
      <c r="D285" s="56">
        <v>2.4024165885398028</v>
      </c>
      <c r="E285" s="57">
        <v>14459131</v>
      </c>
      <c r="F285" s="58">
        <v>0.40333239144948263</v>
      </c>
      <c r="G285" s="59">
        <v>15573129</v>
      </c>
      <c r="H285" s="58">
        <v>0.29198467060086764</v>
      </c>
      <c r="I285" s="58">
        <v>0.48935901063941611</v>
      </c>
      <c r="J285" s="60">
        <v>7.6136560949902341</v>
      </c>
      <c r="K285" s="59"/>
      <c r="L285" s="50"/>
    </row>
    <row r="286" spans="1:12" ht="15" customHeight="1" x14ac:dyDescent="0.35">
      <c r="A286">
        <v>900822366</v>
      </c>
      <c r="B286" t="s">
        <v>290</v>
      </c>
      <c r="C286" t="s">
        <v>97</v>
      </c>
      <c r="D286" s="56">
        <v>2.6010571271153422</v>
      </c>
      <c r="E286" s="57">
        <v>1508175</v>
      </c>
      <c r="F286" s="58">
        <v>0.38371768091194086</v>
      </c>
      <c r="G286" s="59">
        <v>1512909</v>
      </c>
      <c r="H286" s="58">
        <v>0.32545289087602897</v>
      </c>
      <c r="I286" s="58">
        <v>0.52809058575234857</v>
      </c>
      <c r="J286" s="60">
        <v>4.8913792786780865</v>
      </c>
      <c r="K286" s="59"/>
      <c r="L286" s="50"/>
    </row>
    <row r="287" spans="1:12" ht="15" customHeight="1" x14ac:dyDescent="0.35">
      <c r="A287">
        <v>900835285</v>
      </c>
      <c r="B287" t="s">
        <v>291</v>
      </c>
      <c r="C287" t="s">
        <v>101</v>
      </c>
      <c r="D287" s="56">
        <v>3.7169290414423419</v>
      </c>
      <c r="E287" s="57">
        <v>3588058</v>
      </c>
      <c r="F287" s="58">
        <v>0.2630819854489444</v>
      </c>
      <c r="G287" s="59">
        <v>3699212</v>
      </c>
      <c r="H287" s="58">
        <v>0.15024895205865046</v>
      </c>
      <c r="I287" s="58">
        <v>0.2038882875596208</v>
      </c>
      <c r="J287" s="60">
        <v>10.777428481609556</v>
      </c>
      <c r="K287" s="59"/>
      <c r="L287" s="50"/>
    </row>
    <row r="288" spans="1:12" ht="15" customHeight="1" x14ac:dyDescent="0.35">
      <c r="A288">
        <v>900842609</v>
      </c>
      <c r="B288" t="s">
        <v>292</v>
      </c>
      <c r="C288" t="s">
        <v>97</v>
      </c>
      <c r="D288" s="56">
        <v>2.2635340671475825</v>
      </c>
      <c r="E288" s="57">
        <v>1482876</v>
      </c>
      <c r="F288" s="58">
        <v>0.84435919820866046</v>
      </c>
      <c r="G288" s="59">
        <v>594920</v>
      </c>
      <c r="H288" s="58">
        <v>0.16201246811223655</v>
      </c>
      <c r="I288" s="58">
        <v>1.0409382774154508</v>
      </c>
      <c r="J288" s="60">
        <v>3.1781813889516144</v>
      </c>
      <c r="K288" s="59"/>
      <c r="L288" s="50"/>
    </row>
    <row r="289" spans="1:12" ht="15" customHeight="1" x14ac:dyDescent="0.35">
      <c r="A289">
        <v>900864885</v>
      </c>
      <c r="B289" t="s">
        <v>293</v>
      </c>
      <c r="C289" t="s">
        <v>97</v>
      </c>
      <c r="D289" s="56">
        <v>2.2848684721695349</v>
      </c>
      <c r="E289" s="57">
        <v>5903625</v>
      </c>
      <c r="F289" s="58">
        <v>0.70958213218994071</v>
      </c>
      <c r="G289" s="59">
        <v>4632289</v>
      </c>
      <c r="H289" s="58">
        <v>8.3626225178799293E-2</v>
      </c>
      <c r="I289" s="58">
        <v>0.28795137781774843</v>
      </c>
      <c r="J289" s="60">
        <v>1.1780997593234561</v>
      </c>
      <c r="K289" s="59"/>
      <c r="L289" s="50"/>
    </row>
    <row r="290" spans="1:12" ht="15" customHeight="1" x14ac:dyDescent="0.35">
      <c r="A290">
        <v>900866505</v>
      </c>
      <c r="B290" t="s">
        <v>398</v>
      </c>
      <c r="C290" t="s">
        <v>324</v>
      </c>
      <c r="D290" s="56">
        <v>1.4441799113677836</v>
      </c>
      <c r="E290" s="57">
        <v>2768851</v>
      </c>
      <c r="F290" s="58">
        <v>0.67212151974415579</v>
      </c>
      <c r="G290" s="59">
        <v>3158778</v>
      </c>
      <c r="H290" s="58">
        <v>0.18026072271198124</v>
      </c>
      <c r="I290" s="58">
        <v>0.54977906013021494</v>
      </c>
      <c r="J290" s="60">
        <v>1.3961338869750821</v>
      </c>
      <c r="K290" s="59"/>
      <c r="L290" s="50"/>
    </row>
    <row r="291" spans="1:12" ht="15" customHeight="1" x14ac:dyDescent="0.35">
      <c r="A291">
        <v>900880281</v>
      </c>
      <c r="B291" t="s">
        <v>294</v>
      </c>
      <c r="C291" t="s">
        <v>97</v>
      </c>
      <c r="D291" s="56">
        <v>12.936137824817779</v>
      </c>
      <c r="E291" s="57">
        <v>666502</v>
      </c>
      <c r="F291" s="58">
        <v>2.3199089397774415</v>
      </c>
      <c r="G291" s="59">
        <v>-969419</v>
      </c>
      <c r="H291" s="58">
        <v>-0.99518693351160514</v>
      </c>
      <c r="I291" s="58">
        <v>0.75398150851179935</v>
      </c>
      <c r="J291" s="60">
        <v>1000</v>
      </c>
      <c r="K291" s="59"/>
      <c r="L291" s="50"/>
    </row>
    <row r="292" spans="1:12" ht="15" customHeight="1" x14ac:dyDescent="0.35">
      <c r="A292">
        <v>900924527</v>
      </c>
      <c r="B292" t="s">
        <v>295</v>
      </c>
      <c r="C292" t="s">
        <v>101</v>
      </c>
      <c r="D292" s="56">
        <v>3.1112036400292946</v>
      </c>
      <c r="E292" s="57">
        <v>340932052</v>
      </c>
      <c r="F292" s="58">
        <v>0.43368090294854161</v>
      </c>
      <c r="G292" s="59">
        <v>384706744</v>
      </c>
      <c r="H292" s="58">
        <v>0.11733819410218074</v>
      </c>
      <c r="I292" s="58">
        <v>0.20719448578213642</v>
      </c>
      <c r="J292" s="60">
        <v>2.2992836920622977</v>
      </c>
      <c r="K292" s="59"/>
      <c r="L292" s="50"/>
    </row>
    <row r="293" spans="1:12" ht="15" customHeight="1" x14ac:dyDescent="0.35">
      <c r="A293">
        <v>900929311</v>
      </c>
      <c r="B293" t="s">
        <v>399</v>
      </c>
      <c r="C293" t="s">
        <v>324</v>
      </c>
      <c r="D293" s="56">
        <v>1.3967844304785062</v>
      </c>
      <c r="E293" s="57">
        <v>1243449</v>
      </c>
      <c r="F293" s="58">
        <v>0.52343337781276444</v>
      </c>
      <c r="G293" s="59">
        <v>2853222</v>
      </c>
      <c r="H293" s="58">
        <v>0.10264142346205644</v>
      </c>
      <c r="I293" s="58">
        <v>0.215376861667266</v>
      </c>
      <c r="J293" s="60">
        <v>124.87665108717741</v>
      </c>
      <c r="K293" s="59"/>
      <c r="L293" s="50"/>
    </row>
    <row r="294" spans="1:12" ht="15" customHeight="1" x14ac:dyDescent="0.35">
      <c r="A294">
        <v>900931305</v>
      </c>
      <c r="B294" t="s">
        <v>400</v>
      </c>
      <c r="C294" t="s">
        <v>324</v>
      </c>
      <c r="D294" s="56">
        <v>1.6774887866771033</v>
      </c>
      <c r="E294" s="57">
        <v>89176055</v>
      </c>
      <c r="F294" s="58">
        <v>0.71734880331709927</v>
      </c>
      <c r="G294" s="59">
        <v>85231076</v>
      </c>
      <c r="H294" s="58">
        <v>0.18460993711990642</v>
      </c>
      <c r="I294" s="58">
        <v>0.65313693798726657</v>
      </c>
      <c r="J294" s="60">
        <v>2.1703902229837269</v>
      </c>
      <c r="K294" s="59"/>
      <c r="L294" s="50"/>
    </row>
    <row r="295" spans="1:12" ht="15" customHeight="1" x14ac:dyDescent="0.35">
      <c r="A295">
        <v>900934960</v>
      </c>
      <c r="B295" t="s">
        <v>296</v>
      </c>
      <c r="C295" t="s">
        <v>97</v>
      </c>
      <c r="D295" s="56">
        <v>1.5106802775234673</v>
      </c>
      <c r="E295" s="57">
        <v>13107861</v>
      </c>
      <c r="F295" s="58">
        <v>0.66702115914133298</v>
      </c>
      <c r="G295" s="59">
        <v>13846077</v>
      </c>
      <c r="H295" s="58">
        <v>7.445137976828832E-2</v>
      </c>
      <c r="I295" s="58">
        <v>0.22359192426851301</v>
      </c>
      <c r="J295" s="60">
        <v>1000</v>
      </c>
      <c r="K295" s="59"/>
      <c r="L295" s="50"/>
    </row>
    <row r="296" spans="1:12" ht="15" customHeight="1" x14ac:dyDescent="0.35">
      <c r="A296">
        <v>900937674</v>
      </c>
      <c r="B296" t="s">
        <v>297</v>
      </c>
      <c r="C296" t="s">
        <v>97</v>
      </c>
      <c r="D296" s="56">
        <v>1.3570397237135088</v>
      </c>
      <c r="E296" s="57">
        <v>21430771</v>
      </c>
      <c r="F296" s="58">
        <v>0.67260416890551489</v>
      </c>
      <c r="G296" s="59">
        <v>30236935</v>
      </c>
      <c r="H296" s="58">
        <v>7.346040011847646E-2</v>
      </c>
      <c r="I296" s="58">
        <v>0.2243779338084366</v>
      </c>
      <c r="J296" s="60">
        <v>4.931080447572981</v>
      </c>
      <c r="K296" s="59"/>
      <c r="L296" s="50"/>
    </row>
    <row r="297" spans="1:12" ht="15" customHeight="1" x14ac:dyDescent="0.35">
      <c r="A297">
        <v>900940300</v>
      </c>
      <c r="B297" t="s">
        <v>298</v>
      </c>
      <c r="C297" t="s">
        <v>97</v>
      </c>
      <c r="D297" s="56">
        <v>1.32884340320454</v>
      </c>
      <c r="E297" s="57">
        <v>3529299</v>
      </c>
      <c r="F297" s="58">
        <v>0.71870007125753788</v>
      </c>
      <c r="G297" s="59">
        <v>4200696</v>
      </c>
      <c r="H297" s="58">
        <v>0.17920899110616731</v>
      </c>
      <c r="I297" s="58">
        <v>0.63707442766627242</v>
      </c>
      <c r="J297" s="60">
        <v>4.1454606289393912</v>
      </c>
      <c r="K297" s="59"/>
      <c r="L297" s="50"/>
    </row>
    <row r="298" spans="1:12" ht="15" customHeight="1" x14ac:dyDescent="0.35">
      <c r="A298">
        <v>900996604</v>
      </c>
      <c r="B298" t="s">
        <v>299</v>
      </c>
      <c r="C298" t="s">
        <v>97</v>
      </c>
      <c r="D298" s="56">
        <v>1.5770083229727594</v>
      </c>
      <c r="E298" s="57">
        <v>741177</v>
      </c>
      <c r="F298" s="58">
        <v>0.64965756601706537</v>
      </c>
      <c r="G298" s="59">
        <v>989435</v>
      </c>
      <c r="H298" s="58">
        <v>9.2406541476966531E-2</v>
      </c>
      <c r="I298" s="58">
        <v>0.26376063106722525</v>
      </c>
      <c r="J298" s="60">
        <v>1000</v>
      </c>
      <c r="K298" s="59"/>
      <c r="L298" s="50"/>
    </row>
    <row r="299" spans="1:12" ht="15" customHeight="1" x14ac:dyDescent="0.35">
      <c r="A299">
        <v>901013594</v>
      </c>
      <c r="B299" t="s">
        <v>300</v>
      </c>
      <c r="C299" t="s">
        <v>101</v>
      </c>
      <c r="D299" s="56">
        <v>1.7821546238123955</v>
      </c>
      <c r="E299" s="57">
        <v>1657528</v>
      </c>
      <c r="F299" s="58">
        <v>0.87308724207390354</v>
      </c>
      <c r="G299" s="59">
        <v>659791</v>
      </c>
      <c r="H299" s="58">
        <v>8.109562712453855E-2</v>
      </c>
      <c r="I299" s="58">
        <v>0.63898719442975127</v>
      </c>
      <c r="J299" s="60">
        <v>1.1645645844727668</v>
      </c>
      <c r="K299" s="59"/>
      <c r="L299" s="50"/>
    </row>
    <row r="300" spans="1:12" ht="15" customHeight="1" x14ac:dyDescent="0.35">
      <c r="A300">
        <v>901021497</v>
      </c>
      <c r="B300" t="s">
        <v>301</v>
      </c>
      <c r="C300" t="s">
        <v>97</v>
      </c>
      <c r="D300" s="56">
        <v>3.8923946372937794</v>
      </c>
      <c r="E300" s="57">
        <v>4940910</v>
      </c>
      <c r="F300" s="58">
        <v>0.4294154936916576</v>
      </c>
      <c r="G300" s="59">
        <v>4823520</v>
      </c>
      <c r="H300" s="58">
        <v>0.12629980882807149</v>
      </c>
      <c r="I300" s="58">
        <v>0.22135162702756495</v>
      </c>
      <c r="J300" s="60">
        <v>1000</v>
      </c>
      <c r="K300" s="59"/>
      <c r="L300" s="50"/>
    </row>
    <row r="301" spans="1:12" ht="15" customHeight="1" x14ac:dyDescent="0.35">
      <c r="A301">
        <v>901021852</v>
      </c>
      <c r="B301" t="s">
        <v>302</v>
      </c>
      <c r="C301" t="s">
        <v>101</v>
      </c>
      <c r="D301" s="56">
        <v>1.4541133273805122</v>
      </c>
      <c r="E301" s="57">
        <v>10150535</v>
      </c>
      <c r="F301" s="58">
        <v>0.70584341836809583</v>
      </c>
      <c r="G301" s="59">
        <v>10260784</v>
      </c>
      <c r="H301" s="58">
        <v>0.11218552878546581</v>
      </c>
      <c r="I301" s="58">
        <v>0.38138031167988723</v>
      </c>
      <c r="J301" s="60">
        <v>12.6390379081252</v>
      </c>
      <c r="K301" s="59"/>
      <c r="L301" s="50"/>
    </row>
    <row r="302" spans="1:12" ht="15" customHeight="1" x14ac:dyDescent="0.35">
      <c r="A302">
        <v>901043903</v>
      </c>
      <c r="B302" t="s">
        <v>401</v>
      </c>
      <c r="C302" t="s">
        <v>324</v>
      </c>
      <c r="D302" s="56">
        <v>2.9702067314123712</v>
      </c>
      <c r="E302" s="57">
        <v>29117175</v>
      </c>
      <c r="F302" s="58">
        <v>0.72518517059387821</v>
      </c>
      <c r="G302" s="59">
        <v>13923318</v>
      </c>
      <c r="H302" s="58">
        <v>0.28249377738142639</v>
      </c>
      <c r="I302" s="58">
        <v>1.027942262038402</v>
      </c>
      <c r="J302" s="60">
        <v>9.6247874961668618</v>
      </c>
      <c r="K302" s="59"/>
      <c r="L302" s="50"/>
    </row>
    <row r="303" spans="1:12" ht="15" customHeight="1" x14ac:dyDescent="0.35">
      <c r="A303">
        <v>901044257</v>
      </c>
      <c r="B303" t="s">
        <v>402</v>
      </c>
      <c r="C303" t="s">
        <v>324</v>
      </c>
      <c r="D303" s="56">
        <v>27.966676509047961</v>
      </c>
      <c r="E303" s="57">
        <v>26850558</v>
      </c>
      <c r="F303" s="58">
        <v>0.10606249030828221</v>
      </c>
      <c r="G303" s="59">
        <v>25094300</v>
      </c>
      <c r="H303" s="58">
        <v>0.19062364309271607</v>
      </c>
      <c r="I303" s="58">
        <v>0.2132404569962103</v>
      </c>
      <c r="J303" s="60">
        <v>13.42724583277921</v>
      </c>
      <c r="K303" s="59"/>
      <c r="L303" s="50"/>
    </row>
    <row r="304" spans="1:12" ht="15" customHeight="1" x14ac:dyDescent="0.35">
      <c r="A304">
        <v>901047292</v>
      </c>
      <c r="B304" t="s">
        <v>303</v>
      </c>
      <c r="C304" t="s">
        <v>97</v>
      </c>
      <c r="D304" s="56">
        <v>2.1790702335980265</v>
      </c>
      <c r="E304" s="57">
        <v>7646860</v>
      </c>
      <c r="F304" s="58">
        <v>0.45701950539607733</v>
      </c>
      <c r="G304" s="59">
        <v>7735248</v>
      </c>
      <c r="H304" s="58">
        <v>0.42196318324200416</v>
      </c>
      <c r="I304" s="58">
        <v>0.77712401722607993</v>
      </c>
      <c r="J304" s="60">
        <v>2.3420266444746258</v>
      </c>
      <c r="K304" s="59"/>
      <c r="L304" s="50"/>
    </row>
    <row r="305" spans="1:12" ht="15" customHeight="1" x14ac:dyDescent="0.35">
      <c r="A305">
        <v>901064632</v>
      </c>
      <c r="B305" t="s">
        <v>304</v>
      </c>
      <c r="C305" t="s">
        <v>101</v>
      </c>
      <c r="D305" s="56">
        <v>1.3991558713568646</v>
      </c>
      <c r="E305" s="57">
        <v>1373095</v>
      </c>
      <c r="F305" s="58">
        <v>0.61458347104898414</v>
      </c>
      <c r="G305" s="59">
        <v>2157285</v>
      </c>
      <c r="H305" s="58">
        <v>0.22350472961698195</v>
      </c>
      <c r="I305" s="58">
        <v>0.57990437053982202</v>
      </c>
      <c r="J305" s="60">
        <v>3.4353742057019208</v>
      </c>
      <c r="K305" s="59"/>
      <c r="L305" s="50"/>
    </row>
    <row r="306" spans="1:12" ht="15" customHeight="1" x14ac:dyDescent="0.35">
      <c r="A306">
        <v>901091496</v>
      </c>
      <c r="B306" t="s">
        <v>403</v>
      </c>
      <c r="C306" t="s">
        <v>324</v>
      </c>
      <c r="D306" s="56">
        <v>9.9017885364614973</v>
      </c>
      <c r="E306" s="57">
        <v>5012971</v>
      </c>
      <c r="F306" s="58">
        <v>0.66692691855870989</v>
      </c>
      <c r="G306" s="59">
        <v>1941899</v>
      </c>
      <c r="H306" s="58">
        <v>0.18046827845603164</v>
      </c>
      <c r="I306" s="58">
        <v>0.54182787055351489</v>
      </c>
      <c r="J306" s="60">
        <v>4.8095031311422956</v>
      </c>
      <c r="K306" s="59"/>
      <c r="L306" s="50"/>
    </row>
    <row r="307" spans="1:12" ht="15" customHeight="1" x14ac:dyDescent="0.35">
      <c r="A307">
        <v>901112849</v>
      </c>
      <c r="B307" t="s">
        <v>305</v>
      </c>
      <c r="C307" t="s">
        <v>97</v>
      </c>
      <c r="D307" s="56">
        <v>2.6072855613805817</v>
      </c>
      <c r="E307" s="57">
        <v>5300876</v>
      </c>
      <c r="F307" s="58">
        <v>0.5033533842413247</v>
      </c>
      <c r="G307" s="59">
        <v>5209971</v>
      </c>
      <c r="H307" s="58">
        <v>0.18140123378763884</v>
      </c>
      <c r="I307" s="58">
        <v>0.36525212904256088</v>
      </c>
      <c r="J307" s="60">
        <v>4.9463066837872542</v>
      </c>
      <c r="K307" s="59"/>
      <c r="L307" s="50"/>
    </row>
    <row r="308" spans="1:12" ht="15" customHeight="1" x14ac:dyDescent="0.35">
      <c r="A308">
        <v>901152036</v>
      </c>
      <c r="B308" t="s">
        <v>404</v>
      </c>
      <c r="C308" t="s">
        <v>324</v>
      </c>
      <c r="D308" s="56">
        <v>3.4374754908417136</v>
      </c>
      <c r="E308" s="57">
        <v>9808416</v>
      </c>
      <c r="F308" s="58">
        <v>0.55526684962116091</v>
      </c>
      <c r="G308" s="59">
        <v>7330766</v>
      </c>
      <c r="H308" s="58">
        <v>0.23432185220677434</v>
      </c>
      <c r="I308" s="58">
        <v>0.52688191111269955</v>
      </c>
      <c r="J308" s="60">
        <v>1000</v>
      </c>
      <c r="K308" s="59"/>
      <c r="L308" s="50"/>
    </row>
    <row r="309" spans="1:12" ht="15" customHeight="1" x14ac:dyDescent="0.35">
      <c r="A309">
        <v>901157108</v>
      </c>
      <c r="B309" t="s">
        <v>306</v>
      </c>
      <c r="C309" t="s">
        <v>97</v>
      </c>
      <c r="D309" s="56">
        <v>1.5956695897989928</v>
      </c>
      <c r="E309" s="57">
        <v>2203246</v>
      </c>
      <c r="F309" s="58">
        <v>0.8203441549999676</v>
      </c>
      <c r="G309" s="59">
        <v>1690082</v>
      </c>
      <c r="H309" s="58">
        <v>0.17084920260592509</v>
      </c>
      <c r="I309" s="58">
        <v>0.95098048497055176</v>
      </c>
      <c r="J309" s="60">
        <v>1.172845767426655</v>
      </c>
      <c r="K309" s="59"/>
      <c r="L309" s="50"/>
    </row>
    <row r="310" spans="1:12" ht="15" customHeight="1" x14ac:dyDescent="0.35">
      <c r="A310">
        <v>901178067</v>
      </c>
      <c r="B310" t="s">
        <v>307</v>
      </c>
      <c r="C310" t="s">
        <v>97</v>
      </c>
      <c r="D310" s="56">
        <v>3417.8229426433913</v>
      </c>
      <c r="E310" s="57">
        <v>1370146</v>
      </c>
      <c r="F310" s="58">
        <v>2.925839099279339E-4</v>
      </c>
      <c r="G310" s="59">
        <v>1370146</v>
      </c>
      <c r="H310" s="58">
        <v>0.63345583916494652</v>
      </c>
      <c r="I310" s="58">
        <v>0.633641232394212</v>
      </c>
      <c r="J310" s="60">
        <v>1.6557469905253039</v>
      </c>
      <c r="K310" s="59"/>
      <c r="L310" s="50"/>
    </row>
    <row r="311" spans="1:12" ht="15" customHeight="1" x14ac:dyDescent="0.35">
      <c r="A311">
        <v>901209552</v>
      </c>
      <c r="B311" t="s">
        <v>308</v>
      </c>
      <c r="C311" t="s">
        <v>97</v>
      </c>
      <c r="D311" s="56">
        <v>2.0158714746653921</v>
      </c>
      <c r="E311" s="57">
        <v>2176208</v>
      </c>
      <c r="F311" s="58">
        <v>0.53960373479532042</v>
      </c>
      <c r="G311" s="59">
        <v>4839221</v>
      </c>
      <c r="H311" s="58">
        <v>0.11952802547352576</v>
      </c>
      <c r="I311" s="58">
        <v>0.25961988510134171</v>
      </c>
      <c r="J311" s="60">
        <v>5.5932099260090284</v>
      </c>
      <c r="K311" s="59"/>
      <c r="L311" s="50"/>
    </row>
    <row r="312" spans="1:12" ht="15" customHeight="1" x14ac:dyDescent="0.35">
      <c r="A312">
        <v>901217960</v>
      </c>
      <c r="B312" t="s">
        <v>309</v>
      </c>
      <c r="C312" t="s">
        <v>101</v>
      </c>
      <c r="D312" s="56">
        <v>2.354117164276206</v>
      </c>
      <c r="E312" s="57">
        <v>2029368</v>
      </c>
      <c r="F312" s="58">
        <v>0.47445351797169333</v>
      </c>
      <c r="G312" s="59">
        <v>1935522</v>
      </c>
      <c r="H312" s="58">
        <v>0.19370899093778637</v>
      </c>
      <c r="I312" s="58">
        <v>0.3685858388589745</v>
      </c>
      <c r="J312" s="60">
        <v>6.6657883672039242</v>
      </c>
      <c r="K312" s="59"/>
      <c r="L312" s="50"/>
    </row>
    <row r="313" spans="1:12" ht="15" customHeight="1" x14ac:dyDescent="0.35">
      <c r="A313">
        <v>901220193</v>
      </c>
      <c r="B313" t="s">
        <v>310</v>
      </c>
      <c r="C313" t="s">
        <v>97</v>
      </c>
      <c r="D313" s="56">
        <v>2.2575876816369349</v>
      </c>
      <c r="E313" s="57">
        <v>3929422</v>
      </c>
      <c r="F313" s="58">
        <v>0.7268881699634967</v>
      </c>
      <c r="G313" s="59">
        <v>1970864</v>
      </c>
      <c r="H313" s="58">
        <v>0.13810545698739221</v>
      </c>
      <c r="I313" s="58">
        <v>0.50567365378838924</v>
      </c>
      <c r="J313" s="60">
        <v>4.8942395521288615</v>
      </c>
      <c r="K313" s="59"/>
      <c r="L313" s="50"/>
    </row>
    <row r="314" spans="1:12" ht="15" customHeight="1" x14ac:dyDescent="0.35">
      <c r="A314">
        <v>901239802</v>
      </c>
      <c r="B314" t="s">
        <v>311</v>
      </c>
      <c r="C314" t="s">
        <v>101</v>
      </c>
      <c r="D314" s="56">
        <v>2.8380044039011003</v>
      </c>
      <c r="E314" s="57">
        <v>9200245</v>
      </c>
      <c r="F314" s="58">
        <v>0.57338390753245727</v>
      </c>
      <c r="G314" s="59">
        <v>6283285</v>
      </c>
      <c r="H314" s="58">
        <v>0.11500852616359303</v>
      </c>
      <c r="I314" s="58">
        <v>0.26958318777518447</v>
      </c>
      <c r="J314" s="60">
        <v>6.5091938960984068</v>
      </c>
      <c r="K314" s="59"/>
      <c r="L314" s="50"/>
    </row>
    <row r="315" spans="1:12" ht="15" customHeight="1" x14ac:dyDescent="0.35">
      <c r="A315">
        <v>901241281</v>
      </c>
      <c r="B315" t="s">
        <v>312</v>
      </c>
      <c r="C315" t="s">
        <v>97</v>
      </c>
      <c r="D315" s="56">
        <v>1.8532594352071787</v>
      </c>
      <c r="E315" s="57">
        <v>284504</v>
      </c>
      <c r="F315" s="58">
        <v>0.39374880434192161</v>
      </c>
      <c r="G315" s="59">
        <v>513382</v>
      </c>
      <c r="H315" s="58">
        <v>0.17433816635057994</v>
      </c>
      <c r="I315" s="58">
        <v>0.28756754229793796</v>
      </c>
      <c r="J315" s="60"/>
      <c r="K315" s="59"/>
      <c r="L315" s="50"/>
    </row>
    <row r="316" spans="1:12" ht="15" customHeight="1" x14ac:dyDescent="0.35">
      <c r="A316">
        <v>901242525</v>
      </c>
      <c r="B316" t="s">
        <v>313</v>
      </c>
      <c r="C316" t="s">
        <v>101</v>
      </c>
      <c r="D316" s="56">
        <v>4.3943949908561324</v>
      </c>
      <c r="E316" s="57">
        <v>1401359</v>
      </c>
      <c r="F316" s="58">
        <v>0.53005067081504931</v>
      </c>
      <c r="G316" s="59">
        <v>1254291</v>
      </c>
      <c r="H316" s="58">
        <v>0.31993689003189218</v>
      </c>
      <c r="I316" s="58">
        <v>0.68079018345822462</v>
      </c>
      <c r="J316" s="60">
        <v>9.1938779904821377</v>
      </c>
      <c r="K316" s="59"/>
      <c r="L316" s="50"/>
    </row>
    <row r="317" spans="1:12" ht="15" customHeight="1" x14ac:dyDescent="0.35">
      <c r="A317">
        <v>901244523</v>
      </c>
      <c r="B317" t="s">
        <v>314</v>
      </c>
      <c r="C317" t="s">
        <v>97</v>
      </c>
      <c r="D317" s="56">
        <v>1.7501897877677657</v>
      </c>
      <c r="E317" s="57">
        <v>909140</v>
      </c>
      <c r="F317" s="58">
        <v>0.43413436427766428</v>
      </c>
      <c r="G317" s="59">
        <v>1579606</v>
      </c>
      <c r="H317" s="58">
        <v>0.18781896094051698</v>
      </c>
      <c r="I317" s="58">
        <v>0.33191441410073147</v>
      </c>
      <c r="J317" s="60">
        <v>2.9598721871577451</v>
      </c>
      <c r="K317" s="59"/>
      <c r="L317" s="50"/>
    </row>
    <row r="318" spans="1:12" ht="15" customHeight="1" x14ac:dyDescent="0.35">
      <c r="A318">
        <v>901248580</v>
      </c>
      <c r="B318" t="s">
        <v>315</v>
      </c>
      <c r="C318" t="s">
        <v>97</v>
      </c>
      <c r="D318" s="56">
        <v>2.2659273755164167</v>
      </c>
      <c r="E318" s="57">
        <v>2410308</v>
      </c>
      <c r="F318" s="58">
        <v>0.49476345458942567</v>
      </c>
      <c r="G318" s="59">
        <v>2720043</v>
      </c>
      <c r="H318" s="58">
        <v>0.14139341293407398</v>
      </c>
      <c r="I318" s="58">
        <v>0.27985586992558575</v>
      </c>
      <c r="J318" s="60">
        <v>4.4442238867838606</v>
      </c>
      <c r="K318" s="59"/>
      <c r="L318" s="50"/>
    </row>
    <row r="319" spans="1:12" ht="15" customHeight="1" x14ac:dyDescent="0.35">
      <c r="A319">
        <v>901250585</v>
      </c>
      <c r="B319" t="s">
        <v>316</v>
      </c>
      <c r="C319" t="s">
        <v>101</v>
      </c>
      <c r="D319" s="56">
        <v>1.8593969353034954</v>
      </c>
      <c r="E319" s="57">
        <v>4045202</v>
      </c>
      <c r="F319" s="58">
        <v>0.87483281405615332</v>
      </c>
      <c r="G319" s="59">
        <v>1347139</v>
      </c>
      <c r="H319" s="58">
        <v>5.9143430046520784E-2</v>
      </c>
      <c r="I319" s="58">
        <v>0.47251545683110652</v>
      </c>
      <c r="J319" s="60">
        <v>1.146564596748773</v>
      </c>
      <c r="K319" s="59"/>
      <c r="L319" s="50"/>
    </row>
    <row r="320" spans="1:12" ht="15" customHeight="1" x14ac:dyDescent="0.35">
      <c r="A320">
        <v>901254982</v>
      </c>
      <c r="B320" t="s">
        <v>317</v>
      </c>
      <c r="C320" t="s">
        <v>97</v>
      </c>
      <c r="D320" s="56">
        <v>1.5759099568066619</v>
      </c>
      <c r="E320" s="57">
        <v>23346884</v>
      </c>
      <c r="F320" s="58">
        <v>0.6625139122739907</v>
      </c>
      <c r="G320" s="59">
        <v>23794217</v>
      </c>
      <c r="H320" s="58">
        <v>7.4964105021127089E-2</v>
      </c>
      <c r="I320" s="58">
        <v>0.22212502306757984</v>
      </c>
      <c r="J320" s="60">
        <v>1000</v>
      </c>
      <c r="K320" s="59"/>
      <c r="L320" s="50"/>
    </row>
    <row r="321" spans="1:12" ht="15" customHeight="1" x14ac:dyDescent="0.35">
      <c r="A321">
        <v>901262085</v>
      </c>
      <c r="B321" t="s">
        <v>318</v>
      </c>
      <c r="C321" t="s">
        <v>97</v>
      </c>
      <c r="D321" s="56">
        <v>1.74913725567468</v>
      </c>
      <c r="E321" s="57">
        <v>1102548</v>
      </c>
      <c r="F321" s="58">
        <v>0.67225013039446913</v>
      </c>
      <c r="G321" s="59">
        <v>935660</v>
      </c>
      <c r="H321" s="58">
        <v>0.14760443730013917</v>
      </c>
      <c r="I321" s="58">
        <v>0.4503569672744373</v>
      </c>
      <c r="J321" s="60">
        <v>3.8589770593891664</v>
      </c>
      <c r="K321" s="59"/>
      <c r="L321" s="50"/>
    </row>
    <row r="322" spans="1:12" ht="15" customHeight="1" x14ac:dyDescent="0.35">
      <c r="A322">
        <v>901264185</v>
      </c>
      <c r="B322" t="s">
        <v>319</v>
      </c>
      <c r="C322" t="s">
        <v>97</v>
      </c>
      <c r="D322" s="56">
        <v>1.7412041929289965</v>
      </c>
      <c r="E322" s="57">
        <v>9354074</v>
      </c>
      <c r="F322" s="58">
        <v>0.66489981794604069</v>
      </c>
      <c r="G322" s="59">
        <v>10876484</v>
      </c>
      <c r="H322" s="58">
        <v>0.14273202945028576</v>
      </c>
      <c r="I322" s="58">
        <v>0.42593838229339553</v>
      </c>
      <c r="J322" s="60">
        <v>3.5502538133307175</v>
      </c>
      <c r="K322" s="59"/>
      <c r="L322" s="50"/>
    </row>
    <row r="323" spans="1:12" ht="15" customHeight="1" x14ac:dyDescent="0.35">
      <c r="A323">
        <v>901311030</v>
      </c>
      <c r="B323" t="s">
        <v>320</v>
      </c>
      <c r="C323" t="s">
        <v>97</v>
      </c>
      <c r="D323" s="56">
        <v>5.9042558890578887</v>
      </c>
      <c r="E323" s="57">
        <v>13548821</v>
      </c>
      <c r="F323" s="58">
        <v>0.16515907165912691</v>
      </c>
      <c r="G323" s="59">
        <v>13964638</v>
      </c>
      <c r="H323" s="58">
        <v>0.21058994324488872</v>
      </c>
      <c r="I323" s="58">
        <v>0.25225158002663584</v>
      </c>
      <c r="J323" s="60">
        <v>1000</v>
      </c>
      <c r="K323" s="59"/>
      <c r="L323" s="50"/>
    </row>
    <row r="324" spans="1:12" ht="15" customHeight="1" x14ac:dyDescent="0.35">
      <c r="A324">
        <v>901327447</v>
      </c>
      <c r="B324" t="s">
        <v>405</v>
      </c>
      <c r="C324" t="s">
        <v>324</v>
      </c>
      <c r="D324" s="56">
        <v>1.7163377958731267</v>
      </c>
      <c r="E324" s="57">
        <v>6250851</v>
      </c>
      <c r="F324" s="58">
        <v>0.55407803241267561</v>
      </c>
      <c r="G324" s="59">
        <v>7590531</v>
      </c>
      <c r="H324" s="58">
        <v>0.15969293106270163</v>
      </c>
      <c r="I324" s="58">
        <v>0.35811855586914804</v>
      </c>
      <c r="J324" s="60">
        <v>3.2072145839650479</v>
      </c>
      <c r="K324" s="59"/>
      <c r="L324" s="50"/>
    </row>
    <row r="325" spans="1:12" ht="15" customHeight="1" x14ac:dyDescent="0.35">
      <c r="A325">
        <v>901342490</v>
      </c>
      <c r="B325" t="s">
        <v>321</v>
      </c>
      <c r="C325" t="s">
        <v>101</v>
      </c>
      <c r="D325" s="56">
        <v>2.2032131231633545</v>
      </c>
      <c r="E325" s="57">
        <v>15875064</v>
      </c>
      <c r="F325" s="58">
        <v>0.42902935543525872</v>
      </c>
      <c r="G325" s="59">
        <v>20759683</v>
      </c>
      <c r="H325" s="58">
        <v>0.17607603618865003</v>
      </c>
      <c r="I325" s="58">
        <v>0.30838019058383503</v>
      </c>
      <c r="J325" s="60">
        <v>1000</v>
      </c>
      <c r="K325" s="59"/>
      <c r="L325" s="50"/>
    </row>
    <row r="326" spans="1:12" ht="15" customHeight="1" x14ac:dyDescent="0.35">
      <c r="A326">
        <v>901360444</v>
      </c>
      <c r="B326" t="s">
        <v>406</v>
      </c>
      <c r="C326" t="s">
        <v>324</v>
      </c>
      <c r="D326" s="56">
        <v>3.6638171195423896</v>
      </c>
      <c r="E326" s="57">
        <v>12493574</v>
      </c>
      <c r="F326" s="58">
        <v>0.56547084947571746</v>
      </c>
      <c r="G326" s="59">
        <v>9734299</v>
      </c>
      <c r="H326" s="58">
        <v>0.15338363223518028</v>
      </c>
      <c r="I326" s="58">
        <v>0.35298812991053591</v>
      </c>
      <c r="J326" s="60">
        <v>2.3249811726225236</v>
      </c>
      <c r="K326" s="59"/>
      <c r="L326" s="50"/>
    </row>
    <row r="327" spans="1:12" ht="15" customHeight="1" x14ac:dyDescent="0.35">
      <c r="A327">
        <v>901506007</v>
      </c>
      <c r="B327" t="s">
        <v>407</v>
      </c>
      <c r="C327" t="s">
        <v>324</v>
      </c>
      <c r="D327" s="56">
        <v>3.682333799773128</v>
      </c>
      <c r="E327" s="57">
        <v>2591628</v>
      </c>
      <c r="F327" s="58">
        <v>0.27156690685173923</v>
      </c>
      <c r="G327" s="59">
        <v>2591628</v>
      </c>
      <c r="H327" s="58">
        <v>0.27629003443689548</v>
      </c>
      <c r="I327" s="58">
        <v>0.37929363319118331</v>
      </c>
      <c r="J327" s="60">
        <v>35.609056330374933</v>
      </c>
      <c r="K327" s="59"/>
      <c r="L327" s="50"/>
    </row>
    <row r="328" spans="1:12" ht="15" customHeight="1" x14ac:dyDescent="0.35">
      <c r="A328">
        <v>901529743</v>
      </c>
      <c r="B328" t="s">
        <v>322</v>
      </c>
      <c r="C328" t="s">
        <v>97</v>
      </c>
      <c r="D328" s="56">
        <v>1.5460194110596781</v>
      </c>
      <c r="E328" s="57">
        <v>363543</v>
      </c>
      <c r="F328" s="58">
        <v>0.4133363220532506</v>
      </c>
      <c r="G328" s="59">
        <v>2093788</v>
      </c>
      <c r="H328" s="58">
        <v>0.29285102865668716</v>
      </c>
      <c r="I328" s="58">
        <v>0.49918043278498109</v>
      </c>
      <c r="J328" s="60">
        <v>1000</v>
      </c>
      <c r="K328" s="59"/>
      <c r="L328" s="50"/>
    </row>
    <row r="329" spans="1:12" ht="12" thickBot="1" x14ac:dyDescent="0.3"/>
    <row r="330" spans="1:12" ht="40.5" customHeight="1" thickTop="1" thickBot="1" x14ac:dyDescent="0.3">
      <c r="A330" s="26" t="s">
        <v>44</v>
      </c>
      <c r="B330" s="24">
        <f>COUNTA(B20:B328)</f>
        <v>309</v>
      </c>
      <c r="D330" s="53"/>
    </row>
    <row r="331" spans="1:12" ht="12" thickTop="1" x14ac:dyDescent="0.25"/>
    <row r="332" spans="1:12" ht="15.75" customHeight="1" x14ac:dyDescent="0.25">
      <c r="A332" s="76" t="s">
        <v>63</v>
      </c>
      <c r="B332" s="13" t="s">
        <v>55</v>
      </c>
      <c r="D332" s="12">
        <f t="shared" ref="D332:J332" si="0">SUBTOTAL(1,D20:D328)</f>
        <v>13.955529692319562</v>
      </c>
      <c r="E332" s="42">
        <f t="shared" si="0"/>
        <v>10718698.582524272</v>
      </c>
      <c r="F332" s="44">
        <f t="shared" si="0"/>
        <v>0.55572861985512001</v>
      </c>
      <c r="G332" s="12">
        <f t="shared" si="0"/>
        <v>11450241.618122978</v>
      </c>
      <c r="H332" s="44">
        <f t="shared" si="0"/>
        <v>0.15472852127142805</v>
      </c>
      <c r="I332" s="44">
        <f t="shared" si="0"/>
        <v>0.46752978862212674</v>
      </c>
      <c r="J332" s="12">
        <f t="shared" si="0"/>
        <v>248.32660375361456</v>
      </c>
    </row>
    <row r="333" spans="1:12" x14ac:dyDescent="0.25">
      <c r="A333" s="76"/>
      <c r="B333" s="13" t="s">
        <v>10</v>
      </c>
      <c r="D333" s="12">
        <f t="shared" ref="D333:J333" si="1">SUBTOTAL(7,D20:D328)</f>
        <v>194.29309423540326</v>
      </c>
      <c r="E333" s="42">
        <f t="shared" si="1"/>
        <v>24389106.717623606</v>
      </c>
      <c r="F333" s="44">
        <f t="shared" si="1"/>
        <v>0.24097988223235745</v>
      </c>
      <c r="G333" s="12">
        <f t="shared" si="1"/>
        <v>27124051.667166851</v>
      </c>
      <c r="H333" s="44">
        <f t="shared" si="1"/>
        <v>0.13408291488721438</v>
      </c>
      <c r="I333" s="44">
        <f t="shared" si="1"/>
        <v>0.61533305133074268</v>
      </c>
      <c r="J333" s="12">
        <f t="shared" si="1"/>
        <v>525.03139780015817</v>
      </c>
    </row>
    <row r="334" spans="1:12" x14ac:dyDescent="0.25">
      <c r="A334" s="76"/>
      <c r="B334" s="13" t="s">
        <v>11</v>
      </c>
      <c r="D334" s="12">
        <f t="shared" ref="D334:J334" si="2">SUBTOTAL(5,D20:D328)</f>
        <v>1.2058849918326309</v>
      </c>
      <c r="E334" s="42">
        <f t="shared" si="2"/>
        <v>65723</v>
      </c>
      <c r="F334" s="44">
        <f t="shared" si="2"/>
        <v>2.925839099279339E-4</v>
      </c>
      <c r="G334" s="12">
        <f t="shared" si="2"/>
        <v>-1658958</v>
      </c>
      <c r="H334" s="44">
        <f t="shared" si="2"/>
        <v>-0.99518693351160514</v>
      </c>
      <c r="I334" s="44">
        <f t="shared" si="2"/>
        <v>0.20035160950943084</v>
      </c>
      <c r="J334" s="12">
        <f t="shared" si="2"/>
        <v>-16.381234646408444</v>
      </c>
    </row>
    <row r="335" spans="1:12" x14ac:dyDescent="0.25">
      <c r="A335" s="76"/>
      <c r="B335" s="13" t="s">
        <v>12</v>
      </c>
      <c r="D335" s="12">
        <f t="shared" ref="D335:J335" si="3">SUBTOTAL(4,D20:D328)</f>
        <v>3417.8229426433913</v>
      </c>
      <c r="E335" s="42">
        <f t="shared" si="3"/>
        <v>340932052</v>
      </c>
      <c r="F335" s="44">
        <f t="shared" si="3"/>
        <v>2.3199089397774415</v>
      </c>
      <c r="G335" s="12">
        <f t="shared" si="3"/>
        <v>384706744</v>
      </c>
      <c r="H335" s="44">
        <f t="shared" si="3"/>
        <v>0.80539392713433799</v>
      </c>
      <c r="I335" s="44">
        <f t="shared" si="3"/>
        <v>7.1251452937980542</v>
      </c>
      <c r="J335" s="12">
        <f t="shared" si="3"/>
        <v>4608.9545078577339</v>
      </c>
    </row>
    <row r="338" spans="1:10" ht="36" customHeight="1" x14ac:dyDescent="0.25">
      <c r="A338" s="27" t="s">
        <v>81</v>
      </c>
      <c r="B338" s="77" t="s">
        <v>69</v>
      </c>
      <c r="C338" s="77"/>
      <c r="D338" s="77"/>
      <c r="E338" s="77"/>
      <c r="F338" s="77"/>
      <c r="G338" s="77"/>
      <c r="H338" s="77"/>
      <c r="I338" s="77"/>
      <c r="J338" s="77"/>
    </row>
    <row r="340" spans="1:10" ht="12" customHeight="1" x14ac:dyDescent="0.25">
      <c r="B340" s="43" t="s">
        <v>18</v>
      </c>
      <c r="C340" s="72" t="s">
        <v>15</v>
      </c>
      <c r="D340" s="72"/>
      <c r="E340" s="32"/>
    </row>
    <row r="341" spans="1:10" ht="14.5" x14ac:dyDescent="0.25">
      <c r="B341" s="1" t="s">
        <v>71</v>
      </c>
      <c r="C341" s="2">
        <f>COUNTIF(D20:D328,"&gt;=0")-COUNTIF(D20:D328,"&gt;1")</f>
        <v>0</v>
      </c>
      <c r="D341" s="3">
        <f>+C341/$B$330</f>
        <v>0</v>
      </c>
      <c r="E341" s="30"/>
      <c r="G341" s="17"/>
    </row>
    <row r="342" spans="1:10" ht="14.5" x14ac:dyDescent="0.25">
      <c r="B342" s="1" t="s">
        <v>72</v>
      </c>
      <c r="C342" s="2">
        <f>COUNTIF(D20:D328,"&gt;=1")-COUNTIF(D20:D328,"&gt;2")</f>
        <v>145</v>
      </c>
      <c r="D342" s="3">
        <f t="shared" ref="D342:D348" si="4">+C342/$B$330</f>
        <v>0.46925566343042069</v>
      </c>
      <c r="E342" s="30"/>
    </row>
    <row r="343" spans="1:10" ht="14.5" x14ac:dyDescent="0.25">
      <c r="B343" s="1" t="s">
        <v>25</v>
      </c>
      <c r="C343" s="2">
        <f>COUNTIF(D20:D328,"&gt;=2")-COUNTIF(D20:D328,"&gt;5")</f>
        <v>136</v>
      </c>
      <c r="D343" s="3">
        <f t="shared" si="4"/>
        <v>0.44012944983818769</v>
      </c>
      <c r="E343" s="30"/>
    </row>
    <row r="344" spans="1:10" ht="14.5" x14ac:dyDescent="0.25">
      <c r="B344" s="4" t="s">
        <v>19</v>
      </c>
      <c r="C344" s="2">
        <f>COUNTIF(D20:D328,"&gt;=5")-COUNTIF(D20:D328,"&gt;10")</f>
        <v>20</v>
      </c>
      <c r="D344" s="3">
        <f t="shared" si="4"/>
        <v>6.4724919093851127E-2</v>
      </c>
      <c r="E344" s="30"/>
    </row>
    <row r="345" spans="1:10" ht="14.5" x14ac:dyDescent="0.25">
      <c r="B345" s="1" t="s">
        <v>26</v>
      </c>
      <c r="C345" s="2">
        <f>COUNTIF(D20:D328,"&gt;=10")-COUNTIF(D20:D328,"&gt;20")</f>
        <v>5</v>
      </c>
      <c r="D345" s="3">
        <f t="shared" si="4"/>
        <v>1.6181229773462782E-2</v>
      </c>
      <c r="E345" s="30"/>
    </row>
    <row r="346" spans="1:10" ht="14.5" x14ac:dyDescent="0.25">
      <c r="B346" s="1" t="s">
        <v>20</v>
      </c>
      <c r="C346" s="2">
        <f>COUNTIF(D21:D329,"&gt;=20")-COUNTIF(D21:D329,"&gt;30")</f>
        <v>1</v>
      </c>
      <c r="D346" s="3">
        <f t="shared" si="4"/>
        <v>3.2362459546925568E-3</v>
      </c>
      <c r="E346" s="30"/>
      <c r="F346" s="53"/>
    </row>
    <row r="347" spans="1:10" ht="14.5" x14ac:dyDescent="0.25">
      <c r="B347" s="1" t="s">
        <v>21</v>
      </c>
      <c r="C347" s="2">
        <f>COUNTIF(D20:D328,"&gt;=30")-COUNTIF(D20:D328,"&gt;50")</f>
        <v>1</v>
      </c>
      <c r="D347" s="3">
        <f t="shared" si="4"/>
        <v>3.2362459546925568E-3</v>
      </c>
      <c r="E347" s="30"/>
    </row>
    <row r="348" spans="1:10" ht="14.5" x14ac:dyDescent="0.25">
      <c r="B348" s="1" t="s">
        <v>22</v>
      </c>
      <c r="C348" s="2">
        <f>COUNTIF(D20:D328,"&gt;50")</f>
        <v>1</v>
      </c>
      <c r="D348" s="3">
        <f t="shared" si="4"/>
        <v>3.2362459546925568E-3</v>
      </c>
      <c r="E348" s="30"/>
    </row>
    <row r="349" spans="1:10" ht="14.5" x14ac:dyDescent="0.25">
      <c r="B349" s="28" t="s">
        <v>14</v>
      </c>
      <c r="C349" s="5">
        <f>SUM(C341:C348)</f>
        <v>309</v>
      </c>
      <c r="D349" s="6">
        <f>SUM(D341:D348)</f>
        <v>0.99999999999999989</v>
      </c>
      <c r="E349" s="31"/>
    </row>
    <row r="353" spans="2:10" ht="36" customHeight="1" x14ac:dyDescent="0.25">
      <c r="B353" s="77" t="s">
        <v>68</v>
      </c>
      <c r="C353" s="77"/>
      <c r="D353" s="77"/>
      <c r="E353" s="77"/>
      <c r="F353" s="77"/>
      <c r="G353" s="77"/>
      <c r="H353" s="77"/>
      <c r="I353" s="77"/>
      <c r="J353" s="77"/>
    </row>
    <row r="355" spans="2:10" ht="12" customHeight="1" x14ac:dyDescent="0.25">
      <c r="B355" s="29" t="s">
        <v>18</v>
      </c>
      <c r="C355" s="78" t="s">
        <v>15</v>
      </c>
      <c r="D355" s="79"/>
      <c r="E355" s="32"/>
    </row>
    <row r="356" spans="2:10" ht="14.5" x14ac:dyDescent="0.25">
      <c r="B356" s="1" t="s">
        <v>27</v>
      </c>
      <c r="C356" s="2">
        <f>COUNTIF(E20:E328,"&lt;0")</f>
        <v>0</v>
      </c>
      <c r="D356" s="3">
        <f>+C356/$B$330</f>
        <v>0</v>
      </c>
      <c r="E356" s="30"/>
    </row>
    <row r="357" spans="2:10" ht="14.5" x14ac:dyDescent="0.25">
      <c r="B357" s="1" t="s">
        <v>28</v>
      </c>
      <c r="C357" s="2">
        <f>COUNTIF(E20:E328,"=0")</f>
        <v>0</v>
      </c>
      <c r="D357" s="3">
        <f>+C357/$B$330</f>
        <v>0</v>
      </c>
      <c r="E357" s="30"/>
    </row>
    <row r="358" spans="2:10" ht="14.5" x14ac:dyDescent="0.25">
      <c r="B358" s="1" t="s">
        <v>29</v>
      </c>
      <c r="C358" s="2">
        <f>COUNTIF(E20:E328,"&gt;0")</f>
        <v>309</v>
      </c>
      <c r="D358" s="3">
        <f>+C358/$B$330</f>
        <v>1</v>
      </c>
      <c r="E358" s="30"/>
    </row>
    <row r="359" spans="2:10" ht="14.5" x14ac:dyDescent="0.25">
      <c r="B359" s="28" t="s">
        <v>14</v>
      </c>
      <c r="C359" s="5">
        <f>SUM(C356:C358)</f>
        <v>309</v>
      </c>
      <c r="D359" s="6">
        <f>SUM(D356:D358)</f>
        <v>1</v>
      </c>
      <c r="E359" s="31"/>
    </row>
    <row r="364" spans="2:10" ht="36" customHeight="1" x14ac:dyDescent="0.25">
      <c r="B364" s="77" t="s">
        <v>67</v>
      </c>
      <c r="C364" s="77"/>
      <c r="D364" s="77"/>
      <c r="E364" s="77"/>
      <c r="F364" s="77"/>
      <c r="G364" s="77"/>
      <c r="H364" s="77"/>
      <c r="I364" s="77"/>
      <c r="J364" s="77"/>
    </row>
    <row r="366" spans="2:10" ht="12" customHeight="1" x14ac:dyDescent="0.25">
      <c r="B366" s="29" t="s">
        <v>18</v>
      </c>
      <c r="C366" s="78" t="s">
        <v>15</v>
      </c>
      <c r="D366" s="79"/>
      <c r="E366" s="35"/>
    </row>
    <row r="367" spans="2:10" ht="14.5" x14ac:dyDescent="0.25">
      <c r="B367" s="1" t="s">
        <v>30</v>
      </c>
      <c r="C367" s="2">
        <f>COUNTIF(F20:F328,"&gt;=0")-COUNTIF(F20:F328,"&gt;15%")</f>
        <v>9</v>
      </c>
      <c r="D367" s="33">
        <f t="shared" ref="D367:D373" si="5">+C367/$B$330</f>
        <v>2.9126213592233011E-2</v>
      </c>
      <c r="E367" s="30"/>
      <c r="F367" s="8"/>
    </row>
    <row r="368" spans="2:10" ht="14.5" x14ac:dyDescent="0.25">
      <c r="B368" s="1" t="s">
        <v>31</v>
      </c>
      <c r="C368" s="2">
        <f>COUNTIF(F20:F328,"&gt;15%")-COUNTIF(F20:F328,"&gt;30%")</f>
        <v>30</v>
      </c>
      <c r="D368" s="33">
        <f t="shared" si="5"/>
        <v>9.7087378640776698E-2</v>
      </c>
      <c r="E368" s="30"/>
      <c r="F368" s="8"/>
    </row>
    <row r="369" spans="2:10" ht="14.5" x14ac:dyDescent="0.25">
      <c r="B369" s="1" t="s">
        <v>32</v>
      </c>
      <c r="C369" s="2">
        <f>COUNTIF(F20:F328,"&gt;30%")-COUNTIF(F20:F328,"&gt;45%")</f>
        <v>58</v>
      </c>
      <c r="D369" s="33">
        <f t="shared" si="5"/>
        <v>0.18770226537216828</v>
      </c>
      <c r="E369" s="30"/>
      <c r="F369" s="8"/>
    </row>
    <row r="370" spans="2:10" ht="14.5" x14ac:dyDescent="0.25">
      <c r="B370" s="1" t="s">
        <v>33</v>
      </c>
      <c r="C370" s="2">
        <f>COUNTIF(F20:F328,"&gt;45%")-COUNTIF(F20:F328,"&gt;60%")</f>
        <v>81</v>
      </c>
      <c r="D370" s="33">
        <f t="shared" si="5"/>
        <v>0.26213592233009708</v>
      </c>
      <c r="E370" s="30"/>
      <c r="F370" s="8"/>
    </row>
    <row r="371" spans="2:10" ht="14.5" x14ac:dyDescent="0.25">
      <c r="B371" s="1" t="s">
        <v>34</v>
      </c>
      <c r="C371" s="2">
        <f>COUNTIF(F20:F328,"&gt;60%")-COUNTIF(F20:F328,"&gt;75%")</f>
        <v>84</v>
      </c>
      <c r="D371" s="33">
        <f t="shared" si="5"/>
        <v>0.27184466019417475</v>
      </c>
      <c r="E371" s="30"/>
      <c r="F371" s="8"/>
    </row>
    <row r="372" spans="2:10" ht="14.5" x14ac:dyDescent="0.25">
      <c r="B372" s="1" t="s">
        <v>35</v>
      </c>
      <c r="C372" s="2">
        <f>COUNTIF(F20:F328,"&gt;75%")-COUNTIF(F20:F328,"&gt;90%")</f>
        <v>35</v>
      </c>
      <c r="D372" s="33">
        <f t="shared" si="5"/>
        <v>0.11326860841423948</v>
      </c>
      <c r="E372" s="30"/>
      <c r="F372" s="8"/>
    </row>
    <row r="373" spans="2:10" ht="14.5" x14ac:dyDescent="0.25">
      <c r="B373" s="1" t="s">
        <v>36</v>
      </c>
      <c r="C373" s="2">
        <f>COUNTIF(F20:F328,"&gt;90%")</f>
        <v>12</v>
      </c>
      <c r="D373" s="33">
        <f t="shared" si="5"/>
        <v>3.8834951456310676E-2</v>
      </c>
      <c r="E373" s="30"/>
      <c r="F373" s="8"/>
    </row>
    <row r="374" spans="2:10" ht="14.5" x14ac:dyDescent="0.25">
      <c r="B374" s="28" t="s">
        <v>14</v>
      </c>
      <c r="C374" s="5">
        <f>SUM(C367:C373)</f>
        <v>309</v>
      </c>
      <c r="D374" s="34">
        <f>SUM(D367:D373)</f>
        <v>1</v>
      </c>
      <c r="E374" s="31"/>
    </row>
    <row r="379" spans="2:10" ht="36" customHeight="1" x14ac:dyDescent="0.25">
      <c r="B379" s="77" t="s">
        <v>64</v>
      </c>
      <c r="C379" s="77"/>
      <c r="D379" s="77"/>
      <c r="E379" s="77"/>
      <c r="F379" s="77"/>
      <c r="G379" s="77"/>
      <c r="H379" s="77"/>
      <c r="I379" s="77"/>
      <c r="J379" s="77"/>
    </row>
    <row r="381" spans="2:10" ht="12" customHeight="1" x14ac:dyDescent="0.25">
      <c r="B381" s="29" t="s">
        <v>18</v>
      </c>
      <c r="C381" s="80" t="s">
        <v>15</v>
      </c>
      <c r="D381" s="80"/>
      <c r="E381" s="36"/>
    </row>
    <row r="382" spans="2:10" ht="14.5" x14ac:dyDescent="0.25">
      <c r="B382" s="1" t="s">
        <v>27</v>
      </c>
      <c r="C382" s="2">
        <f>COUNTIF(G20:G328,"&lt;0")</f>
        <v>9</v>
      </c>
      <c r="D382" s="3">
        <f>+C382/$B$330</f>
        <v>2.9126213592233011E-2</v>
      </c>
      <c r="E382" s="9"/>
    </row>
    <row r="383" spans="2:10" ht="14.5" x14ac:dyDescent="0.25">
      <c r="B383" s="1" t="s">
        <v>28</v>
      </c>
      <c r="C383" s="2">
        <f>COUNTIF(G20:G328,"=0")</f>
        <v>0</v>
      </c>
      <c r="D383" s="3">
        <f>+C383/$B$330</f>
        <v>0</v>
      </c>
      <c r="E383" s="9"/>
    </row>
    <row r="384" spans="2:10" ht="14.5" x14ac:dyDescent="0.25">
      <c r="B384" s="1" t="s">
        <v>37</v>
      </c>
      <c r="C384" s="2">
        <f>COUNTIF(G20:G328,"&gt;0")-COUNTIF(G20:G328,"&gt;10000000")</f>
        <v>215</v>
      </c>
      <c r="D384" s="3">
        <f>+C384/$B$330</f>
        <v>0.69579288025889963</v>
      </c>
      <c r="E384" s="9"/>
    </row>
    <row r="385" spans="2:10" ht="14.5" x14ac:dyDescent="0.25">
      <c r="B385" s="1" t="s">
        <v>38</v>
      </c>
      <c r="C385" s="2">
        <f>COUNTIF(G20:G328,"&gt;10000000")-COUNTIF(G20:G328,"&gt;100000000")</f>
        <v>82</v>
      </c>
      <c r="D385" s="3">
        <f>+C385/$B$330</f>
        <v>0.26537216828478966</v>
      </c>
      <c r="E385" s="9"/>
    </row>
    <row r="386" spans="2:10" ht="14.5" x14ac:dyDescent="0.25">
      <c r="B386" s="1" t="s">
        <v>39</v>
      </c>
      <c r="C386" s="2">
        <f>COUNTIF(G20:G328,"&gt;100000000")</f>
        <v>3</v>
      </c>
      <c r="D386" s="3">
        <f>+C386/$B$330</f>
        <v>9.7087378640776691E-3</v>
      </c>
      <c r="E386" s="9"/>
    </row>
    <row r="387" spans="2:10" ht="14.5" x14ac:dyDescent="0.25">
      <c r="B387" s="28" t="s">
        <v>14</v>
      </c>
      <c r="C387" s="5">
        <f>SUM(C382:C386)</f>
        <v>309</v>
      </c>
      <c r="D387" s="6">
        <f>SUM(D382:D386)</f>
        <v>1</v>
      </c>
      <c r="E387" s="7"/>
    </row>
    <row r="392" spans="2:10" ht="36" customHeight="1" x14ac:dyDescent="0.25">
      <c r="B392" s="77" t="s">
        <v>65</v>
      </c>
      <c r="C392" s="77"/>
      <c r="D392" s="77"/>
      <c r="E392" s="77"/>
      <c r="F392" s="77"/>
      <c r="G392" s="77"/>
      <c r="H392" s="77"/>
      <c r="I392" s="77"/>
      <c r="J392" s="77"/>
    </row>
    <row r="394" spans="2:10" ht="12" customHeight="1" x14ac:dyDescent="0.25">
      <c r="B394" s="29" t="s">
        <v>18</v>
      </c>
      <c r="C394" s="72" t="s">
        <v>15</v>
      </c>
      <c r="D394" s="72"/>
      <c r="E394" s="37"/>
    </row>
    <row r="395" spans="2:10" ht="14.5" x14ac:dyDescent="0.25">
      <c r="B395" s="1" t="s">
        <v>40</v>
      </c>
      <c r="C395" s="2">
        <f>COUNTIF(J20:J328,"=0")</f>
        <v>0</v>
      </c>
      <c r="D395" s="3">
        <f t="shared" ref="D395:D401" si="6">+C395/$B$330</f>
        <v>0</v>
      </c>
      <c r="E395" s="9"/>
    </row>
    <row r="396" spans="2:10" ht="14.5" x14ac:dyDescent="0.25">
      <c r="B396" s="1" t="s">
        <v>27</v>
      </c>
      <c r="C396" s="2">
        <f>COUNTIF(J20:J328,"&lt;0")</f>
        <v>3</v>
      </c>
      <c r="D396" s="3">
        <f t="shared" si="6"/>
        <v>9.7087378640776691E-3</v>
      </c>
      <c r="E396" s="9"/>
    </row>
    <row r="397" spans="2:10" ht="14.5" x14ac:dyDescent="0.25">
      <c r="B397" s="1" t="s">
        <v>23</v>
      </c>
      <c r="C397" s="2">
        <f>COUNTIF(J20:J328,"&gt;0")-COUNTIF(J20:J328,"&gt;1")</f>
        <v>13</v>
      </c>
      <c r="D397" s="3">
        <f t="shared" si="6"/>
        <v>4.2071197411003236E-2</v>
      </c>
      <c r="E397" s="9"/>
    </row>
    <row r="398" spans="2:10" ht="14.5" x14ac:dyDescent="0.25">
      <c r="B398" s="1" t="s">
        <v>24</v>
      </c>
      <c r="C398" s="2">
        <f>COUNTIF(J20:J328,"&gt;1")-COUNTIF(J20:J328,"&gt;2")</f>
        <v>56</v>
      </c>
      <c r="D398" s="3">
        <f t="shared" si="6"/>
        <v>0.18122977346278318</v>
      </c>
      <c r="E398" s="9"/>
    </row>
    <row r="399" spans="2:10" ht="14.5" x14ac:dyDescent="0.25">
      <c r="B399" s="1" t="s">
        <v>41</v>
      </c>
      <c r="C399" s="2">
        <f>COUNTIF(J20:J328,"&gt;2")-COUNTIF(J20:J328,"&gt;4")</f>
        <v>62</v>
      </c>
      <c r="D399" s="3">
        <f t="shared" si="6"/>
        <v>0.20064724919093851</v>
      </c>
      <c r="E399" s="9"/>
    </row>
    <row r="400" spans="2:10" ht="14.5" x14ac:dyDescent="0.25">
      <c r="B400" s="1" t="s">
        <v>42</v>
      </c>
      <c r="C400" s="2">
        <f>COUNTIF(J20:J328,"&gt;4")-COUNTIF(J20:J328,"&gt;6")</f>
        <v>34</v>
      </c>
      <c r="D400" s="3">
        <f t="shared" si="6"/>
        <v>0.11003236245954692</v>
      </c>
      <c r="E400" s="9"/>
    </row>
    <row r="401" spans="2:10" ht="14.5" x14ac:dyDescent="0.25">
      <c r="B401" s="1" t="s">
        <v>43</v>
      </c>
      <c r="C401" s="2">
        <f>COUNTIF(J20:J328,"&gt;6")+COUNTBLANK(J20:J328)</f>
        <v>141</v>
      </c>
      <c r="D401" s="3">
        <f t="shared" si="6"/>
        <v>0.4563106796116505</v>
      </c>
      <c r="E401" s="9"/>
    </row>
    <row r="402" spans="2:10" ht="14.5" x14ac:dyDescent="0.25">
      <c r="B402" s="28" t="s">
        <v>14</v>
      </c>
      <c r="C402" s="5">
        <f>SUM(C395:C401)</f>
        <v>309</v>
      </c>
      <c r="D402" s="6">
        <f>SUM(D395:D401)</f>
        <v>1</v>
      </c>
      <c r="E402" s="7"/>
    </row>
    <row r="406" spans="2:10" ht="36" customHeight="1" x14ac:dyDescent="0.25">
      <c r="B406" s="77" t="s">
        <v>66</v>
      </c>
      <c r="C406" s="77"/>
      <c r="D406" s="77"/>
      <c r="E406" s="77"/>
      <c r="F406" s="77"/>
      <c r="G406" s="77"/>
      <c r="H406" s="77"/>
      <c r="I406" s="77"/>
      <c r="J406" s="77"/>
    </row>
    <row r="408" spans="2:10" ht="14.5" x14ac:dyDescent="0.25">
      <c r="B408" s="29" t="s">
        <v>18</v>
      </c>
      <c r="C408" s="83" t="s">
        <v>15</v>
      </c>
      <c r="D408" s="83"/>
      <c r="E408" s="32"/>
    </row>
    <row r="409" spans="2:10" ht="14.5" x14ac:dyDescent="0.25">
      <c r="B409" s="1" t="s">
        <v>27</v>
      </c>
      <c r="C409" s="2">
        <f>COUNTIF(H20:H328,"&lt;0%")</f>
        <v>9</v>
      </c>
      <c r="D409" s="3">
        <f t="shared" ref="D409:D415" si="7">+C409/$B$330</f>
        <v>2.9126213592233011E-2</v>
      </c>
      <c r="E409" s="30"/>
    </row>
    <row r="410" spans="2:10" ht="14.5" x14ac:dyDescent="0.25">
      <c r="B410" s="1" t="s">
        <v>28</v>
      </c>
      <c r="C410" s="2">
        <f>COUNTIF(H20:H328,"=0%")</f>
        <v>0</v>
      </c>
      <c r="D410" s="3">
        <f t="shared" si="7"/>
        <v>0</v>
      </c>
      <c r="E410" s="30"/>
    </row>
    <row r="411" spans="2:10" ht="14.5" x14ac:dyDescent="0.25">
      <c r="B411" s="1" t="s">
        <v>23</v>
      </c>
      <c r="C411" s="2">
        <f>COUNTIF(H20:H328,"&gt;0%")-COUNTIF(H20:H328,"&gt;1%")</f>
        <v>0</v>
      </c>
      <c r="D411" s="3">
        <f t="shared" si="7"/>
        <v>0</v>
      </c>
      <c r="E411" s="30"/>
    </row>
    <row r="412" spans="2:10" ht="14.5" x14ac:dyDescent="0.25">
      <c r="B412" s="1" t="s">
        <v>24</v>
      </c>
      <c r="C412" s="2">
        <f>COUNTIF(H20:H328,"&gt;1%")-COUNTIF(H20:H328,"&gt;2%")</f>
        <v>1</v>
      </c>
      <c r="D412" s="3">
        <f t="shared" si="7"/>
        <v>3.2362459546925568E-3</v>
      </c>
      <c r="E412" s="30"/>
    </row>
    <row r="413" spans="2:10" ht="14.5" x14ac:dyDescent="0.25">
      <c r="B413" s="1" t="s">
        <v>45</v>
      </c>
      <c r="C413" s="2">
        <f>COUNTIF(H20:H328,"&gt;2%")-COUNTIF(H20:H328,"&gt;3%")</f>
        <v>1</v>
      </c>
      <c r="D413" s="3">
        <f t="shared" si="7"/>
        <v>3.2362459546925568E-3</v>
      </c>
      <c r="E413" s="30"/>
    </row>
    <row r="414" spans="2:10" ht="14.5" x14ac:dyDescent="0.25">
      <c r="B414" s="1" t="s">
        <v>46</v>
      </c>
      <c r="C414" s="2">
        <f>COUNTIF(H20:H328,"&gt;3%")-COUNTIF(H20:H328,"&gt;4%")</f>
        <v>2</v>
      </c>
      <c r="D414" s="3">
        <f t="shared" si="7"/>
        <v>6.4724919093851136E-3</v>
      </c>
      <c r="E414" s="30"/>
    </row>
    <row r="415" spans="2:10" ht="14.5" x14ac:dyDescent="0.25">
      <c r="B415" s="1" t="s">
        <v>47</v>
      </c>
      <c r="C415" s="2">
        <f>COUNTIF(H20:H328,"&gt;4%")</f>
        <v>296</v>
      </c>
      <c r="D415" s="3">
        <f t="shared" si="7"/>
        <v>0.95792880258899671</v>
      </c>
      <c r="E415" s="30"/>
    </row>
    <row r="416" spans="2:10" ht="14.5" x14ac:dyDescent="0.25">
      <c r="B416" s="28" t="s">
        <v>14</v>
      </c>
      <c r="C416" s="5">
        <f>SUM(C409:C415)</f>
        <v>309</v>
      </c>
      <c r="D416" s="6">
        <f>SUM(D409:D415)</f>
        <v>1</v>
      </c>
      <c r="E416" s="31"/>
    </row>
    <row r="420" spans="2:10" ht="36" customHeight="1" x14ac:dyDescent="0.25">
      <c r="B420" s="84" t="s">
        <v>70</v>
      </c>
      <c r="C420" s="84"/>
      <c r="D420" s="84"/>
      <c r="E420" s="84"/>
      <c r="F420" s="84"/>
      <c r="G420" s="84"/>
      <c r="H420" s="84"/>
      <c r="I420" s="84"/>
      <c r="J420" s="84"/>
    </row>
    <row r="422" spans="2:10" ht="12" customHeight="1" x14ac:dyDescent="0.25">
      <c r="B422" s="29" t="s">
        <v>18</v>
      </c>
      <c r="C422" s="80" t="s">
        <v>15</v>
      </c>
      <c r="D422" s="80"/>
      <c r="E422" s="37"/>
    </row>
    <row r="423" spans="2:10" ht="14.5" x14ac:dyDescent="0.25">
      <c r="B423" s="1" t="s">
        <v>27</v>
      </c>
      <c r="C423" s="2">
        <f>COUNTIF(I20:I328,"&lt;0")</f>
        <v>0</v>
      </c>
      <c r="D423" s="3">
        <f t="shared" ref="D423:D429" si="8">+C423/$B$330</f>
        <v>0</v>
      </c>
      <c r="E423" s="9"/>
    </row>
    <row r="424" spans="2:10" ht="14.5" x14ac:dyDescent="0.25">
      <c r="B424" s="1" t="s">
        <v>28</v>
      </c>
      <c r="C424" s="2">
        <f>COUNTIF(I20:I328,"=0")</f>
        <v>0</v>
      </c>
      <c r="D424" s="3">
        <f t="shared" si="8"/>
        <v>0</v>
      </c>
      <c r="E424" s="9"/>
    </row>
    <row r="425" spans="2:10" ht="14.5" x14ac:dyDescent="0.25">
      <c r="B425" s="1" t="s">
        <v>48</v>
      </c>
      <c r="C425" s="2">
        <f>COUNTIF(I20:I328,"&gt;0%")-COUNTIF(I20:I328,"&gt;2%")</f>
        <v>0</v>
      </c>
      <c r="D425" s="3">
        <f t="shared" si="8"/>
        <v>0</v>
      </c>
      <c r="E425" s="9"/>
    </row>
    <row r="426" spans="2:10" ht="14.5" x14ac:dyDescent="0.25">
      <c r="B426" s="1" t="s">
        <v>41</v>
      </c>
      <c r="C426" s="2">
        <f>COUNTIF(I20:I328,"&gt;2%")-COUNTIF(I20:I328,"&gt;4%")</f>
        <v>0</v>
      </c>
      <c r="D426" s="3">
        <f t="shared" si="8"/>
        <v>0</v>
      </c>
      <c r="E426" s="9"/>
    </row>
    <row r="427" spans="2:10" ht="14.5" x14ac:dyDescent="0.25">
      <c r="B427" s="1" t="s">
        <v>42</v>
      </c>
      <c r="C427" s="2">
        <f>COUNTIF(I20:I328,"&gt;4%")-COUNTIF(I20:I328,"&gt;6%")</f>
        <v>0</v>
      </c>
      <c r="D427" s="3">
        <f t="shared" si="8"/>
        <v>0</v>
      </c>
      <c r="E427" s="9"/>
    </row>
    <row r="428" spans="2:10" ht="14.5" x14ac:dyDescent="0.25">
      <c r="B428" s="1" t="s">
        <v>49</v>
      </c>
      <c r="C428" s="2">
        <f>COUNTIF(I20:I328,"&gt;6%")-COUNTIF(I20:I328,"&gt;8%")</f>
        <v>0</v>
      </c>
      <c r="D428" s="3">
        <f t="shared" si="8"/>
        <v>0</v>
      </c>
      <c r="E428" s="9"/>
    </row>
    <row r="429" spans="2:10" ht="14.5" x14ac:dyDescent="0.25">
      <c r="B429" s="1" t="s">
        <v>50</v>
      </c>
      <c r="C429" s="2">
        <f>COUNTIF(I20:I328,"&gt;8%")</f>
        <v>309</v>
      </c>
      <c r="D429" s="3">
        <f t="shared" si="8"/>
        <v>1</v>
      </c>
      <c r="E429" s="9"/>
    </row>
    <row r="430" spans="2:10" ht="14.5" x14ac:dyDescent="0.25">
      <c r="B430" s="28" t="s">
        <v>14</v>
      </c>
      <c r="C430" s="5">
        <f>SUM(C423:C429)</f>
        <v>309</v>
      </c>
      <c r="D430" s="6">
        <f>SUM(D423:D429)</f>
        <v>1</v>
      </c>
      <c r="E430" s="7"/>
    </row>
    <row r="435" spans="1:13" ht="97.5" customHeight="1" x14ac:dyDescent="0.25">
      <c r="A435" s="27" t="s">
        <v>85</v>
      </c>
      <c r="B435" s="51" t="s">
        <v>74</v>
      </c>
      <c r="C435" s="85" t="s">
        <v>51</v>
      </c>
      <c r="D435" s="85"/>
      <c r="E435" s="85"/>
      <c r="F435" s="51" t="s">
        <v>73</v>
      </c>
      <c r="G435" s="51" t="s">
        <v>80</v>
      </c>
      <c r="H435" s="51" t="s">
        <v>75</v>
      </c>
      <c r="I435" s="51" t="s">
        <v>76</v>
      </c>
      <c r="J435" s="51" t="s">
        <v>77</v>
      </c>
      <c r="K435" s="51" t="s">
        <v>78</v>
      </c>
      <c r="L435" s="51" t="s">
        <v>79</v>
      </c>
      <c r="M435" s="51" t="s">
        <v>52</v>
      </c>
    </row>
    <row r="436" spans="1:13" ht="53.25" customHeight="1" x14ac:dyDescent="0.25">
      <c r="B436" s="45"/>
      <c r="C436" s="86"/>
      <c r="D436" s="86"/>
      <c r="E436" s="86"/>
      <c r="F436" s="46"/>
      <c r="G436" s="47"/>
      <c r="H436" s="48"/>
      <c r="I436" s="47"/>
      <c r="J436" s="46"/>
      <c r="K436" s="49"/>
      <c r="L436" s="49"/>
      <c r="M436" s="47"/>
    </row>
    <row r="437" spans="1:13" ht="12" thickBot="1" x14ac:dyDescent="0.3"/>
    <row r="438" spans="1:13" ht="35.5" thickTop="1" thickBot="1" x14ac:dyDescent="0.3">
      <c r="B438" s="87" t="s">
        <v>92</v>
      </c>
      <c r="C438" s="88"/>
      <c r="D438" s="54" t="s">
        <v>3</v>
      </c>
      <c r="E438" s="54" t="s">
        <v>4</v>
      </c>
      <c r="F438" s="54" t="s">
        <v>5</v>
      </c>
      <c r="G438" s="54" t="s">
        <v>6</v>
      </c>
      <c r="H438" s="54" t="s">
        <v>7</v>
      </c>
      <c r="I438" s="54" t="s">
        <v>8</v>
      </c>
      <c r="J438" s="55" t="s">
        <v>9</v>
      </c>
    </row>
    <row r="439" spans="1:13" ht="48" customHeight="1" thickTop="1" thickBot="1" x14ac:dyDescent="0.3">
      <c r="A439" s="25" t="s">
        <v>82</v>
      </c>
      <c r="B439" s="81" t="s">
        <v>83</v>
      </c>
      <c r="C439" s="82"/>
      <c r="D439" s="16" t="s">
        <v>89</v>
      </c>
      <c r="E439" s="15" t="s">
        <v>94</v>
      </c>
      <c r="F439" s="15" t="s">
        <v>56</v>
      </c>
      <c r="G439" s="15" t="s">
        <v>95</v>
      </c>
      <c r="H439" s="15" t="s">
        <v>86</v>
      </c>
      <c r="I439" s="15" t="s">
        <v>86</v>
      </c>
      <c r="J439" s="15" t="s">
        <v>87</v>
      </c>
    </row>
    <row r="440" spans="1:13" ht="25.5" customHeight="1" thickTop="1" thickBot="1" x14ac:dyDescent="0.3">
      <c r="B440" s="81" t="s">
        <v>17</v>
      </c>
      <c r="C440" s="82"/>
      <c r="D440" s="40">
        <f>COUNTIF(D20:D328,"&gt;=1,2")/$B$330</f>
        <v>1</v>
      </c>
      <c r="E440" s="41">
        <f>COUNTIF(E20:E328,"&gt;=85300")/$B$330</f>
        <v>0.99676375404530748</v>
      </c>
      <c r="F440" s="41">
        <f>COUNTIF(F20:F328,"&lt;=70%")/$B$330</f>
        <v>0.77346278317152106</v>
      </c>
      <c r="G440" s="41">
        <f>COUNTIF(G20:G328,"&gt;=106600")/$B$330</f>
        <v>0.96763754045307449</v>
      </c>
      <c r="H440" s="41">
        <f>COUNTIF(H20:H328,"&gt;=2%")/$B$330</f>
        <v>0.96763754045307449</v>
      </c>
      <c r="I440" s="41">
        <f>COUNTIF(I20:I328,"&gt;=2%")/$B$330</f>
        <v>1</v>
      </c>
      <c r="J440" s="52">
        <f>(COUNTIF(J20:J328,"&gt;=2")+COUNTBLANK(J20:J328))/$B$330</f>
        <v>0.76699029126213591</v>
      </c>
    </row>
    <row r="441" spans="1:13" ht="12" thickTop="1" x14ac:dyDescent="0.25"/>
    <row r="442" spans="1:13" x14ac:dyDescent="0.25">
      <c r="G442" s="38"/>
    </row>
    <row r="443" spans="1:13" x14ac:dyDescent="0.25">
      <c r="G443" s="38"/>
    </row>
    <row r="444" spans="1:13" x14ac:dyDescent="0.25">
      <c r="G444" s="38"/>
    </row>
    <row r="446" spans="1:13" x14ac:dyDescent="0.25">
      <c r="G446" s="38"/>
    </row>
    <row r="447" spans="1:13" x14ac:dyDescent="0.25">
      <c r="E447" s="17">
        <f>+F11</f>
        <v>85300000</v>
      </c>
      <c r="G447" s="17">
        <f>+H11</f>
        <v>106600000</v>
      </c>
    </row>
    <row r="448" spans="1:13" x14ac:dyDescent="0.25">
      <c r="G448" s="38"/>
    </row>
    <row r="449" spans="7:11" x14ac:dyDescent="0.25">
      <c r="G449" s="38"/>
      <c r="J449" s="61"/>
    </row>
    <row r="450" spans="7:11" x14ac:dyDescent="0.25">
      <c r="G450" s="38"/>
    </row>
    <row r="451" spans="7:11" x14ac:dyDescent="0.25">
      <c r="G451" s="38"/>
      <c r="J451" s="61"/>
      <c r="K451" s="61"/>
    </row>
    <row r="452" spans="7:11" x14ac:dyDescent="0.25">
      <c r="K452" s="62"/>
    </row>
    <row r="453" spans="7:11" x14ac:dyDescent="0.25">
      <c r="K453" s="61"/>
    </row>
  </sheetData>
  <autoFilter ref="A19:J328" xr:uid="{00000000-0009-0000-0000-000000000000}"/>
  <sortState xmlns:xlrd2="http://schemas.microsoft.com/office/spreadsheetml/2017/richdata2" ref="L20:M424">
    <sortCondition ref="L20:L424"/>
  </sortState>
  <mergeCells count="27">
    <mergeCell ref="B439:C439"/>
    <mergeCell ref="B440:C440"/>
    <mergeCell ref="B406:J406"/>
    <mergeCell ref="C408:D408"/>
    <mergeCell ref="B420:J420"/>
    <mergeCell ref="C422:D422"/>
    <mergeCell ref="C435:E435"/>
    <mergeCell ref="C436:E436"/>
    <mergeCell ref="B438:C438"/>
    <mergeCell ref="C394:D394"/>
    <mergeCell ref="A13:J13"/>
    <mergeCell ref="A332:A335"/>
    <mergeCell ref="B338:J338"/>
    <mergeCell ref="C340:D340"/>
    <mergeCell ref="B353:J353"/>
    <mergeCell ref="C355:D355"/>
    <mergeCell ref="B364:J364"/>
    <mergeCell ref="C366:D366"/>
    <mergeCell ref="B379:J379"/>
    <mergeCell ref="C381:D381"/>
    <mergeCell ref="B392:J392"/>
    <mergeCell ref="A10:H10"/>
    <mergeCell ref="F3:J3"/>
    <mergeCell ref="F4:J4"/>
    <mergeCell ref="F5:J5"/>
    <mergeCell ref="B8:F8"/>
    <mergeCell ref="H8:J8"/>
  </mergeCells>
  <pageMargins left="0.70866141732283472" right="0.70866141732283472" top="0.74803149606299213" bottom="0.74803149606299213" header="0.31496062992125984" footer="0.31496062992125984"/>
  <pageSetup scale="41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0" ma:contentTypeDescription="Crear nuevo documento." ma:contentTypeScope="" ma:versionID="b3a5a1ac4652a4f06d996172d3cb9d97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674fd41e8a06fa69398794cb40ed5f06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F3BA22-51BE-4F0B-B3F6-332876215654}"/>
</file>

<file path=customXml/itemProps2.xml><?xml version="1.0" encoding="utf-8"?>
<ds:datastoreItem xmlns:ds="http://schemas.openxmlformats.org/officeDocument/2006/customXml" ds:itemID="{587E8593-1786-4F5E-9349-2CBE4FA2E242}"/>
</file>

<file path=customXml/itemProps3.xml><?xml version="1.0" encoding="utf-8"?>
<ds:datastoreItem xmlns:ds="http://schemas.openxmlformats.org/officeDocument/2006/customXml" ds:itemID="{E702E1BD-331B-4649-A197-6D6DCF00E6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</vt:lpstr>
      <vt:lpstr>'LOTE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Katherinne Rodriguez Lozano</dc:creator>
  <cp:lastModifiedBy>Lenovo T-470</cp:lastModifiedBy>
  <cp:lastPrinted>2020-06-26T00:06:40Z</cp:lastPrinted>
  <dcterms:created xsi:type="dcterms:W3CDTF">2018-11-28T12:47:08Z</dcterms:created>
  <dcterms:modified xsi:type="dcterms:W3CDTF">2026-04-27T15:48:14Z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</Properties>
</file>