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asus\Desktop\info0725\DANIELA\EDURHA DABEIBA\EDURHA 2026\ORDENES DE SERVICIOS, SUMINISTROS\SMC 027 DE 2026 INTERVENTORIA ACUEDUCTO Y PAVIMENTO\"/>
    </mc:Choice>
  </mc:AlternateContent>
  <xr:revisionPtr revIDLastSave="0" documentId="13_ncr:1_{DC9934F8-8075-470A-BB7B-3B629CF31042}" xr6:coauthVersionLast="47" xr6:coauthVersionMax="47" xr10:uidLastSave="{00000000-0000-0000-0000-000000000000}"/>
  <bookViews>
    <workbookView xWindow="-120" yWindow="-120" windowWidth="20730" windowHeight="11040" tabRatio="762" firstSheet="1" activeTab="1" xr2:uid="{00000000-000D-0000-FFFF-FFFF00000000}"/>
  </bookViews>
  <sheets>
    <sheet name="DATOS INICIALES" sheetId="1" r:id="rId1"/>
    <sheet name="FICHA TECNICA" sheetId="32" r:id="rId2"/>
    <sheet name="PRESUPUESTO" sheetId="2" r:id="rId3"/>
    <sheet name="INTERV" sheetId="28" r:id="rId4"/>
    <sheet name="FM" sheetId="29" r:id="rId5"/>
    <sheet name="POLIZAS INTER" sheetId="31" r:id="rId6"/>
    <sheet name="TASAS INTERV" sheetId="30" r:id="rId7"/>
    <sheet name="PMT " sheetId="27" r:id="rId8"/>
    <sheet name="AIU CALCULADO" sheetId="22" r:id="rId9"/>
    <sheet name="AIU" sheetId="11" state="hidden" r:id="rId10"/>
    <sheet name="PGIO" sheetId="13" r:id="rId11"/>
    <sheet name="INSUMOS SERVICIOS" sheetId="9" r:id="rId12"/>
    <sheet name="INSUMOS EQUIPOS" sheetId="4" r:id="rId13"/>
    <sheet name="POLIZAS OBRA" sheetId="12" r:id="rId14"/>
    <sheet name="INSUMOS MANO DE OBRA" sheetId="7" r:id="rId15"/>
    <sheet name="FACTOR PRESTACIONAL" sheetId="8" r:id="rId16"/>
  </sheets>
  <externalReferences>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s>
  <definedNames>
    <definedName name="_________key2" hidden="1">[1]INST!#REF!</definedName>
    <definedName name="________key2" hidden="1">[2]INST!#REF!</definedName>
    <definedName name="________key3" hidden="1">#REF!</definedName>
    <definedName name="____R" localSheetId="7" hidden="1">{#N/A,#N/A,FALSE,"GRAFICO";#N/A,#N/A,FALSE,"CAJA (2)";#N/A,#N/A,FALSE,"TERCEROS-PROMEDIO";#N/A,#N/A,FALSE,"CAJA";#N/A,#N/A,FALSE,"INGRESOS1995-2003";#N/A,#N/A,FALSE,"GASTOS1995-2003"}</definedName>
    <definedName name="____R" hidden="1">{#N/A,#N/A,FALSE,"GRAFICO";#N/A,#N/A,FALSE,"CAJA (2)";#N/A,#N/A,FALSE,"TERCEROS-PROMEDIO";#N/A,#N/A,FALSE,"CAJA";#N/A,#N/A,FALSE,"INGRESOS1995-2003";#N/A,#N/A,FALSE,"GASTOS1995-2003"}</definedName>
    <definedName name="___key2" hidden="1">[2]INST!#REF!</definedName>
    <definedName name="___key3" hidden="1">#REF!</definedName>
    <definedName name="___key31" hidden="1">#REF!</definedName>
    <definedName name="___R" localSheetId="7" hidden="1">{#N/A,#N/A,FALSE,"GRAFICO";#N/A,#N/A,FALSE,"CAJA (2)";#N/A,#N/A,FALSE,"TERCEROS-PROMEDIO";#N/A,#N/A,FALSE,"CAJA";#N/A,#N/A,FALSE,"INGRESOS1995-2003";#N/A,#N/A,FALSE,"GASTOS1995-2003"}</definedName>
    <definedName name="___R" hidden="1">{#N/A,#N/A,FALSE,"GRAFICO";#N/A,#N/A,FALSE,"CAJA (2)";#N/A,#N/A,FALSE,"TERCEROS-PROMEDIO";#N/A,#N/A,FALSE,"CAJA";#N/A,#N/A,FALSE,"INGRESOS1995-2003";#N/A,#N/A,FALSE,"GASTOS1995-2003"}</definedName>
    <definedName name="__123Graph_A" hidden="1">#REF!</definedName>
    <definedName name="__123Graph_B" hidden="1">#REF!</definedName>
    <definedName name="__key2" hidden="1">[3]INST!#REF!</definedName>
    <definedName name="__key21" hidden="1">[2]INST!#REF!</definedName>
    <definedName name="__key3" hidden="1">#REF!</definedName>
    <definedName name="__key31" hidden="1">#REF!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Dist_Bin" hidden="1">[4]MPC3I4!$A$2040:$DD$3161</definedName>
    <definedName name="_Dist_Values" localSheetId="7" hidden="1">[4]MPC3I4!$2552:$3906</definedName>
    <definedName name="_Dist_Values" hidden="1">[4]MPC3I4!$2552:$3906</definedName>
    <definedName name="_Fill" localSheetId="7" hidden="1">#REF!</definedName>
    <definedName name="_Fill" hidden="1">#REF!</definedName>
    <definedName name="_Fill1" localSheetId="7" hidden="1">#REF!</definedName>
    <definedName name="_Fill1" hidden="1">#REF!</definedName>
    <definedName name="_xlnm._FilterDatabase" localSheetId="12" hidden="1">'INSUMOS EQUIPOS'!$A$7:$D$7</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7" hidden="1">#REF!</definedName>
    <definedName name="_Key1" hidden="1">#REF!</definedName>
    <definedName name="_Key11" hidden="1">[5]INST!#REF!</definedName>
    <definedName name="_Key2" localSheetId="7" hidden="1">#REF!</definedName>
    <definedName name="_Key2" hidden="1">#REF!</definedName>
    <definedName name="_Key21" hidden="1">#REF!</definedName>
    <definedName name="_Key3" localSheetId="7" hidden="1">#REF!</definedName>
    <definedName name="_Key3" hidden="1">#REF!</definedName>
    <definedName name="_key31"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255</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'[6]7422CW00'!#REF!</definedName>
    <definedName name="_r" localSheetId="7" hidden="1">#REF!</definedName>
    <definedName name="_r" hidden="1">#REF!</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localSheetId="7" hidden="1">#REF!</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[2]INST!#REF!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a" hidden="1">{"TAB1",#N/A,TRUE,"GENERAL";"TAB2",#N/A,TRUE,"GENERAL";"TAB3",#N/A,TRUE,"GENERAL";"TAB4",#N/A,TRUE,"GENERAL";"TAB5",#N/A,TRUE,"GENERAL"}</definedName>
    <definedName name="aaa" localSheetId="7" hidden="1">{#N/A,#N/A,FALSE,"Aging Summary";#N/A,#N/A,FALSE,"Ratio Analysis";#N/A,#N/A,FALSE,"Test 120 Day Accts";#N/A,#N/A,FALSE,"Tickmarks"}</definedName>
    <definedName name="aaa" hidden="1">{#N/A,#N/A,FALSE,"Aging Summary";#N/A,#N/A,FALSE,"Ratio Analysis";#N/A,#N/A,FALSE,"Test 120 Day Accts";#N/A,#N/A,FALSE,"Tickmarks"}</definedName>
    <definedName name="aaaa" localSheetId="7" hidden="1">{#N/A,#N/A,FALSE,"GRAFICO";#N/A,#N/A,FALSE,"CAJA (2)";#N/A,#N/A,FALSE,"TERCEROS-PROMEDIO";#N/A,#N/A,FALSE,"CAJA";#N/A,#N/A,FALSE,"INGRESOS1995-2003";#N/A,#N/A,FALSE,"GASTOS1995-2003"}</definedName>
    <definedName name="aaaa" hidden="1">{#N/A,#N/A,FALSE,"GRAFICO";#N/A,#N/A,FALSE,"CAJA (2)";#N/A,#N/A,FALSE,"TERCEROS-PROMEDIO";#N/A,#N/A,FALSE,"CAJA";#N/A,#N/A,FALSE,"INGRESOS1995-2003";#N/A,#N/A,FALSE,"GASTOS1995-2003"}</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BCD" hidden="1">#REF!</definedName>
    <definedName name="ABCDE" hidden="1">#REF!</definedName>
    <definedName name="AccessDatabase" hidden="1">"C:\C-314\VOLUMENES\volfin4.mdb"</definedName>
    <definedName name="ADFGSDB" hidden="1">{"via1",#N/A,TRUE,"general";"via2",#N/A,TRUE,"general";"via3",#N/A,TRUE,"general"}</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PU" localSheetId="7">[7]APU!$A$1:$G$2750</definedName>
    <definedName name="APU">#REF!</definedName>
    <definedName name="APUAUXILIARES" localSheetId="7">'[7]APU AUXILIARES'!$A$1:$G$816</definedName>
    <definedName name="APUAUXILIARES">#REF!</definedName>
    <definedName name="aqaq" hidden="1">{"TAB1",#N/A,TRUE,"GENERAL";"TAB2",#N/A,TRUE,"GENERAL";"TAB3",#N/A,TRUE,"GENERAL";"TAB4",#N/A,TRUE,"GENERAL";"TAB5",#N/A,TRUE,"GENERAL"}</definedName>
    <definedName name="_xlnm.Print_Area" localSheetId="0">'DATOS INICIALES'!$A$1:$B$26</definedName>
    <definedName name="_xlnm.Print_Area" localSheetId="15">'FACTOR PRESTACIONAL'!$A$1:$BC$32</definedName>
    <definedName name="_xlnm.Print_Area" localSheetId="1">'FICHA TECNICA'!$A$1:$I$57</definedName>
    <definedName name="_xlnm.Print_Area" localSheetId="4">FM!$A$1:$G$41</definedName>
    <definedName name="_xlnm.Print_Area" localSheetId="11">'INSUMOS SERVICIOS'!$A$1:$D$22</definedName>
    <definedName name="_xlnm.Print_Area" localSheetId="3">INTERV!$A$1:$I$57</definedName>
    <definedName name="_xlnm.Print_Area" localSheetId="7">'PMT '!$A$1:$F$47</definedName>
    <definedName name="_xlnm.Print_Area" localSheetId="2">PRESUPUESTO!$A$1:$I$135</definedName>
    <definedName name="ARRENDAM1" localSheetId="7" hidden="1">{#N/A,#N/A,FALSE,"Aging Summary";#N/A,#N/A,FALSE,"Ratio Analysis";#N/A,#N/A,FALSE,"Test 120 Day Accts";#N/A,#N/A,FALSE,"Tickmarks"}</definedName>
    <definedName name="ARRENDAM1" hidden="1">{#N/A,#N/A,FALSE,"Aging Summary";#N/A,#N/A,FALSE,"Ratio Analysis";#N/A,#N/A,FALSE,"Test 120 Day Accts";#N/A,#N/A,FALSE,"Tickmarks"}</definedName>
    <definedName name="ARRENDAMIENTO" localSheetId="7" hidden="1">{#N/A,#N/A,FALSE,"Aging Summary";#N/A,#N/A,FALSE,"Ratio Analysis";#N/A,#N/A,FALSE,"Test 120 Day Accts";#N/A,#N/A,FALSE,"Tickmarks"}</definedName>
    <definedName name="ARRENDAMIENTO" hidden="1">{#N/A,#N/A,FALSE,"Aging Summary";#N/A,#N/A,FALSE,"Ratio Analysis";#N/A,#N/A,FALSE,"Test 120 Day Accts";#N/A,#N/A,FALSE,"Tickmarks"}</definedName>
    <definedName name="AS2DocOpenMode" hidden="1">"AS2DocumentEdit"</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LPH1" hidden="1">#REF!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BWorkbookPriority" hidden="1">-1602700874</definedName>
    <definedName name="ccccc" hidden="1">{"TAB1",#N/A,TRUE,"GENERAL";"TAB2",#N/A,TRUE,"GENERAL";"TAB3",#N/A,TRUE,"GENERAL";"TAB4",#N/A,TRUE,"GENERAL";"TAB5",#N/A,TRUE,"GENERAL"}</definedName>
    <definedName name="cdcdc" hidden="1">{"via1",#N/A,TRUE,"general";"via2",#N/A,TRUE,"general";"via3",#N/A,TRUE,"general"}</definedName>
    <definedName name="cdfgrtfd" hidden="1">#REF!</definedName>
    <definedName name="ceerf" hidden="1">{"TAB1",#N/A,TRUE,"GENERAL";"TAB2",#N/A,TRUE,"GENERAL";"TAB3",#N/A,TRUE,"GENERAL";"TAB4",#N/A,TRUE,"GENERAL";"TAB5",#N/A,TRUE,"GENERAL"}</definedName>
    <definedName name="centro" localSheetId="7" hidden="1">{#N/A,#N/A,FALSE,"GRAFICO";#N/A,#N/A,FALSE,"CAJA (2)";#N/A,#N/A,FALSE,"TERCEROS-PROMEDIO";#N/A,#N/A,FALSE,"CAJA";#N/A,#N/A,FALSE,"INGRESOS1995-2003";#N/A,#N/A,FALSE,"GASTOS1995-2003"}</definedName>
    <definedName name="centro" hidden="1">{#N/A,#N/A,FALSE,"GRAFICO";#N/A,#N/A,FALSE,"CAJA (2)";#N/A,#N/A,FALSE,"TERCEROS-PROMEDIO";#N/A,#N/A,FALSE,"CAJA";#N/A,#N/A,FALSE,"INGRESOS1995-2003";#N/A,#N/A,FALSE,"GASTOS1995-2003"}</definedName>
    <definedName name="cjsa" hidden="1">#REF!</definedName>
    <definedName name="CODIGOEQUIPOS" localSheetId="7">'[7]INSUMOS EQUIPOS'!$A$7:$A$45</definedName>
    <definedName name="CODIGOEQUIPOS">'INSUMOS EQUIPOS'!$A$7:$A$45</definedName>
    <definedName name="CODIGOMATERIALES" localSheetId="7">'[7]INSUMOS MATERIALES'!$A$7:$A$90</definedName>
    <definedName name="CODIGOMATERIALES">#REF!</definedName>
    <definedName name="CÓDIGOS_MANO_DE_OBRA">'[8]INSUMOS MANO DE OBRA'!$A$8:$A$63</definedName>
    <definedName name="CÓDIGOS_SERVICIOS">'[8]INSUMOS SERVICIOS'!$A$12:$A$53</definedName>
    <definedName name="CODIGOSMANODEOBRA" localSheetId="7">'[7]INSUMOS MANO DE OBRA'!$A$7:$A$61</definedName>
    <definedName name="CODIGOSMANODEOBRA">'INSUMOS MANO DE OBRA'!$A$7:$A$61</definedName>
    <definedName name="CODIGOSSERVICIOS" localSheetId="7">'[7]INSUMOS SERVICIOS'!$A$7:$A$21</definedName>
    <definedName name="CODIGOSSERVICIOS">'INSUMOS SERVICIOS'!$A$7:$A$21</definedName>
    <definedName name="CODIGOTRANSPORTES" localSheetId="7">'[7]INSUMOS TRANSPORTES'!$A$7:$A$27</definedName>
    <definedName name="CODIGOTRANSPORTES">#REF!</definedName>
    <definedName name="_xlnm.Criteria" localSheetId="7" hidden="1">{#N/A,#N/A,FALSE,"GRAFICO";#N/A,#N/A,FALSE,"CAJA (2)";#N/A,#N/A,FALSE,"TERCEROS-PROMEDIO";#N/A,#N/A,FALSE,"CAJA";#N/A,#N/A,FALSE,"INGRESOS1995-2003";#N/A,#N/A,FALSE,"GASTOS1995-2003"}</definedName>
    <definedName name="_xlnm.Criteria" hidden="1">{#N/A,#N/A,FALSE,"GRAFICO";#N/A,#N/A,FALSE,"CAJA (2)";#N/A,#N/A,FALSE,"TERCEROS-PROMEDIO";#N/A,#N/A,FALSE,"CAJA";#N/A,#N/A,FALSE,"INGRESOS1995-2003";#N/A,#N/A,FALSE,"GASTOS1995-2003"}</definedName>
    <definedName name="crt" localSheetId="7"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CUNET" hidden="1">{"via1",#N/A,TRUE,"general";"via2",#N/A,TRUE,"general";"via3",#N/A,TRUE,"general"}</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localSheetId="7" hidden="1">{"PYGT",#N/A,FALSE,"PYG";"ACTIT",#N/A,FALSE,"BCE_GRAL-ACTIVO";"PASIT",#N/A,FALSE,"BCE_GRAL-PASIVO-PATRIM";"CAJAT",#N/A,FALSE,"CAJA"}</definedName>
    <definedName name="D" hidden="1">{"PYGT",#N/A,FALSE,"PYG";"ACTIT",#N/A,FALSE,"BCE_GRAL-ACTIVO";"PASIT",#N/A,FALSE,"BCE_GRAL-PASIVO-PATRIM";"CAJAT",#N/A,FALSE,"CAJA"}</definedName>
    <definedName name="DASD" hidden="1">{"TAB1",#N/A,TRUE,"GENERAL";"TAB2",#N/A,TRUE,"GENERAL";"TAB3",#N/A,TRUE,"GENERAL";"TAB4",#N/A,TRUE,"GENERAL";"TAB5",#N/A,TRUE,"GENERAL"}</definedName>
    <definedName name="DATOSINICIALES">'DATOS INICIALES'!$A$5:$B$26</definedName>
    <definedName name="dbfdfbi" hidden="1">{"TAB1",#N/A,TRUE,"GENERAL";"TAB2",#N/A,TRUE,"GENERAL";"TAB3",#N/A,TRUE,"GENERAL";"TAB4",#N/A,TRUE,"GENERAL";"TAB5",#N/A,TRUE,"GENERAL"}</definedName>
    <definedName name="DCSDCTV"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ESFRE" localSheetId="7" hidden="1">{#N/A,#N/A,FALSE,"GRAFICO";#N/A,#N/A,FALSE,"CAJA (2)";#N/A,#N/A,FALSE,"TERCEROS-PROMEDIO";#N/A,#N/A,FALSE,"CAJA";#N/A,#N/A,FALSE,"INGRESOS1995-2003";#N/A,#N/A,FALSE,"GASTOS1995-2003"}</definedName>
    <definedName name="DESFRE" hidden="1">{#N/A,#N/A,FALSE,"GRAFICO";#N/A,#N/A,FALSE,"CAJA (2)";#N/A,#N/A,FALSE,"TERCEROS-PROMEDIO";#N/A,#N/A,FALSE,"CAJA";#N/A,#N/A,FALSE,"INGRESOS1995-2003";#N/A,#N/A,FALSE,"GASTOS1995-2003"}</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STRIBUCION" localSheetId="7" hidden="1">{#N/A,#N/A,FALSE,"GRAFICO";#N/A,#N/A,FALSE,"CAJA (2)";#N/A,#N/A,FALSE,"TERCEROS-PROMEDIO";#N/A,#N/A,FALSE,"CAJA";#N/A,#N/A,FALSE,"INGRESOS1995-2003";#N/A,#N/A,FALSE,"GASTOS1995-2003"}</definedName>
    <definedName name="DISTRIBUCION" hidden="1">{#N/A,#N/A,FALSE,"GRAFICO";#N/A,#N/A,FALSE,"CAJA (2)";#N/A,#N/A,FALSE,"TERCEROS-PROMEDIO";#N/A,#N/A,FALSE,"CAJA";#N/A,#N/A,FALSE,"INGRESOS1995-2003";#N/A,#N/A,FALSE,"GASTOS1995-2003"}</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3e33" hidden="1">{"via1",#N/A,TRUE,"general";"via2",#N/A,TRUE,"general";"via3",#N/A,TRUE,"general"}</definedName>
    <definedName name="Ebitda" localSheetId="7" hidden="1">{#N/A,#N/A,FALSE,"GRAFICO";#N/A,#N/A,FALSE,"CAJA (2)";#N/A,#N/A,FALSE,"TERCEROS-PROMEDIO";#N/A,#N/A,FALSE,"CAJA";#N/A,#N/A,FALSE,"INGRESOS1995-2003";#N/A,#N/A,FALSE,"GASTOS1995-2003"}</definedName>
    <definedName name="Ebitda" hidden="1">{#N/A,#N/A,FALSE,"GRAFICO";#N/A,#N/A,FALSE,"CAJA (2)";#N/A,#N/A,FALSE,"TERCEROS-PROMEDIO";#N/A,#N/A,FALSE,"CAJA";#N/A,#N/A,FALSE,"INGRESOS1995-2003";#N/A,#N/A,FALSE,"GASTOS1995-2003"}</definedName>
    <definedName name="EDEDWSWQA" hidden="1">{"TAB1",#N/A,TRUE,"GENERAL";"TAB2",#N/A,TRUE,"GENERAL";"TAB3",#N/A,TRUE,"GENERAL";"TAB4",#N/A,TRUE,"GENERAL";"TAB5",#N/A,TRUE,"GENERAL"}</definedName>
    <definedName name="edgfhmn" hidden="1">{"via1",#N/A,TRUE,"general";"via2",#N/A,TRUE,"general";"via3",#N/A,TRUE,"general"}</definedName>
    <definedName name="EE" localSheetId="7" hidden="1">#REF!</definedName>
    <definedName name="EE" hidden="1">#REF!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w" hidden="1">{"via1",#N/A,TRUE,"general";"via2",#N/A,TRUE,"general";"via3",#N/A,TRUE,"general"}</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CENARIO" localSheetId="7" hidden="1">{#N/A,#N/A,FALSE,"GRAFICO";#N/A,#N/A,FALSE,"CAJA (2)";#N/A,#N/A,FALSE,"TERCEROS-PROMEDIO";#N/A,#N/A,FALSE,"CAJA";#N/A,#N/A,FALSE,"INGRESOS1995-2003";#N/A,#N/A,FALSE,"GASTOS1995-2003"}</definedName>
    <definedName name="ESCENARIO" hidden="1">{#N/A,#N/A,FALSE,"GRAFICO";#N/A,#N/A,FALSE,"CAJA (2)";#N/A,#N/A,FALSE,"TERCEROS-PROMEDIO";#N/A,#N/A,FALSE,"CAJA";#N/A,#N/A,FALSE,"INGRESOS1995-2003";#N/A,#N/A,FALSE,"GASTOS1995-2003"}</definedName>
    <definedName name="este" localSheetId="7" hidden="1">{"PYGT",#N/A,FALSE,"PYG";"ACTIT",#N/A,FALSE,"BCE_GRAL-ACTIVO";"PASIT",#N/A,FALSE,"BCE_GRAL-PASIVO-PATRIM";"CAJAT",#N/A,FALSE,"CAJA"}</definedName>
    <definedName name="este" hidden="1">{"PYGT",#N/A,FALSE,"PYG";"ACTIT",#N/A,FALSE,"BCE_GRAL-ACTIVO";"PASIT",#N/A,FALSE,"BCE_GRAL-PASIVO-PATRIM";"CAJAT",#N/A,FALSE,"CAJA"}</definedName>
    <definedName name="ESTEWW" localSheetId="7" hidden="1">{#N/A,#N/A,FALSE,"GRAFICO";#N/A,#N/A,FALSE,"CAJA (2)";#N/A,#N/A,FALSE,"TERCEROS-PROMEDIO";#N/A,#N/A,FALSE,"CAJA";#N/A,#N/A,FALSE,"INGRESOS1995-2003";#N/A,#N/A,FALSE,"GASTOS1995-2003"}</definedName>
    <definedName name="ESTEWW" hidden="1">{#N/A,#N/A,FALSE,"GRAFICO";#N/A,#N/A,FALSE,"CAJA (2)";#N/A,#N/A,FALSE,"TERCEROS-PROMEDIO";#N/A,#N/A,FALSE,"CAJA";#N/A,#N/A,FALSE,"INGRESOS1995-2003";#N/A,#N/A,FALSE,"GASTOS1995-2003"}</definedName>
    <definedName name="estre" localSheetId="7"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CTURA" hidden="1">{#N/A,#N/A,TRUE,"INGENIERIA";#N/A,#N/A,TRUE,"COMPRAS";#N/A,#N/A,TRUE,"DIRECCION";#N/A,#N/A,TRUE,"RESUMEN"}</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FACTORPRESTACIONAL" localSheetId="7">'[7]FACTOR PRESTACIONAL'!$A$7:$BE$32</definedName>
    <definedName name="FACTORPRESTACIONAL">'FACTOR PRESTACIONAL'!$A$7:$BE$32</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DUCIASOCTUBRE" localSheetId="7" hidden="1">{#N/A,#N/A,FALSE,"Aging Summary";#N/A,#N/A,FALSE,"Ratio Analysis";#N/A,#N/A,FALSE,"Test 120 Day Accts";#N/A,#N/A,FALSE,"Tickmarks"}</definedName>
    <definedName name="FIDUCIASOCTUBRE" hidden="1">{#N/A,#N/A,FALSE,"Aging Summary";#N/A,#N/A,FALSE,"Ratio Analysis";#N/A,#N/A,FALSE,"Test 120 Day Accts";#N/A,#N/A,FALSE,"Tickmarks"}</definedName>
    <definedName name="fill1" hidden="1">#REF!</definedName>
    <definedName name="frbgsd" hidden="1">{"TAB1",#N/A,TRUE,"GENERAL";"TAB2",#N/A,TRUE,"GENERAL";"TAB3",#N/A,TRUE,"GENERAL";"TAB4",#N/A,TRUE,"GENERAL";"TAB5",#N/A,TRUE,"GENERAL"}</definedName>
    <definedName name="frefr" hidden="1">{"via1",#N/A,TRUE,"general";"via2",#N/A,TRUE,"general";"via3",#N/A,TRUE,"general"}</definedName>
    <definedName name="FREV" localSheetId="7" hidden="1">{"PYGT",#N/A,FALSE,"PYG";"ACTIT",#N/A,FALSE,"BCE_GRAL-ACTIVO";"PASIT",#N/A,FALSE,"BCE_GRAL-PASIVO-PATRIM";"CAJAT",#N/A,FALSE,"CAJA"}</definedName>
    <definedName name="FREV" hidden="1">{"PYGT",#N/A,FALSE,"PYG";"ACTIT",#N/A,FALSE,"BCE_GRAL-ACTIVO";"PASIT",#N/A,FALSE,"BCE_GRAL-PASIVO-PATRIM";"CAJAT",#N/A,FALSE,"CAJA"}</definedName>
    <definedName name="frfa" hidden="1">{"via1",#N/A,TRUE,"general";"via2",#N/A,TRUE,"general";"via3",#N/A,TRUE,"general"}</definedName>
    <definedName name="frfr" hidden="1">{"TAB1",#N/A,TRUE,"GENERAL";"TAB2",#N/A,TRUE,"GENERAL";"TAB3",#N/A,TRUE,"GENERAL";"TAB4",#N/A,TRUE,"GENERAL";"TAB5",#N/A,TRUE,"GENERAL"}</definedName>
    <definedName name="fwff" hidden="1">{"via1",#N/A,TRUE,"general";"via2",#N/A,TRUE,"general";"via3",#N/A,TRUE,"general"}</definedName>
    <definedName name="fwwe" hidden="1">{"via1",#N/A,TRUE,"general";"via2",#N/A,TRUE,"general";"via3",#N/A,TRUE,"general"}</definedName>
    <definedName name="Gastos" localSheetId="7" hidden="1">{#N/A,#N/A,FALSE,"GRAFICO";#N/A,#N/A,FALSE,"CAJA (2)";#N/A,#N/A,FALSE,"TERCEROS-PROMEDIO";#N/A,#N/A,FALSE,"CAJA";#N/A,#N/A,FALSE,"INGRESOS1995-2003";#N/A,#N/A,FALSE,"GASTOS1995-2003"}</definedName>
    <definedName name="Gastos" hidden="1">{#N/A,#N/A,FALSE,"GRAFICO";#N/A,#N/A,FALSE,"CAJA (2)";#N/A,#N/A,FALSE,"TERCEROS-PROMEDIO";#N/A,#N/A,FALSE,"CAJA";#N/A,#N/A,FALSE,"INGRESOS1995-2003";#N/A,#N/A,FALSE,"GASTOS1995-2003"}</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oha" localSheetId="7" hidden="1">{"PYGT",#N/A,FALSE,"PYG";"ACTIT",#N/A,FALSE,"BCE_GRAL-ACTIVO";"PASIT",#N/A,FALSE,"BCE_GRAL-PASIVO-PATRIM";"CAJAT",#N/A,FALSE,"CAJA"}</definedName>
    <definedName name="hoha" hidden="1">{"PYGT",#N/A,FALSE,"PYG";"ACTIT",#N/A,FALSE,"BCE_GRAL-ACTIVO";"PASIT",#N/A,FALSE,"BCE_GRAL-PASIVO-PATRIM";"CAJAT",#N/A,FALSE,"CAJA"}</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ML_CodePage" hidden="1">1252</definedName>
    <definedName name="HTML_Control" localSheetId="7" hidden="1">{"'PACÍFICO12'!$A$1:$E$6"}</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7" hidden="1">{"PYGT",#N/A,FALSE,"PYG";"ACTIT",#N/A,FALSE,"BCE_GRAL-ACTIVO";"PASIT",#N/A,FALSE,"BCE_GRAL-PASIVO-PATRIM";"CAJAT",#N/A,FALSE,"CAJA"}</definedName>
    <definedName name="I" hidden="1">{"PYGT",#N/A,FALSE,"PYG";"ACTIT",#N/A,FALSE,"BCE_GRAL-ACTIVO";"PASIT",#N/A,FALSE,"BCE_GRAL-PASIVO-PATRIM";"CAJAT",#N/A,FALSE,"CAJA"}</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NGENIERIA1" hidden="1">#REF!</definedName>
    <definedName name="INGENIERIA11" hidden="1">#REF!</definedName>
    <definedName name="INSUMOS_MANO_DE_OBRA" localSheetId="1">'[8]INSUMOS MANO DE OBRA'!$A$1:$I$63</definedName>
    <definedName name="INSUMOS_MANO_DE_OBRA" localSheetId="4">'[8]INSUMOS MANO DE OBRA'!$A$1:$I$63</definedName>
    <definedName name="INSUMOS_MANO_DE_OBRA" localSheetId="3">'[8]INSUMOS MANO DE OBRA'!$A$1:$I$63</definedName>
    <definedName name="INSUMOS_MANO_DE_OBRA" localSheetId="5">'[8]INSUMOS MANO DE OBRA'!$A$1:$I$63</definedName>
    <definedName name="INSUMOS_MANO_DE_OBRA" localSheetId="6">'[8]INSUMOS MANO DE OBRA'!$A$1:$I$63</definedName>
    <definedName name="INSUMOS_MANO_DE_OBRA">'[9]INSUMOS MANO DE OBRA'!$A$1:$H$63</definedName>
    <definedName name="INSUMOSEQUIPOS" localSheetId="7">'[7]INSUMOS EQUIPOS'!$A$7:$D$45</definedName>
    <definedName name="INSUMOSEQUIPOS">'INSUMOS EQUIPOS'!$A$7:$D$45</definedName>
    <definedName name="INSUMOSMANODEOBRA" localSheetId="7">'[7]INSUMOS MANO DE OBRA'!$A$7:$H$61</definedName>
    <definedName name="INSUMOSMANODEOBRA">'INSUMOS MANO DE OBRA'!$A$7:$H$61</definedName>
    <definedName name="INSUMOSMATERIALES" localSheetId="7">'[7]INSUMOS MATERIALES'!$A$7:$D$90</definedName>
    <definedName name="INSUMOSMATERIALES">#REF!</definedName>
    <definedName name="INSUMOSSERVICIOS" localSheetId="7">'[7]INSUMOS SERVICIOS'!$A$7:$D$21</definedName>
    <definedName name="INSUMOSSERVICIOS">'INSUMOS SERVICIOS'!$A$7:$D$21</definedName>
    <definedName name="INSUMOSTRANSPORTES" localSheetId="7">'[7]INSUMOS TRANSPORTES'!$A$7:$D$27</definedName>
    <definedName name="INSUMOSTRANSPORTES">#REF!</definedName>
    <definedName name="irng" hidden="1">#REF!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 localSheetId="7" hidden="1">{"PYGT",#N/A,FALSE,"PYG";"ACTIT",#N/A,FALSE,"BCE_GRAL-ACTIVO";"PASIT",#N/A,FALSE,"BCE_GRAL-PASIVO-PATRIM";"CAJAT",#N/A,FALSE,"CAJA"}</definedName>
    <definedName name="K" hidden="1">{"PYGT",#N/A,FALSE,"PYG";"ACTIT",#N/A,FALSE,"BCE_GRAL-ACTIVO";"PASIT",#N/A,FALSE,"BCE_GRAL-PASIVO-PATRIM";"CAJAT",#N/A,FALSE,"CAJA"}</definedName>
    <definedName name="kdmfm" hidden="1">#REF!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O" localSheetId="7" hidden="1">#REF!</definedName>
    <definedName name="KO" hidden="1">#REF!</definedName>
    <definedName name="krtrk" hidden="1">{"via1",#N/A,TRUE,"general";"via2",#N/A,TRUE,"general";"via3",#N/A,TRUE,"general"}</definedName>
    <definedName name="kyr" hidden="1">{"TAB1",#N/A,TRUE,"GENERAL";"TAB2",#N/A,TRUE,"GENERAL";"TAB3",#N/A,TRUE,"GENERAL";"TAB4",#N/A,TRUE,"GENERAL";"TAB5",#N/A,TRUE,"GENERAL"}</definedName>
    <definedName name="lame" hidden="1">#REF!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lllh" hidden="1">{"via1",#N/A,TRUE,"general";"via2",#N/A,TRUE,"general";"via3",#N/A,TRUE,"general"}</definedName>
    <definedName name="lllllllo" hidden="1">{"via1",#N/A,TRUE,"general";"via2",#N/A,TRUE,"general";"via3",#N/A,TRUE,"general"}</definedName>
    <definedName name="lo" localSheetId="7" hidden="1">{#N/A,#N/A,FALSE,"GRAFICO";#N/A,#N/A,FALSE,"CAJA (2)";#N/A,#N/A,FALSE,"TERCEROS-PROMEDIO";#N/A,#N/A,FALSE,"CAJA";#N/A,#N/A,FALSE,"INGRESOS1995-2003";#N/A,#N/A,FALSE,"GASTOS1995-2003"}</definedName>
    <definedName name="lo" hidden="1">{#N/A,#N/A,FALSE,"GRAFICO";#N/A,#N/A,FALSE,"CAJA (2)";#N/A,#N/A,FALSE,"TERCEROS-PROMEDIO";#N/A,#N/A,FALSE,"CAJA";#N/A,#N/A,FALSE,"INGRESOS1995-2003";#N/A,#N/A,FALSE,"GASTOS1995-2003"}</definedName>
    <definedName name="lolol" hidden="1">{"TAB1",#N/A,TRUE,"GENERAL";"TAB2",#N/A,TRUE,"GENERAL";"TAB3",#N/A,TRUE,"GENERAL";"TAB4",#N/A,TRUE,"GENERAL";"TAB5",#N/A,TRUE,"GENERAL"}</definedName>
    <definedName name="lplpl" hidden="1">{"via1",#N/A,TRUE,"general";"via2",#N/A,TRUE,"general";"via3",#N/A,TRUE,"general"}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rkP" localSheetId="7" hidden="1">{#N/A,#N/A,FALSE,"GRAFICO";#N/A,#N/A,FALSE,"CAJA (2)";#N/A,#N/A,FALSE,"TERCEROS-PROMEDIO";#N/A,#N/A,FALSE,"CAJA";#N/A,#N/A,FALSE,"INGRESOS1995-2003";#N/A,#N/A,FALSE,"GASTOS1995-2003"}</definedName>
    <definedName name="MarkP" hidden="1">{#N/A,#N/A,FALSE,"GRAFICO";#N/A,#N/A,FALSE,"CAJA (2)";#N/A,#N/A,FALSE,"TERCEROS-PROMEDIO";#N/A,#N/A,FALSE,"CAJA";#N/A,#N/A,FALSE,"INGRESOS1995-2003";#N/A,#N/A,FALSE,"GASTOS1995-2003"}</definedName>
    <definedName name="masor" hidden="1">{"via1",#N/A,TRUE,"general";"via2",#N/A,TRUE,"general";"via3",#N/A,TRUE,"general"}</definedName>
    <definedName name="mdd" hidden="1">{"via1",#N/A,TRUE,"general";"via2",#N/A,TRUE,"general";"via3",#N/A,TRUE,"general"}</definedName>
    <definedName name="meg" hidden="1">{"TAB1",#N/A,TRUE,"GENERAL";"TAB2",#N/A,TRUE,"GENERAL";"TAB3",#N/A,TRUE,"GENERAL";"TAB4",#N/A,TRUE,"GENERAL";"TAB5",#N/A,TRUE,"GENERAL"}</definedName>
    <definedName name="mem" localSheetId="7" hidden="1">#REF!</definedName>
    <definedName name="mem" hidden="1">#REF!</definedName>
    <definedName name="memm" localSheetId="7" hidden="1">#REF!</definedName>
    <definedName name="memm" hidden="1">#REF!</definedName>
    <definedName name="memmm" localSheetId="7" hidden="1">#REF!</definedName>
    <definedName name="memmm" hidden="1">#REF!</definedName>
    <definedName name="MEMORIAS" localSheetId="7">[7]MEMORIAS!$A$1:$H$670</definedName>
    <definedName name="MEMORIAS">#REF!</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IVejec" hidden="1">{#N/A,#N/A,FALSE,"Hoja1";#N/A,#N/A,FALSE,"Hoja2"}</definedName>
    <definedName name="MOE" hidden="1">{#N/A,#N/A,FALSE,"Hoja1";#N/A,#N/A,FALSE,"Hoja2"}</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 localSheetId="7" hidden="1">{"PYGT",#N/A,FALSE,"PYG";"ACTIT",#N/A,FALSE,"BCE_GRAL-ACTIVO";"PASIT",#N/A,FALSE,"BCE_GRAL-PASIVO-PATRIM";"CAJAT",#N/A,FALSE,"CAJA"}</definedName>
    <definedName name="NO" hidden="1">{"PYGT",#N/A,FALSE,"PYG";"ACTIT",#N/A,FALSE,"BCE_GRAL-ACTIVO";"PASIT",#N/A,FALSE,"BCE_GRAL-PASIVO-PATRIM";"CAJAT",#N/A,FALSE,"CAJA"}</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bras" hidden="1">#REF!</definedName>
    <definedName name="obras11" hidden="1">#REF!</definedName>
    <definedName name="OCTUBRE" hidden="1">{#N/A,#N/A,FALSE,"orthoflow";#N/A,#N/A,FALSE,"Miscelaneos";#N/A,#N/A,FALSE,"Instrumentacio";#N/A,#N/A,FALSE,"Electrico";#N/A,#N/A,FALSE,"Valv. Seguridad"}</definedName>
    <definedName name="oera" localSheetId="7" hidden="1">{#N/A,#N/A,FALSE,"Aging Summary";#N/A,#N/A,FALSE,"Ratio Analysis";#N/A,#N/A,FALSE,"Test 120 Day Accts";#N/A,#N/A,FALSE,"Tickmarks"}</definedName>
    <definedName name="oera" hidden="1">{#N/A,#N/A,FALSE,"Aging Summary";#N/A,#N/A,FALSE,"Ratio Analysis";#N/A,#N/A,FALSE,"Test 120 Day Accts";#N/A,#N/A,FALSE,"Tickmarks"}</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RIGINAL" hidden="1">{#N/A,#N/A,FALSE,"orthoflow";#N/A,#N/A,FALSE,"Miscelaneos";#N/A,#N/A,FALSE,"Instrumentacio";#N/A,#N/A,FALSE,"Electrico";#N/A,#N/A,FALSE,"Valv. Seguridad"}</definedName>
    <definedName name="OROZCO" hidden="1">[1]INST!#REF!</definedName>
    <definedName name="p0p0" hidden="1">{"via1",#N/A,TRUE,"general";"via2",#N/A,TRUE,"general";"via3",#N/A,TRUE,"general"}</definedName>
    <definedName name="particulares1" localSheetId="7" hidden="1">{#N/A,#N/A,FALSE,"Aging Summary";#N/A,#N/A,FALSE,"Ratio Analysis";#N/A,#N/A,FALSE,"Test 120 Day Accts";#N/A,#N/A,FALSE,"Tickmarks"}</definedName>
    <definedName name="particulares1" hidden="1">{#N/A,#N/A,FALSE,"Aging Summary";#N/A,#N/A,FALSE,"Ratio Analysis";#N/A,#N/A,FALSE,"Test 120 Day Accts";#N/A,#N/A,FALSE,"Tickmarks"}</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SUPUESTO" localSheetId="7">[7]PRESUPUESTO!$A$7:$H$74</definedName>
    <definedName name="PRESUPUESTO">PRESUPUESTO!$A$7:$H$127</definedName>
    <definedName name="PRIMER" hidden="1">{"via1",#N/A,TRUE,"general";"via2",#N/A,TRUE,"general";"via3",#N/A,TRUE,"general"}</definedName>
    <definedName name="PRIMET" hidden="1">{"TAB1",#N/A,TRUE,"GENERAL";"TAB2",#N/A,TRUE,"GENERAL";"TAB3",#N/A,TRUE,"GENERAL";"TAB4",#N/A,TRUE,"GENERAL";"TAB5",#N/A,TRUE,"GENERAL"}</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qqqqqqq" localSheetId="7" hidden="1">#REF!</definedName>
    <definedName name="qqqqqqqqqqqq" hidden="1">#REF!</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wertet" hidden="1">{#N/A,#N/A,TRUE,"1842CWN0"}</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localSheetId="7" hidden="1">{#N/A,#N/A,FALSE,"GRAFICO";#N/A,#N/A,FALSE,"CAJA (2)";#N/A,#N/A,FALSE,"TERCEROS-PROMEDIO";#N/A,#N/A,FALSE,"CAJA";#N/A,#N/A,FALSE,"INGRESOS1995-2003";#N/A,#N/A,FALSE,"GASTOS1995-2003"}</definedName>
    <definedName name="res" hidden="1">{#N/A,#N/A,FALSE,"GRAFICO";#N/A,#N/A,FALSE,"CAJA (2)";#N/A,#N/A,FALSE,"TERCEROS-PROMEDIO";#N/A,#N/A,FALSE,"CAJA";#N/A,#N/A,FALSE,"INGRESOS1995-2003";#N/A,#N/A,FALSE,"GASTOS1995-2003"}</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gfbgdr" hidden="1">{"via1",#N/A,TRUE,"general";"via2",#N/A,TRUE,"general";"via3",#N/A,TRUE,"general"}</definedName>
    <definedName name="SCQ" localSheetId="7" hidden="1">SUMIF(#REF!,#REF!,#REF!)</definedName>
    <definedName name="SCQ" hidden="1">SUMIF(#REF!,#REF!,#REF!)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ssssssssss" localSheetId="7" hidden="1">#REF!</definedName>
    <definedName name="sssssssssssssss" hidden="1">#REF!</definedName>
    <definedName name="sssssy" hidden="1">{"via1",#N/A,TRUE,"general";"via2",#N/A,TRUE,"general";"via3",#N/A,TRUE,"general"}</definedName>
    <definedName name="stt" hidden="1">{"via1",#N/A,TRUE,"general";"via2",#N/A,TRUE,"general";"via3",#N/A,TRUE,"general"}</definedName>
    <definedName name="swsw" hidden="1">{"via1",#N/A,TRUE,"general";"via2",#N/A,TRUE,"general";"via3",#N/A,TRUE,"general"}</definedName>
    <definedName name="swsw3" hidden="1">{"TAB1",#N/A,TRUE,"GENERAL";"TAB2",#N/A,TRUE,"GENERAL";"TAB3",#N/A,TRUE,"GENERAL";"TAB4",#N/A,TRUE,"GENERAL";"TAB5",#N/A,TRUE,"GENERAL"}</definedName>
    <definedName name="t5t5" hidden="1">{"TAB1",#N/A,TRUE,"GENERAL";"TAB2",#N/A,TRUE,"GENERAL";"TAB3",#N/A,TRUE,"GENERAL";"TAB4",#N/A,TRUE,"GENERAL";"TAB5",#N/A,TRUE,"GENERAL"}</definedName>
    <definedName name="TC" localSheetId="7" hidden="1">{#N/A,#N/A,FALSE,"GRAFICO";#N/A,#N/A,FALSE,"CAJA (2)";#N/A,#N/A,FALSE,"TERCEROS-PROMEDIO";#N/A,#N/A,FALSE,"CAJA";#N/A,#N/A,FALSE,"INGRESOS1995-2003";#N/A,#N/A,FALSE,"GASTOS1995-2003"}</definedName>
    <definedName name="TC" hidden="1">{#N/A,#N/A,FALSE,"GRAFICO";#N/A,#N/A,FALSE,"CAJA (2)";#N/A,#N/A,FALSE,"TERCEROS-PROMEDIO";#N/A,#N/A,FALSE,"CAJA";#N/A,#N/A,FALSE,"INGRESOS1995-2003";#N/A,#N/A,FALSE,"GASTOS1995-2003"}</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K_1" hidden="1">[5]INST!#REF!</definedName>
    <definedName name="tortas" hidden="1">{"TAB1",#N/A,TRUE,"GENERAL";"TAB2",#N/A,TRUE,"GENERAL";"TAB3",#N/A,TRUE,"GENERAL";"TAB4",#N/A,TRUE,"GENERAL";"TAB5",#N/A,TRUE,"GENERAL"}</definedName>
    <definedName name="tortas2" hidden="1">{"via1",#N/A,TRUE,"general";"via2",#N/A,TRUE,"general";"via3",#N/A,TRUE,"general"}</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j" hidden="1">[3]INST!#REF!</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bvbvbvb" hidden="1">{"TAB1",#N/A,TRUE,"GENERAL";"TAB2",#N/A,TRUE,"GENERAL";"TAB3",#N/A,TRUE,"GENERAL";"TAB4",#N/A,TRUE,"GENERAL";"TAB5",#N/A,TRUE,"GENERAL"}</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DD" hidden="1">{#N/A,#N/A,FALSE,"orthoflow";#N/A,#N/A,FALSE,"Miscelaneos";#N/A,#N/A,FALSE,"Instrumentacio";#N/A,#N/A,FALSE,"Electrico";#N/A,#N/A,FALSE,"Valv. Seguridad"}</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Aging._.and._.Trend._.Analysis." localSheetId="7"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items." localSheetId="7" hidden="1">{#N/A,#N/A,FALSE,"Items"}</definedName>
    <definedName name="wrn.items." hidden="1">{#N/A,#N/A,FALSE,"Items"}</definedName>
    <definedName name="wrn.OPERADORES." hidden="1">{#N/A,#N/A,TRUE,"T1"}</definedName>
    <definedName name="wrn.PROYEC." localSheetId="7" hidden="1">{#N/A,#N/A,FALSE,"GRAFICO";#N/A,#N/A,FALSE,"CAJA (2)";#N/A,#N/A,FALSE,"TERCEROS-PROMEDIO";#N/A,#N/A,FALSE,"CAJA";#N/A,#N/A,FALSE,"INGRESOS1995-2003";#N/A,#N/A,FALSE,"GASTOS1995-2003"}</definedName>
    <definedName name="wrn.PROYEC." hidden="1">{#N/A,#N/A,FALSE,"GRAFICO";#N/A,#N/A,FALSE,"CAJA (2)";#N/A,#N/A,FALSE,"TERCEROS-PROMEDIO";#N/A,#N/A,FALSE,"CAJA";#N/A,#N/A,FALSE,"INGRESOS1995-2003";#N/A,#N/A,FALSE,"GASTOS1995-2003"}</definedName>
    <definedName name="wrn.res7" hidden="1">{#N/A,#N/A,FALSE,"Hoja1";#N/A,#N/A,FALSE,"Hoja2"}</definedName>
    <definedName name="wrn.Resumen." hidden="1">{#N/A,#N/A,FALSE,"Hoja1";#N/A,#N/A,FALSE,"Hoja2"}</definedName>
    <definedName name="wrn.SENCILLO." localSheetId="7" hidden="1">{"PYGS",#N/A,FALSE,"PYG";"ACTIS",#N/A,FALSE,"BCE_GRAL-ACTIVO";"PASIS",#N/A,FALSE,"BCE_GRAL-PASIVO-PATRIM";"CAJAS",#N/A,FALSE,"CAJA"}</definedName>
    <definedName name="wrn.SENCILLO." hidden="1">{"PYGS",#N/A,FALSE,"PYG";"ACTIS",#N/A,FALSE,"BCE_GRAL-ACTIVO";"PASIS",#N/A,FALSE,"BCE_GRAL-PASIVO-PATRIM";"CAJAS",#N/A,FALSE,"CAJA"}</definedName>
    <definedName name="wrn.Total." localSheetId="7" hidden="1">{"Parcial",#N/A,FALSE,"GastFuncionamiento";"Parcial2",#N/A,FALSE,"GastFuncionamiento";"Total",#N/A,FALSE,"GastFuncionamiento"}</definedName>
    <definedName name="wrn.Total." hidden="1">{"Parcial",#N/A,FALSE,"GastFuncionamiento";"Parcial2",#N/A,FALSE,"GastFuncionamiento";"Total",#N/A,FALSE,"GastFuncionamiento"}</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1.items" localSheetId="7" hidden="1">{#N/A,#N/A,FALSE,"Items"}</definedName>
    <definedName name="wrn1.items" hidden="1">{#N/A,#N/A,FALSE,"Items"}</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W" hidden="1">{#N/A,#N/A,TRUE,"1842CWN0"}</definedName>
    <definedName name="xsxs" hidden="1">{"TAB1",#N/A,TRUE,"GENERAL";"TAB2",#N/A,TRUE,"GENERAL";"TAB3",#N/A,TRUE,"GENERAL";"TAB4",#N/A,TRUE,"GENERAL";"TAB5",#N/A,TRUE,"GENERAL"}</definedName>
    <definedName name="xxfg"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29" hidden="1">{"via1",#N/A,TRUE,"general";"via2",#N/A,TRUE,"general";"via3",#N/A,TRUE,"general"}</definedName>
    <definedName name="XZS" hidden="1">#REF!</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O" localSheetId="7" hidden="1">{#N/A,#N/A,FALSE,"GRAFICO";#N/A,#N/A,FALSE,"CAJA (2)";#N/A,#N/A,FALSE,"TERCEROS-PROMEDIO";#N/A,#N/A,FALSE,"CAJA";#N/A,#N/A,FALSE,"INGRESOS1995-2003";#N/A,#N/A,FALSE,"GASTOS1995-2003"}</definedName>
    <definedName name="YO" hidden="1">{#N/A,#N/A,FALSE,"GRAFICO";#N/A,#N/A,FALSE,"CAJA (2)";#N/A,#N/A,FALSE,"TERCEROS-PROMEDIO";#N/A,#N/A,FALSE,"CAJA";#N/A,#N/A,FALSE,"INGRESOS1995-2003";#N/A,#N/A,FALSE,"GASTOS1995-2003"}</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 localSheetId="7" hidden="1">SUMIF(#REF!,#REF!,#REF!)</definedName>
    <definedName name="zzzzzzzz" hidden="1">SUMIF(#REF!,#REF!,#REF!)</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45" i="32" l="1"/>
  <c r="A45" i="32"/>
  <c r="A43" i="32"/>
  <c r="A44" i="32" s="1"/>
  <c r="A40" i="32"/>
  <c r="E39" i="32"/>
  <c r="B39" i="32"/>
  <c r="A39" i="32"/>
  <c r="B38" i="32"/>
  <c r="B37" i="32"/>
  <c r="B36" i="32"/>
  <c r="H35" i="32"/>
  <c r="H36" i="32" s="1"/>
  <c r="B34" i="32"/>
  <c r="A34" i="32"/>
  <c r="E33" i="32"/>
  <c r="I33" i="32" s="1"/>
  <c r="B33" i="32"/>
  <c r="A33" i="32"/>
  <c r="I29" i="32"/>
  <c r="A29" i="32"/>
  <c r="I28" i="32"/>
  <c r="A28" i="32"/>
  <c r="I27" i="32"/>
  <c r="I26" i="32"/>
  <c r="A26" i="32"/>
  <c r="A27" i="32" s="1"/>
  <c r="I25" i="32"/>
  <c r="A23" i="32"/>
  <c r="A24" i="32" s="1"/>
  <c r="A22" i="32"/>
  <c r="I20" i="32"/>
  <c r="I17" i="32" s="1"/>
  <c r="I22" i="32" s="1"/>
  <c r="B20" i="32"/>
  <c r="A20" i="32"/>
  <c r="I19" i="32"/>
  <c r="B19" i="32"/>
  <c r="A19" i="32"/>
  <c r="I18" i="32"/>
  <c r="E18" i="32"/>
  <c r="B18" i="32"/>
  <c r="F18" i="32" s="1"/>
  <c r="A18" i="32"/>
  <c r="I16" i="32"/>
  <c r="B16" i="32"/>
  <c r="E16" i="32" s="1"/>
  <c r="F16" i="32" s="1"/>
  <c r="A16" i="32"/>
  <c r="I15" i="32"/>
  <c r="B15" i="32"/>
  <c r="A15" i="32"/>
  <c r="I14" i="32"/>
  <c r="E14" i="32"/>
  <c r="B14" i="32"/>
  <c r="F14" i="32" s="1"/>
  <c r="A14" i="32"/>
  <c r="B12" i="32"/>
  <c r="B11" i="32"/>
  <c r="A11" i="32"/>
  <c r="A12" i="32" s="1"/>
  <c r="A13" i="32" s="1"/>
  <c r="B10" i="32"/>
  <c r="A10" i="32"/>
  <c r="A2" i="32"/>
  <c r="F37" i="27"/>
  <c r="E18" i="31"/>
  <c r="B18" i="31"/>
  <c r="C8" i="31"/>
  <c r="E15" i="31" s="1"/>
  <c r="A3" i="31"/>
  <c r="A2" i="31"/>
  <c r="D8" i="30"/>
  <c r="B41" i="29"/>
  <c r="B40" i="29"/>
  <c r="B39" i="29"/>
  <c r="B38" i="29"/>
  <c r="F28" i="29"/>
  <c r="G28" i="29" s="1"/>
  <c r="F27" i="29"/>
  <c r="G27" i="29" s="1"/>
  <c r="F26" i="29"/>
  <c r="G26" i="29" s="1"/>
  <c r="F25" i="29"/>
  <c r="G25" i="29" s="1"/>
  <c r="F24" i="29"/>
  <c r="G24" i="29" s="1"/>
  <c r="G17" i="29"/>
  <c r="G16" i="29"/>
  <c r="G14" i="29"/>
  <c r="G9" i="29" s="1"/>
  <c r="C10" i="29"/>
  <c r="F10" i="29" s="1"/>
  <c r="G7" i="29"/>
  <c r="A3" i="29"/>
  <c r="A2" i="29"/>
  <c r="C57" i="28"/>
  <c r="I56" i="28"/>
  <c r="H56" i="28"/>
  <c r="C56" i="28"/>
  <c r="C55" i="28"/>
  <c r="C54" i="28"/>
  <c r="P45" i="28"/>
  <c r="I45" i="28"/>
  <c r="A45" i="28"/>
  <c r="I43" i="28"/>
  <c r="A43" i="28"/>
  <c r="A44" i="28" s="1"/>
  <c r="I40" i="28"/>
  <c r="A40" i="28"/>
  <c r="E39" i="28"/>
  <c r="I39" i="28" s="1"/>
  <c r="B39" i="28"/>
  <c r="A39" i="28"/>
  <c r="I38" i="28"/>
  <c r="B38" i="28"/>
  <c r="B37" i="28"/>
  <c r="B36" i="28"/>
  <c r="H35" i="28"/>
  <c r="H37" i="28" s="1"/>
  <c r="I37" i="28" s="1"/>
  <c r="E34" i="28"/>
  <c r="I34" i="28" s="1"/>
  <c r="B34" i="28"/>
  <c r="A34" i="28"/>
  <c r="E33" i="28"/>
  <c r="I33" i="28" s="1"/>
  <c r="B33" i="28"/>
  <c r="A33" i="28"/>
  <c r="I29" i="28"/>
  <c r="A29" i="28"/>
  <c r="I28" i="28"/>
  <c r="A28" i="28"/>
  <c r="I27" i="28"/>
  <c r="I25" i="28" s="1"/>
  <c r="I26" i="28"/>
  <c r="A26" i="28"/>
  <c r="A27" i="28" s="1"/>
  <c r="A22" i="28"/>
  <c r="A23" i="28" s="1"/>
  <c r="A24" i="28" s="1"/>
  <c r="I20" i="28"/>
  <c r="B20" i="28"/>
  <c r="E20" i="28" s="1"/>
  <c r="F20" i="28" s="1"/>
  <c r="A20" i="28"/>
  <c r="I19" i="28"/>
  <c r="B19" i="28"/>
  <c r="A19" i="28"/>
  <c r="I18" i="28"/>
  <c r="B18" i="28"/>
  <c r="A18" i="28"/>
  <c r="I16" i="28"/>
  <c r="B16" i="28"/>
  <c r="A16" i="28"/>
  <c r="I15" i="28"/>
  <c r="B15" i="28"/>
  <c r="E15" i="28" s="1"/>
  <c r="A15" i="28"/>
  <c r="I14" i="28"/>
  <c r="B14" i="28"/>
  <c r="E14" i="28" s="1"/>
  <c r="A14" i="28"/>
  <c r="I13" i="28"/>
  <c r="I12" i="28"/>
  <c r="B12" i="28"/>
  <c r="I11" i="28"/>
  <c r="B11" i="28"/>
  <c r="I10" i="28"/>
  <c r="B10" i="28"/>
  <c r="A10" i="28"/>
  <c r="A11" i="28" s="1"/>
  <c r="A12" i="28" s="1"/>
  <c r="A13" i="28" s="1"/>
  <c r="A2" i="28"/>
  <c r="E15" i="32" l="1"/>
  <c r="F15" i="32" s="1"/>
  <c r="E19" i="32"/>
  <c r="F19" i="32" s="1"/>
  <c r="H37" i="32"/>
  <c r="I46" i="32" s="1"/>
  <c r="E20" i="32"/>
  <c r="F20" i="32" s="1"/>
  <c r="E13" i="31"/>
  <c r="E14" i="31"/>
  <c r="I17" i="28"/>
  <c r="G23" i="29"/>
  <c r="I9" i="28"/>
  <c r="I22" i="28"/>
  <c r="E18" i="28"/>
  <c r="F18" i="28" s="1"/>
  <c r="I35" i="28"/>
  <c r="I32" i="28" s="1"/>
  <c r="F15" i="28"/>
  <c r="E19" i="28"/>
  <c r="F19" i="28" s="1"/>
  <c r="E16" i="28"/>
  <c r="F16" i="28" s="1"/>
  <c r="H36" i="28"/>
  <c r="I36" i="28" s="1"/>
  <c r="F14" i="28"/>
  <c r="I47" i="32" l="1"/>
  <c r="I48" i="32" s="1"/>
  <c r="H100" i="2"/>
  <c r="H124" i="2" l="1"/>
  <c r="F34" i="27"/>
  <c r="F32" i="27"/>
  <c r="F30" i="27"/>
  <c r="F29" i="27"/>
  <c r="F27" i="27"/>
  <c r="E25" i="27"/>
  <c r="E26" i="27" s="1"/>
  <c r="F26" i="27" s="1"/>
  <c r="F24" i="27"/>
  <c r="F23" i="27"/>
  <c r="F22" i="27"/>
  <c r="F20" i="27"/>
  <c r="F19" i="27"/>
  <c r="F18" i="27"/>
  <c r="F17" i="27"/>
  <c r="F16" i="27"/>
  <c r="F15" i="27"/>
  <c r="F14" i="27"/>
  <c r="A8" i="27"/>
  <c r="F25" i="27" l="1"/>
  <c r="F117" i="2" l="1"/>
  <c r="H117" i="2" s="1"/>
  <c r="F116" i="2"/>
  <c r="H116" i="2" s="1"/>
  <c r="F118" i="2"/>
  <c r="H118" i="2" s="1"/>
  <c r="H113" i="2"/>
  <c r="H112" i="2" s="1"/>
  <c r="H111" i="2"/>
  <c r="H110" i="2"/>
  <c r="H108" i="2"/>
  <c r="H107" i="2" s="1"/>
  <c r="H106" i="2"/>
  <c r="H105" i="2"/>
  <c r="H104" i="2" l="1"/>
  <c r="H115" i="2"/>
  <c r="H114" i="2" s="1"/>
  <c r="H109" i="2"/>
  <c r="I25" i="22" l="1"/>
  <c r="B25" i="22"/>
  <c r="I24" i="22"/>
  <c r="B24" i="22"/>
  <c r="I23" i="22"/>
  <c r="B23" i="22"/>
  <c r="H101" i="2"/>
  <c r="H102" i="2"/>
  <c r="H103" i="2"/>
  <c r="H99" i="2" l="1"/>
  <c r="H98" i="2" s="1"/>
  <c r="H94" i="2"/>
  <c r="H95" i="2"/>
  <c r="H96" i="2"/>
  <c r="H97" i="2"/>
  <c r="H93" i="2"/>
  <c r="H83" i="2"/>
  <c r="H84" i="2"/>
  <c r="H85" i="2"/>
  <c r="H86" i="2"/>
  <c r="H87" i="2"/>
  <c r="H88" i="2"/>
  <c r="H89" i="2"/>
  <c r="H90" i="2"/>
  <c r="H91" i="2"/>
  <c r="H82" i="2"/>
  <c r="H73" i="2"/>
  <c r="H74" i="2"/>
  <c r="H75" i="2"/>
  <c r="H76" i="2"/>
  <c r="H77" i="2"/>
  <c r="H78" i="2"/>
  <c r="H79" i="2"/>
  <c r="H80" i="2"/>
  <c r="H72" i="2"/>
  <c r="H67" i="2"/>
  <c r="H81" i="2" l="1"/>
  <c r="H71" i="2"/>
  <c r="H92" i="2"/>
  <c r="H59" i="2" l="1"/>
  <c r="H60" i="2"/>
  <c r="H61" i="2"/>
  <c r="H62" i="2"/>
  <c r="H63" i="2"/>
  <c r="H64" i="2"/>
  <c r="H58" i="2"/>
  <c r="H56" i="2"/>
  <c r="H55" i="2"/>
  <c r="H54" i="2" s="1"/>
  <c r="H53" i="2"/>
  <c r="H52" i="2" s="1"/>
  <c r="H57" i="2" l="1"/>
  <c r="F70" i="2"/>
  <c r="H70" i="2" s="1"/>
  <c r="F69" i="2"/>
  <c r="H69" i="2" s="1"/>
  <c r="F68" i="2"/>
  <c r="H68" i="2" s="1"/>
  <c r="F66" i="2"/>
  <c r="H66" i="2" s="1"/>
  <c r="H46" i="2"/>
  <c r="H47" i="2"/>
  <c r="H48" i="2"/>
  <c r="H49" i="2"/>
  <c r="H50" i="2"/>
  <c r="H45" i="2"/>
  <c r="H40" i="2"/>
  <c r="H41" i="2"/>
  <c r="H42" i="2"/>
  <c r="H43" i="2"/>
  <c r="H39" i="2"/>
  <c r="H26" i="2"/>
  <c r="H27" i="2"/>
  <c r="H28" i="2"/>
  <c r="H29" i="2"/>
  <c r="H30" i="2"/>
  <c r="H31" i="2"/>
  <c r="H32" i="2"/>
  <c r="H33" i="2"/>
  <c r="H34" i="2"/>
  <c r="H35" i="2"/>
  <c r="H36" i="2"/>
  <c r="H37" i="2"/>
  <c r="H25" i="2"/>
  <c r="H18" i="2"/>
  <c r="H17" i="2"/>
  <c r="H15" i="2"/>
  <c r="F21" i="2"/>
  <c r="H21" i="2" s="1"/>
  <c r="F22" i="2"/>
  <c r="H22" i="2" s="1"/>
  <c r="F23" i="2"/>
  <c r="H23" i="2" s="1"/>
  <c r="F20" i="2"/>
  <c r="H20" i="2" s="1"/>
  <c r="H65" i="2" l="1"/>
  <c r="H51" i="2" s="1"/>
  <c r="H44" i="2"/>
  <c r="H16" i="2"/>
  <c r="H38" i="2"/>
  <c r="H24" i="2"/>
  <c r="H19" i="2"/>
  <c r="I18" i="22" l="1"/>
  <c r="D44" i="4" l="1"/>
  <c r="D42" i="4"/>
  <c r="C58" i="22" l="1"/>
  <c r="C57" i="22"/>
  <c r="C56" i="22"/>
  <c r="B28" i="22"/>
  <c r="I28" i="22" s="1"/>
  <c r="I27" i="22" s="1"/>
  <c r="B22" i="22"/>
  <c r="E22" i="22" s="1"/>
  <c r="B21" i="22"/>
  <c r="E21" i="22" s="1"/>
  <c r="I21" i="22" s="1"/>
  <c r="B16" i="22"/>
  <c r="I16" i="22" s="1"/>
  <c r="I15" i="22" s="1"/>
  <c r="A2" i="22"/>
  <c r="I22" i="22" l="1"/>
  <c r="I20" i="22" s="1"/>
  <c r="AD12" i="8" l="1"/>
  <c r="D18" i="11" l="1"/>
  <c r="F13" i="13" l="1"/>
  <c r="F38" i="13"/>
  <c r="F37" i="13"/>
  <c r="F33" i="13"/>
  <c r="F32" i="13"/>
  <c r="F30" i="13"/>
  <c r="F29" i="13"/>
  <c r="F28" i="13"/>
  <c r="F27" i="13"/>
  <c r="F23" i="13"/>
  <c r="F21" i="13"/>
  <c r="F20" i="13"/>
  <c r="F19" i="13"/>
  <c r="F17" i="13"/>
  <c r="F16" i="13"/>
  <c r="F14" i="13"/>
  <c r="F12" i="13"/>
  <c r="A2" i="13"/>
  <c r="B17" i="12"/>
  <c r="B7" i="12"/>
  <c r="C7" i="12" s="1"/>
  <c r="A2" i="12"/>
  <c r="G122" i="2"/>
  <c r="C46" i="11"/>
  <c r="C45" i="11"/>
  <c r="C44" i="11"/>
  <c r="B20" i="11"/>
  <c r="E20" i="11" s="1"/>
  <c r="I20" i="11" s="1"/>
  <c r="I19" i="11" s="1"/>
  <c r="B11" i="8"/>
  <c r="D8" i="7" s="1"/>
  <c r="B18" i="11"/>
  <c r="E18" i="11" s="1"/>
  <c r="I18" i="11" s="1"/>
  <c r="B17" i="11"/>
  <c r="E17" i="11" s="1"/>
  <c r="I17" i="11" s="1"/>
  <c r="B12" i="11"/>
  <c r="E12" i="11" s="1"/>
  <c r="I12" i="11" s="1"/>
  <c r="A2" i="11"/>
  <c r="A2" i="9"/>
  <c r="C9" i="7"/>
  <c r="C10" i="7"/>
  <c r="C11" i="7"/>
  <c r="C12" i="7"/>
  <c r="C13" i="7"/>
  <c r="C14" i="7"/>
  <c r="C15" i="7"/>
  <c r="C16" i="7"/>
  <c r="C17" i="7"/>
  <c r="C18" i="7"/>
  <c r="C19" i="7"/>
  <c r="C20" i="7"/>
  <c r="C21" i="7"/>
  <c r="C22" i="7"/>
  <c r="C23" i="7"/>
  <c r="C24" i="7"/>
  <c r="C25" i="7"/>
  <c r="C26" i="7"/>
  <c r="C27" i="7"/>
  <c r="C28" i="7"/>
  <c r="C29" i="7"/>
  <c r="C30" i="7"/>
  <c r="C31" i="7"/>
  <c r="C32" i="7"/>
  <c r="C33" i="7"/>
  <c r="C34" i="7"/>
  <c r="C35" i="7"/>
  <c r="C36" i="7"/>
  <c r="C37" i="7"/>
  <c r="C38" i="7"/>
  <c r="C39" i="7"/>
  <c r="C40" i="7"/>
  <c r="C41" i="7"/>
  <c r="C42" i="7"/>
  <c r="C43" i="7"/>
  <c r="C44" i="7"/>
  <c r="C45" i="7"/>
  <c r="C46" i="7"/>
  <c r="C47" i="7"/>
  <c r="C48" i="7"/>
  <c r="C49" i="7"/>
  <c r="C50" i="7"/>
  <c r="C51" i="7"/>
  <c r="C52" i="7"/>
  <c r="C53" i="7"/>
  <c r="C54" i="7"/>
  <c r="C55" i="7"/>
  <c r="C56" i="7"/>
  <c r="C57" i="7"/>
  <c r="C58" i="7"/>
  <c r="C59" i="7"/>
  <c r="C60" i="7"/>
  <c r="C61" i="7"/>
  <c r="B9" i="7"/>
  <c r="B10" i="7"/>
  <c r="B11" i="7"/>
  <c r="B12" i="7"/>
  <c r="B13" i="7"/>
  <c r="B14" i="7"/>
  <c r="B15" i="7"/>
  <c r="B16" i="7"/>
  <c r="B17" i="7"/>
  <c r="B18" i="7"/>
  <c r="B19" i="7"/>
  <c r="B20" i="7"/>
  <c r="B21" i="7"/>
  <c r="B22" i="7"/>
  <c r="B23" i="7"/>
  <c r="B24" i="7"/>
  <c r="B25" i="7"/>
  <c r="B26" i="7"/>
  <c r="B27" i="7"/>
  <c r="B28" i="7"/>
  <c r="B29" i="7"/>
  <c r="B30" i="7"/>
  <c r="B31" i="7"/>
  <c r="B32" i="7"/>
  <c r="B33" i="7"/>
  <c r="B34" i="7"/>
  <c r="B35" i="7"/>
  <c r="B36" i="7"/>
  <c r="B37" i="7"/>
  <c r="B38" i="7"/>
  <c r="B39" i="7"/>
  <c r="B40" i="7"/>
  <c r="B41" i="7"/>
  <c r="B42" i="7"/>
  <c r="B43" i="7"/>
  <c r="B44" i="7"/>
  <c r="B45" i="7"/>
  <c r="B46" i="7"/>
  <c r="B47" i="7"/>
  <c r="B48" i="7"/>
  <c r="B49" i="7"/>
  <c r="B50" i="7"/>
  <c r="B51" i="7"/>
  <c r="B52" i="7"/>
  <c r="B53" i="7"/>
  <c r="B54" i="7"/>
  <c r="B55" i="7"/>
  <c r="B56" i="7"/>
  <c r="B57" i="7"/>
  <c r="B58" i="7"/>
  <c r="B59" i="7"/>
  <c r="B60" i="7"/>
  <c r="B61" i="7"/>
  <c r="C8" i="7"/>
  <c r="B8" i="7"/>
  <c r="B27" i="8"/>
  <c r="C27" i="8"/>
  <c r="D27" i="8"/>
  <c r="E27" i="8"/>
  <c r="F27" i="8"/>
  <c r="G27" i="8"/>
  <c r="H27" i="8"/>
  <c r="J27" i="8"/>
  <c r="K27" i="8"/>
  <c r="Q27" i="8"/>
  <c r="T27" i="8"/>
  <c r="U27" i="8"/>
  <c r="AN27" i="8"/>
  <c r="AO27" i="8"/>
  <c r="AP27" i="8"/>
  <c r="AQ27" i="8"/>
  <c r="AR27" i="8"/>
  <c r="AS27" i="8"/>
  <c r="AT27" i="8"/>
  <c r="AU27" i="8"/>
  <c r="AV27" i="8"/>
  <c r="AW27" i="8"/>
  <c r="AX27" i="8"/>
  <c r="AY27" i="8"/>
  <c r="AZ27" i="8"/>
  <c r="BA27" i="8"/>
  <c r="BB27" i="8"/>
  <c r="C25" i="8"/>
  <c r="D25" i="8"/>
  <c r="E25" i="8"/>
  <c r="F25" i="8"/>
  <c r="G25" i="8"/>
  <c r="H25" i="8"/>
  <c r="I25" i="8"/>
  <c r="J25" i="8"/>
  <c r="K25" i="8"/>
  <c r="L25" i="8"/>
  <c r="M25" i="8"/>
  <c r="N25" i="8"/>
  <c r="O25" i="8"/>
  <c r="P25" i="8"/>
  <c r="Q25" i="8"/>
  <c r="R25" i="8"/>
  <c r="S25" i="8"/>
  <c r="T25" i="8"/>
  <c r="U25" i="8"/>
  <c r="V25" i="8"/>
  <c r="W25" i="8"/>
  <c r="X25" i="8"/>
  <c r="Y25" i="8"/>
  <c r="Z25" i="8"/>
  <c r="AA25" i="8"/>
  <c r="AB25" i="8"/>
  <c r="AC25" i="8"/>
  <c r="AD25" i="8"/>
  <c r="AE25" i="8"/>
  <c r="AF25" i="8"/>
  <c r="AG25" i="8"/>
  <c r="AH25" i="8"/>
  <c r="AI25" i="8"/>
  <c r="AJ25" i="8"/>
  <c r="AK25" i="8"/>
  <c r="AL25" i="8"/>
  <c r="AM25" i="8"/>
  <c r="AN25" i="8"/>
  <c r="AO25" i="8"/>
  <c r="AP25" i="8"/>
  <c r="AQ25" i="8"/>
  <c r="AR25" i="8"/>
  <c r="AS25" i="8"/>
  <c r="AT25" i="8"/>
  <c r="AU25" i="8"/>
  <c r="AV25" i="8"/>
  <c r="AW25" i="8"/>
  <c r="AX25" i="8"/>
  <c r="AY25" i="8"/>
  <c r="AZ25" i="8"/>
  <c r="BA25" i="8"/>
  <c r="BB25" i="8"/>
  <c r="BC25" i="8"/>
  <c r="BD25" i="8"/>
  <c r="BE25" i="8"/>
  <c r="C24" i="8"/>
  <c r="D24" i="8"/>
  <c r="E24" i="8"/>
  <c r="F24" i="8"/>
  <c r="G24" i="8"/>
  <c r="H24" i="8"/>
  <c r="I24" i="8"/>
  <c r="J24" i="8"/>
  <c r="K24" i="8"/>
  <c r="L24" i="8"/>
  <c r="M24" i="8"/>
  <c r="N24" i="8"/>
  <c r="O24" i="8"/>
  <c r="P24" i="8"/>
  <c r="Q24" i="8"/>
  <c r="R24" i="8"/>
  <c r="S24" i="8"/>
  <c r="T24" i="8"/>
  <c r="U24" i="8"/>
  <c r="V24" i="8"/>
  <c r="W24" i="8"/>
  <c r="X24" i="8"/>
  <c r="Y24" i="8"/>
  <c r="Z24" i="8"/>
  <c r="AA24" i="8"/>
  <c r="AB24" i="8"/>
  <c r="AC24" i="8"/>
  <c r="AD24" i="8"/>
  <c r="AE24" i="8"/>
  <c r="AF24" i="8"/>
  <c r="AG24" i="8"/>
  <c r="AH24" i="8"/>
  <c r="AI24" i="8"/>
  <c r="AJ24" i="8"/>
  <c r="AK24" i="8"/>
  <c r="AL24" i="8"/>
  <c r="AM24" i="8"/>
  <c r="AN24" i="8"/>
  <c r="AO24" i="8"/>
  <c r="AP24" i="8"/>
  <c r="AQ24" i="8"/>
  <c r="AR24" i="8"/>
  <c r="AS24" i="8"/>
  <c r="AT24" i="8"/>
  <c r="AU24" i="8"/>
  <c r="AV24" i="8"/>
  <c r="AW24" i="8"/>
  <c r="AX24" i="8"/>
  <c r="AY24" i="8"/>
  <c r="AZ24" i="8"/>
  <c r="BA24" i="8"/>
  <c r="BB24" i="8"/>
  <c r="BC24" i="8"/>
  <c r="BD24" i="8"/>
  <c r="BE24" i="8"/>
  <c r="C20" i="8"/>
  <c r="D20" i="8"/>
  <c r="E20" i="8"/>
  <c r="F20" i="8"/>
  <c r="G20" i="8"/>
  <c r="H20" i="8"/>
  <c r="I20" i="8"/>
  <c r="J20" i="8"/>
  <c r="K20" i="8"/>
  <c r="L20" i="8"/>
  <c r="M20" i="8"/>
  <c r="N20" i="8"/>
  <c r="O20" i="8"/>
  <c r="P20" i="8"/>
  <c r="Q20" i="8"/>
  <c r="R20" i="8"/>
  <c r="S20" i="8"/>
  <c r="T20" i="8"/>
  <c r="U20" i="8"/>
  <c r="V20" i="8"/>
  <c r="W20" i="8"/>
  <c r="X20" i="8"/>
  <c r="Y20" i="8"/>
  <c r="Z20" i="8"/>
  <c r="AA20" i="8"/>
  <c r="AB20" i="8"/>
  <c r="AC20" i="8"/>
  <c r="AD20" i="8"/>
  <c r="AE20" i="8"/>
  <c r="AF20" i="8"/>
  <c r="AG20" i="8"/>
  <c r="AH20" i="8"/>
  <c r="AI20" i="8"/>
  <c r="AJ20" i="8"/>
  <c r="AK20" i="8"/>
  <c r="AL20" i="8"/>
  <c r="AM20" i="8"/>
  <c r="AN20" i="8"/>
  <c r="AO20" i="8"/>
  <c r="AP20" i="8"/>
  <c r="AQ20" i="8"/>
  <c r="AR20" i="8"/>
  <c r="AS20" i="8"/>
  <c r="AT20" i="8"/>
  <c r="AU20" i="8"/>
  <c r="AV20" i="8"/>
  <c r="AW20" i="8"/>
  <c r="AX20" i="8"/>
  <c r="AY20" i="8"/>
  <c r="AZ20" i="8"/>
  <c r="BA20" i="8"/>
  <c r="BB20" i="8"/>
  <c r="BC20" i="8"/>
  <c r="BD20" i="8"/>
  <c r="BE20" i="8"/>
  <c r="C19" i="8"/>
  <c r="D19" i="8"/>
  <c r="E19" i="8"/>
  <c r="F19" i="8"/>
  <c r="G19" i="8"/>
  <c r="H19" i="8"/>
  <c r="I19" i="8"/>
  <c r="J19" i="8"/>
  <c r="K19" i="8"/>
  <c r="L19" i="8"/>
  <c r="M19" i="8"/>
  <c r="N19" i="8"/>
  <c r="O19" i="8"/>
  <c r="P19" i="8"/>
  <c r="Q19" i="8"/>
  <c r="R19" i="8"/>
  <c r="S19" i="8"/>
  <c r="T19" i="8"/>
  <c r="U19" i="8"/>
  <c r="V19" i="8"/>
  <c r="W19" i="8"/>
  <c r="X19" i="8"/>
  <c r="Y19" i="8"/>
  <c r="Z19" i="8"/>
  <c r="AA19" i="8"/>
  <c r="AB19" i="8"/>
  <c r="AC19" i="8"/>
  <c r="AD19" i="8"/>
  <c r="AE19" i="8"/>
  <c r="AF19" i="8"/>
  <c r="AG19" i="8"/>
  <c r="AH19" i="8"/>
  <c r="AI19" i="8"/>
  <c r="AJ19" i="8"/>
  <c r="AK19" i="8"/>
  <c r="AL19" i="8"/>
  <c r="AM19" i="8"/>
  <c r="AN19" i="8"/>
  <c r="AO19" i="8"/>
  <c r="AP19" i="8"/>
  <c r="AQ19" i="8"/>
  <c r="AR19" i="8"/>
  <c r="AS19" i="8"/>
  <c r="AT19" i="8"/>
  <c r="AU19" i="8"/>
  <c r="AV19" i="8"/>
  <c r="AW19" i="8"/>
  <c r="AX19" i="8"/>
  <c r="AY19" i="8"/>
  <c r="AZ19" i="8"/>
  <c r="BA19" i="8"/>
  <c r="BB19" i="8"/>
  <c r="BC19" i="8"/>
  <c r="BD19" i="8"/>
  <c r="BE19" i="8"/>
  <c r="B19" i="8"/>
  <c r="C12" i="8"/>
  <c r="C14" i="8" s="1"/>
  <c r="D12" i="8"/>
  <c r="D14" i="8" s="1"/>
  <c r="E12" i="8"/>
  <c r="E14" i="8" s="1"/>
  <c r="F12" i="8"/>
  <c r="F14" i="8" s="1"/>
  <c r="G12" i="8"/>
  <c r="G14" i="8" s="1"/>
  <c r="H12" i="8"/>
  <c r="H14" i="8" s="1"/>
  <c r="I12" i="8"/>
  <c r="J12" i="8"/>
  <c r="J14" i="8" s="1"/>
  <c r="K12" i="8"/>
  <c r="K14" i="8" s="1"/>
  <c r="L12" i="8"/>
  <c r="L14" i="8" s="1"/>
  <c r="M12" i="8"/>
  <c r="M14" i="8" s="1"/>
  <c r="N12" i="8"/>
  <c r="N14" i="8" s="1"/>
  <c r="O12" i="8"/>
  <c r="O14" i="8" s="1"/>
  <c r="P12" i="8"/>
  <c r="P14" i="8" s="1"/>
  <c r="Q12" i="8"/>
  <c r="Q14" i="8" s="1"/>
  <c r="R12" i="8"/>
  <c r="R14" i="8" s="1"/>
  <c r="S12" i="8"/>
  <c r="S14" i="8" s="1"/>
  <c r="T12" i="8"/>
  <c r="U12" i="8"/>
  <c r="U14" i="8" s="1"/>
  <c r="V12" i="8"/>
  <c r="V14" i="8" s="1"/>
  <c r="W12" i="8"/>
  <c r="W14" i="8" s="1"/>
  <c r="X12" i="8"/>
  <c r="X14" i="8" s="1"/>
  <c r="Y12" i="8"/>
  <c r="Y14" i="8" s="1"/>
  <c r="Z12" i="8"/>
  <c r="Z14" i="8" s="1"/>
  <c r="AA12" i="8"/>
  <c r="AA14" i="8" s="1"/>
  <c r="AB12" i="8"/>
  <c r="AB14" i="8" s="1"/>
  <c r="AC12" i="8"/>
  <c r="AC14" i="8" s="1"/>
  <c r="AE12" i="8"/>
  <c r="AE14" i="8" s="1"/>
  <c r="AF12" i="8"/>
  <c r="AF14" i="8" s="1"/>
  <c r="AG12" i="8"/>
  <c r="AG14" i="8" s="1"/>
  <c r="AH12" i="8"/>
  <c r="AI12" i="8"/>
  <c r="AI14" i="8" s="1"/>
  <c r="AJ12" i="8"/>
  <c r="AJ14" i="8" s="1"/>
  <c r="AK12" i="8"/>
  <c r="AK14" i="8" s="1"/>
  <c r="AL12" i="8"/>
  <c r="AL14" i="8" s="1"/>
  <c r="AM12" i="8"/>
  <c r="AM14" i="8" s="1"/>
  <c r="AN12" i="8"/>
  <c r="AN14" i="8" s="1"/>
  <c r="AO12" i="8"/>
  <c r="AO14" i="8" s="1"/>
  <c r="AP12" i="8"/>
  <c r="AP14" i="8" s="1"/>
  <c r="AQ12" i="8"/>
  <c r="AQ14" i="8" s="1"/>
  <c r="AR12" i="8"/>
  <c r="AS12" i="8"/>
  <c r="AS14" i="8" s="1"/>
  <c r="AT12" i="8"/>
  <c r="AT14" i="8" s="1"/>
  <c r="AU12" i="8"/>
  <c r="AU14" i="8" s="1"/>
  <c r="AV12" i="8"/>
  <c r="AV14" i="8" s="1"/>
  <c r="AW12" i="8"/>
  <c r="AW14" i="8" s="1"/>
  <c r="AX12" i="8"/>
  <c r="AX14" i="8" s="1"/>
  <c r="AY12" i="8"/>
  <c r="AY14" i="8" s="1"/>
  <c r="AZ12" i="8"/>
  <c r="AZ14" i="8" s="1"/>
  <c r="BA12" i="8"/>
  <c r="BA14" i="8" s="1"/>
  <c r="BB12" i="8"/>
  <c r="BC12" i="8"/>
  <c r="BD12" i="8"/>
  <c r="BD14" i="8" s="1"/>
  <c r="BE12" i="8"/>
  <c r="BE14" i="8" s="1"/>
  <c r="C11" i="8"/>
  <c r="C13" i="8" s="1"/>
  <c r="D11" i="8"/>
  <c r="D13" i="8" s="1"/>
  <c r="D30" i="8" s="1"/>
  <c r="F10" i="7" s="1"/>
  <c r="E11" i="8"/>
  <c r="D11" i="7" s="1"/>
  <c r="F11" i="8"/>
  <c r="D12" i="7" s="1"/>
  <c r="G11" i="8"/>
  <c r="H11" i="8"/>
  <c r="H13" i="8" s="1"/>
  <c r="H30" i="8" s="1"/>
  <c r="F14" i="7" s="1"/>
  <c r="I11" i="8"/>
  <c r="D15" i="7" s="1"/>
  <c r="J11" i="8"/>
  <c r="D16" i="7" s="1"/>
  <c r="K11" i="8"/>
  <c r="K13" i="8" s="1"/>
  <c r="L11" i="8"/>
  <c r="D18" i="7" s="1"/>
  <c r="M11" i="8"/>
  <c r="D19" i="7" s="1"/>
  <c r="N11" i="8"/>
  <c r="D20" i="7" s="1"/>
  <c r="O11" i="8"/>
  <c r="O13" i="8" s="1"/>
  <c r="P11" i="8"/>
  <c r="P13" i="8" s="1"/>
  <c r="Q11" i="8"/>
  <c r="Q13" i="8" s="1"/>
  <c r="Q30" i="8" s="1"/>
  <c r="F23" i="7" s="1"/>
  <c r="R11" i="8"/>
  <c r="D24" i="7" s="1"/>
  <c r="S11" i="8"/>
  <c r="S13" i="8" s="1"/>
  <c r="T11" i="8"/>
  <c r="D26" i="7" s="1"/>
  <c r="U11" i="8"/>
  <c r="D27" i="7" s="1"/>
  <c r="V11" i="8"/>
  <c r="D28" i="7" s="1"/>
  <c r="W11" i="8"/>
  <c r="X11" i="8"/>
  <c r="X18" i="8" s="1"/>
  <c r="Y11" i="8"/>
  <c r="Y13" i="8" s="1"/>
  <c r="Y30" i="8" s="1"/>
  <c r="F31" i="7" s="1"/>
  <c r="Z11" i="8"/>
  <c r="AA11" i="8"/>
  <c r="AB11" i="8"/>
  <c r="AB13" i="8" s="1"/>
  <c r="F34" i="7" s="1"/>
  <c r="AC11" i="8"/>
  <c r="AC13" i="8" s="1"/>
  <c r="AD11" i="8"/>
  <c r="AD13" i="8" s="1"/>
  <c r="F36" i="7" s="1"/>
  <c r="AE11" i="8"/>
  <c r="AE13" i="8" s="1"/>
  <c r="AF11" i="8"/>
  <c r="D38" i="7" s="1"/>
  <c r="AG11" i="8"/>
  <c r="AG13" i="8" s="1"/>
  <c r="AH11" i="8"/>
  <c r="AH13" i="8" s="1"/>
  <c r="AI11" i="8"/>
  <c r="AI13" i="8" s="1"/>
  <c r="AJ11" i="8"/>
  <c r="D42" i="7" s="1"/>
  <c r="AK11" i="8"/>
  <c r="AL11" i="8"/>
  <c r="D44" i="7" s="1"/>
  <c r="AM11" i="8"/>
  <c r="AM13" i="8" s="1"/>
  <c r="AM30" i="8" s="1"/>
  <c r="F45" i="7" s="1"/>
  <c r="AN11" i="8"/>
  <c r="D46" i="7" s="1"/>
  <c r="AO11" i="8"/>
  <c r="AO13" i="8" s="1"/>
  <c r="AO21" i="8" s="1"/>
  <c r="AP11" i="8"/>
  <c r="D48" i="7" s="1"/>
  <c r="AQ11" i="8"/>
  <c r="AR11" i="8"/>
  <c r="AR13" i="8" s="1"/>
  <c r="AS11" i="8"/>
  <c r="AT11" i="8"/>
  <c r="D52" i="7" s="1"/>
  <c r="AU11" i="8"/>
  <c r="AU13" i="8" s="1"/>
  <c r="AV11" i="8"/>
  <c r="AV13" i="8" s="1"/>
  <c r="AV30" i="8" s="1"/>
  <c r="F54" i="7" s="1"/>
  <c r="AW11" i="8"/>
  <c r="D55" i="7" s="1"/>
  <c r="AX11" i="8"/>
  <c r="AY11" i="8"/>
  <c r="AZ11" i="8"/>
  <c r="BA11" i="8"/>
  <c r="BA13" i="8" s="1"/>
  <c r="BB11" i="8"/>
  <c r="BB13" i="8" s="1"/>
  <c r="BC11" i="8"/>
  <c r="BC13" i="8" s="1"/>
  <c r="BD11" i="8"/>
  <c r="BE11" i="8"/>
  <c r="F69" i="8"/>
  <c r="F68" i="8"/>
  <c r="F67" i="8"/>
  <c r="F66" i="8"/>
  <c r="F65" i="8"/>
  <c r="F64" i="8"/>
  <c r="F63" i="8"/>
  <c r="F58" i="8"/>
  <c r="F57" i="8"/>
  <c r="F56" i="8"/>
  <c r="F55" i="8"/>
  <c r="F54" i="8"/>
  <c r="F53" i="8"/>
  <c r="F52" i="8"/>
  <c r="F51" i="8"/>
  <c r="F50" i="8"/>
  <c r="F49" i="8"/>
  <c r="F48" i="8"/>
  <c r="C41" i="8"/>
  <c r="C43" i="8" s="1"/>
  <c r="V27" i="8" s="1"/>
  <c r="F37" i="7"/>
  <c r="D51" i="7"/>
  <c r="D60" i="7"/>
  <c r="B25" i="8"/>
  <c r="B24" i="8"/>
  <c r="B20" i="8"/>
  <c r="B12" i="8"/>
  <c r="B14" i="8" s="1"/>
  <c r="P2" i="8"/>
  <c r="AD2" i="8"/>
  <c r="AR2" i="8"/>
  <c r="B2" i="8"/>
  <c r="A2" i="7"/>
  <c r="A2" i="2"/>
  <c r="A2" i="4"/>
  <c r="B8" i="4"/>
  <c r="B3" i="1"/>
  <c r="B17" i="1"/>
  <c r="B13" i="22" l="1"/>
  <c r="E13" i="22"/>
  <c r="B12" i="22"/>
  <c r="B11" i="22"/>
  <c r="E11" i="22" s="1"/>
  <c r="AS18" i="8"/>
  <c r="AP13" i="8"/>
  <c r="BE17" i="8"/>
  <c r="AA17" i="8"/>
  <c r="K15" i="8"/>
  <c r="K16" i="8" s="1"/>
  <c r="AP23" i="8"/>
  <c r="U13" i="8"/>
  <c r="U23" i="8" s="1"/>
  <c r="D37" i="7"/>
  <c r="BE13" i="8"/>
  <c r="BE21" i="8" s="1"/>
  <c r="M13" i="8"/>
  <c r="M22" i="8" s="1"/>
  <c r="P3" i="8"/>
  <c r="D40" i="7"/>
  <c r="AY17" i="8"/>
  <c r="W17" i="8"/>
  <c r="A3" i="9"/>
  <c r="D22" i="7"/>
  <c r="A3" i="12"/>
  <c r="B15" i="11"/>
  <c r="E15" i="11" s="1"/>
  <c r="I15" i="11" s="1"/>
  <c r="X27" i="8"/>
  <c r="D25" i="7"/>
  <c r="AX17" i="8"/>
  <c r="Z17" i="8"/>
  <c r="AE17" i="8"/>
  <c r="D14" i="7"/>
  <c r="J13" i="8"/>
  <c r="J30" i="8" s="1"/>
  <c r="F16" i="7" s="1"/>
  <c r="BB18" i="8"/>
  <c r="H23" i="8"/>
  <c r="H17" i="8"/>
  <c r="AR3" i="8"/>
  <c r="B13" i="8"/>
  <c r="B30" i="8" s="1"/>
  <c r="F8" i="7" s="1"/>
  <c r="U30" i="8"/>
  <c r="F27" i="7" s="1"/>
  <c r="T17" i="8"/>
  <c r="D56" i="7"/>
  <c r="D53" i="7"/>
  <c r="AL17" i="8"/>
  <c r="V13" i="8"/>
  <c r="V22" i="8" s="1"/>
  <c r="D59" i="7"/>
  <c r="S15" i="8"/>
  <c r="S16" i="8" s="1"/>
  <c r="D33" i="7"/>
  <c r="K17" i="8"/>
  <c r="D17" i="8"/>
  <c r="AL13" i="8"/>
  <c r="AL30" i="8" s="1"/>
  <c r="F44" i="7" s="1"/>
  <c r="D61" i="7"/>
  <c r="AQ18" i="8"/>
  <c r="A3" i="22"/>
  <c r="F13" i="8"/>
  <c r="F15" i="8" s="1"/>
  <c r="F16" i="8" s="1"/>
  <c r="BB17" i="8"/>
  <c r="R17" i="8"/>
  <c r="AU22" i="8"/>
  <c r="D21" i="7"/>
  <c r="AT18" i="8"/>
  <c r="AE18" i="8"/>
  <c r="AS17" i="8"/>
  <c r="D17" i="7"/>
  <c r="AG17" i="8"/>
  <c r="BA22" i="8"/>
  <c r="B18" i="22"/>
  <c r="B19" i="22"/>
  <c r="E19" i="22" s="1"/>
  <c r="I19" i="22" s="1"/>
  <c r="J17" i="8"/>
  <c r="AO18" i="8"/>
  <c r="D39" i="7"/>
  <c r="AZ17" i="8"/>
  <c r="E18" i="8"/>
  <c r="B9" i="22"/>
  <c r="B10" i="22"/>
  <c r="E10" i="22" s="1"/>
  <c r="AG18" i="8"/>
  <c r="AB22" i="8"/>
  <c r="BE18" i="8"/>
  <c r="AP21" i="8"/>
  <c r="U18" i="8"/>
  <c r="U15" i="8"/>
  <c r="U16" i="8" s="1"/>
  <c r="F17" i="8"/>
  <c r="O17" i="8"/>
  <c r="H18" i="8"/>
  <c r="AX18" i="8"/>
  <c r="P15" i="8"/>
  <c r="P16" i="8" s="1"/>
  <c r="AB17" i="8"/>
  <c r="G17" i="8"/>
  <c r="G18" i="8"/>
  <c r="P17" i="8"/>
  <c r="X17" i="8"/>
  <c r="AB18" i="8"/>
  <c r="AK18" i="8"/>
  <c r="U17" i="8"/>
  <c r="M17" i="8"/>
  <c r="O18" i="8"/>
  <c r="AV17" i="8"/>
  <c r="AJ17" i="8"/>
  <c r="T18" i="8"/>
  <c r="AG21" i="8"/>
  <c r="AG15" i="8"/>
  <c r="AG16" i="8" s="1"/>
  <c r="AT17" i="8"/>
  <c r="AT13" i="8"/>
  <c r="AT30" i="8" s="1"/>
  <c r="F52" i="7" s="1"/>
  <c r="O23" i="8"/>
  <c r="D9" i="7"/>
  <c r="Y23" i="8"/>
  <c r="BC18" i="8"/>
  <c r="Y18" i="8"/>
  <c r="J15" i="8"/>
  <c r="J16" i="8" s="1"/>
  <c r="AE22" i="8"/>
  <c r="P22" i="8"/>
  <c r="AS13" i="8"/>
  <c r="AS30" i="8" s="1"/>
  <c r="F51" i="7" s="1"/>
  <c r="AM17" i="8"/>
  <c r="AM23" i="8"/>
  <c r="AV18" i="8"/>
  <c r="AP30" i="8"/>
  <c r="F48" i="7" s="1"/>
  <c r="BA18" i="8"/>
  <c r="AA13" i="8"/>
  <c r="AA15" i="8" s="1"/>
  <c r="AA16" i="8" s="1"/>
  <c r="AD17" i="8"/>
  <c r="D45" i="7"/>
  <c r="Q17" i="8"/>
  <c r="AN13" i="8"/>
  <c r="D21" i="8"/>
  <c r="D23" i="8"/>
  <c r="D15" i="8"/>
  <c r="D16" i="8" s="1"/>
  <c r="AL22" i="8"/>
  <c r="AD14" i="8"/>
  <c r="AD22" i="8" s="1"/>
  <c r="S21" i="8"/>
  <c r="AF18" i="8"/>
  <c r="S18" i="8"/>
  <c r="AH27" i="8"/>
  <c r="F59" i="8"/>
  <c r="AG28" i="8" s="1"/>
  <c r="AH17" i="8"/>
  <c r="BC14" i="8"/>
  <c r="BC23" i="8" s="1"/>
  <c r="E13" i="8"/>
  <c r="E22" i="8" s="1"/>
  <c r="F18" i="8"/>
  <c r="BA17" i="8"/>
  <c r="BC17" i="8"/>
  <c r="AN17" i="8"/>
  <c r="Q18" i="8"/>
  <c r="AK17" i="8"/>
  <c r="D36" i="7"/>
  <c r="AR18" i="8"/>
  <c r="D58" i="7"/>
  <c r="AH18" i="8"/>
  <c r="V17" i="8"/>
  <c r="AJ13" i="8"/>
  <c r="AK27" i="8"/>
  <c r="AD3" i="8"/>
  <c r="C17" i="8"/>
  <c r="G13" i="8"/>
  <c r="G30" i="8" s="1"/>
  <c r="F13" i="7" s="1"/>
  <c r="D43" i="7"/>
  <c r="Y17" i="8"/>
  <c r="V18" i="8"/>
  <c r="AP18" i="8"/>
  <c r="AH30" i="8"/>
  <c r="F40" i="7" s="1"/>
  <c r="AG23" i="8"/>
  <c r="AX13" i="8"/>
  <c r="AX21" i="8" s="1"/>
  <c r="AP17" i="8"/>
  <c r="R27" i="8"/>
  <c r="F70" i="8"/>
  <c r="B28" i="8" s="1"/>
  <c r="T13" i="8"/>
  <c r="T30" i="8" s="1"/>
  <c r="F26" i="7" s="1"/>
  <c r="P18" i="8"/>
  <c r="A3" i="7"/>
  <c r="A3" i="13"/>
  <c r="D13" i="7"/>
  <c r="AK13" i="8"/>
  <c r="AK30" i="8" s="1"/>
  <c r="F43" i="7" s="1"/>
  <c r="AN18" i="8"/>
  <c r="D31" i="7"/>
  <c r="M18" i="8"/>
  <c r="AJ18" i="8"/>
  <c r="Y27" i="8"/>
  <c r="D50" i="7"/>
  <c r="AF13" i="8"/>
  <c r="AF21" i="8" s="1"/>
  <c r="N13" i="8"/>
  <c r="N15" i="8" s="1"/>
  <c r="N16" i="8" s="1"/>
  <c r="AR17" i="8"/>
  <c r="T14" i="8"/>
  <c r="B3" i="8"/>
  <c r="D18" i="8"/>
  <c r="L18" i="8"/>
  <c r="AD18" i="8"/>
  <c r="D30" i="7"/>
  <c r="AZ18" i="8"/>
  <c r="J18" i="8"/>
  <c r="AA18" i="8"/>
  <c r="BB30" i="8"/>
  <c r="F60" i="7" s="1"/>
  <c r="W27" i="8"/>
  <c r="AE21" i="8"/>
  <c r="X13" i="8"/>
  <c r="R13" i="8"/>
  <c r="R30" i="8" s="1"/>
  <c r="F24" i="7" s="1"/>
  <c r="BB14" i="8"/>
  <c r="BB23" i="8" s="1"/>
  <c r="AF17" i="8"/>
  <c r="N17" i="8"/>
  <c r="L27" i="8"/>
  <c r="BA23" i="8"/>
  <c r="L13" i="8"/>
  <c r="L22" i="8" s="1"/>
  <c r="I27" i="8"/>
  <c r="S30" i="8"/>
  <c r="F25" i="7" s="1"/>
  <c r="N18" i="8"/>
  <c r="S17" i="8"/>
  <c r="A3" i="4"/>
  <c r="A3" i="11"/>
  <c r="O22" i="8"/>
  <c r="U21" i="8"/>
  <c r="E17" i="8"/>
  <c r="AM18" i="8"/>
  <c r="D54" i="7"/>
  <c r="AW18" i="8"/>
  <c r="R18" i="8"/>
  <c r="C18" i="8"/>
  <c r="BA21" i="8"/>
  <c r="BC27" i="8"/>
  <c r="AC23" i="8"/>
  <c r="K23" i="8"/>
  <c r="D10" i="7"/>
  <c r="AV23" i="8"/>
  <c r="AH14" i="8"/>
  <c r="AH23" i="8" s="1"/>
  <c r="AD28" i="8"/>
  <c r="X28" i="8"/>
  <c r="U28" i="8"/>
  <c r="AI30" i="8"/>
  <c r="F41" i="7" s="1"/>
  <c r="AI15" i="8"/>
  <c r="AI16" i="8" s="1"/>
  <c r="AI22" i="8"/>
  <c r="AI21" i="8"/>
  <c r="AI23" i="8"/>
  <c r="U22" i="8"/>
  <c r="AG22" i="8"/>
  <c r="S22" i="8"/>
  <c r="N22" i="8"/>
  <c r="AP22" i="8"/>
  <c r="AL15" i="8"/>
  <c r="AL16" i="8" s="1"/>
  <c r="M15" i="8"/>
  <c r="M16" i="8" s="1"/>
  <c r="AC17" i="8"/>
  <c r="AY18" i="8"/>
  <c r="H15" i="8"/>
  <c r="BE30" i="8"/>
  <c r="BE23" i="8"/>
  <c r="AU23" i="8"/>
  <c r="AU15" i="8"/>
  <c r="F35" i="7"/>
  <c r="AB23" i="8"/>
  <c r="AR30" i="8"/>
  <c r="F50" i="7" s="1"/>
  <c r="D35" i="7"/>
  <c r="AQ17" i="8"/>
  <c r="H21" i="8"/>
  <c r="AO23" i="8"/>
  <c r="Q23" i="8"/>
  <c r="P27" i="8"/>
  <c r="AY13" i="8"/>
  <c r="AU17" i="8"/>
  <c r="BD13" i="8"/>
  <c r="BD18" i="8"/>
  <c r="AI17" i="8"/>
  <c r="D41" i="7"/>
  <c r="W13" i="8"/>
  <c r="D29" i="7"/>
  <c r="AC15" i="8"/>
  <c r="AC16" i="8" s="1"/>
  <c r="AX30" i="8"/>
  <c r="F56" i="7" s="1"/>
  <c r="BD17" i="8"/>
  <c r="AE23" i="8"/>
  <c r="AR14" i="8"/>
  <c r="AR21" i="8" s="1"/>
  <c r="AV21" i="8"/>
  <c r="AO30" i="8"/>
  <c r="F47" i="7" s="1"/>
  <c r="Q15" i="8"/>
  <c r="Q16" i="8" s="1"/>
  <c r="AU30" i="8"/>
  <c r="F53" i="7" s="1"/>
  <c r="AB27" i="8"/>
  <c r="AD27" i="8"/>
  <c r="AF27" i="8"/>
  <c r="AI27" i="8"/>
  <c r="AL27" i="8"/>
  <c r="BD27" i="8"/>
  <c r="O27" i="8"/>
  <c r="AJ27" i="8"/>
  <c r="AM27" i="8"/>
  <c r="AE27" i="8"/>
  <c r="Z27" i="8"/>
  <c r="BC30" i="8"/>
  <c r="F61" i="7" s="1"/>
  <c r="AB21" i="8"/>
  <c r="AC22" i="8"/>
  <c r="AV22" i="8"/>
  <c r="K22" i="8"/>
  <c r="AO22" i="8"/>
  <c r="Y22" i="8"/>
  <c r="Q22" i="8"/>
  <c r="AC21" i="8"/>
  <c r="AO17" i="8"/>
  <c r="K30" i="8"/>
  <c r="F17" i="7" s="1"/>
  <c r="D57" i="7"/>
  <c r="AH15" i="8"/>
  <c r="AH16" i="8" s="1"/>
  <c r="AP15" i="8"/>
  <c r="J21" i="8"/>
  <c r="BA30" i="8"/>
  <c r="F59" i="7" s="1"/>
  <c r="P21" i="8"/>
  <c r="AO15" i="8"/>
  <c r="AO16" i="8" s="1"/>
  <c r="Q21" i="8"/>
  <c r="N27" i="8"/>
  <c r="AC27" i="8"/>
  <c r="AE15" i="8"/>
  <c r="B14" i="11"/>
  <c r="E14" i="11" s="1"/>
  <c r="I14" i="11" s="1"/>
  <c r="AU21" i="8"/>
  <c r="D47" i="7"/>
  <c r="BA15" i="8"/>
  <c r="BA16" i="8" s="1"/>
  <c r="P23" i="8"/>
  <c r="BE27" i="8"/>
  <c r="S27" i="8"/>
  <c r="O21" i="8"/>
  <c r="AW13" i="8"/>
  <c r="AM21" i="8"/>
  <c r="AM15" i="8"/>
  <c r="O15" i="8"/>
  <c r="G22" i="8"/>
  <c r="BE22" i="8"/>
  <c r="J22" i="8"/>
  <c r="H22" i="8"/>
  <c r="D22" i="8"/>
  <c r="AM22" i="8"/>
  <c r="Z13" i="8"/>
  <c r="Z18" i="8"/>
  <c r="N23" i="8"/>
  <c r="N30" i="8"/>
  <c r="F20" i="7" s="1"/>
  <c r="B9" i="11"/>
  <c r="A3" i="2"/>
  <c r="G23" i="8"/>
  <c r="D49" i="7"/>
  <c r="W18" i="8"/>
  <c r="AU18" i="8"/>
  <c r="K21" i="8"/>
  <c r="AB15" i="8"/>
  <c r="AB16" i="8" s="1"/>
  <c r="AL18" i="8"/>
  <c r="L17" i="8"/>
  <c r="AW17" i="8"/>
  <c r="AC18" i="8"/>
  <c r="D32" i="7"/>
  <c r="D34" i="7"/>
  <c r="AI18" i="8"/>
  <c r="P30" i="8"/>
  <c r="F22" i="7" s="1"/>
  <c r="BE15" i="8"/>
  <c r="M27" i="8"/>
  <c r="AA27" i="8"/>
  <c r="O30" i="8"/>
  <c r="F21" i="7" s="1"/>
  <c r="AV15" i="8"/>
  <c r="AV16" i="8" s="1"/>
  <c r="AQ13" i="8"/>
  <c r="Y21" i="8"/>
  <c r="Y15" i="8"/>
  <c r="S23" i="8"/>
  <c r="D23" i="7"/>
  <c r="AZ13" i="8"/>
  <c r="K18" i="8"/>
  <c r="E14" i="12"/>
  <c r="E13" i="12"/>
  <c r="E12" i="12"/>
  <c r="E17" i="12"/>
  <c r="F34" i="13"/>
  <c r="F39" i="13"/>
  <c r="F24" i="13"/>
  <c r="I16" i="11"/>
  <c r="I17" i="8"/>
  <c r="I13" i="8"/>
  <c r="I30" i="8" s="1"/>
  <c r="F15" i="7" s="1"/>
  <c r="I18" i="8"/>
  <c r="I14" i="8"/>
  <c r="C21" i="8"/>
  <c r="C22" i="8"/>
  <c r="C30" i="8"/>
  <c r="F9" i="7" s="1"/>
  <c r="C23" i="8"/>
  <c r="C15" i="8"/>
  <c r="C16" i="8" s="1"/>
  <c r="B23" i="8"/>
  <c r="B21" i="8"/>
  <c r="B22" i="8"/>
  <c r="B15" i="8"/>
  <c r="B16" i="8" s="1"/>
  <c r="B18" i="8"/>
  <c r="B10" i="11"/>
  <c r="E10" i="11" s="1"/>
  <c r="B17" i="8"/>
  <c r="I11" i="11"/>
  <c r="E12" i="22" l="1"/>
  <c r="M23" i="8"/>
  <c r="J23" i="8"/>
  <c r="M21" i="8"/>
  <c r="M30" i="8"/>
  <c r="F19" i="7" s="1"/>
  <c r="AS15" i="8"/>
  <c r="AS16" i="8" s="1"/>
  <c r="AX15" i="8"/>
  <c r="AX16" i="8" s="1"/>
  <c r="AS21" i="8"/>
  <c r="AG29" i="8"/>
  <c r="AT21" i="8"/>
  <c r="AT23" i="8"/>
  <c r="AT15" i="8"/>
  <c r="AT16" i="8" s="1"/>
  <c r="AT22" i="8"/>
  <c r="AI28" i="8"/>
  <c r="AF30" i="8"/>
  <c r="F38" i="7" s="1"/>
  <c r="AS22" i="8"/>
  <c r="I13" i="11"/>
  <c r="BE28" i="8"/>
  <c r="T21" i="8"/>
  <c r="BA28" i="8"/>
  <c r="Y28" i="8"/>
  <c r="AE28" i="8"/>
  <c r="T23" i="8"/>
  <c r="AF28" i="8"/>
  <c r="Q28" i="8"/>
  <c r="AM28" i="8"/>
  <c r="BD28" i="8"/>
  <c r="AH28" i="8"/>
  <c r="S28" i="8"/>
  <c r="Z28" i="8"/>
  <c r="T28" i="8"/>
  <c r="AQ28" i="8"/>
  <c r="BC28" i="8"/>
  <c r="G21" i="8"/>
  <c r="AA28" i="8"/>
  <c r="R28" i="8"/>
  <c r="AL28" i="8"/>
  <c r="E9" i="11"/>
  <c r="AF15" i="8"/>
  <c r="AF16" i="8" s="1"/>
  <c r="R23" i="8"/>
  <c r="G15" i="8"/>
  <c r="G16" i="8" s="1"/>
  <c r="V28" i="8"/>
  <c r="V15" i="8"/>
  <c r="V16" i="8" s="1"/>
  <c r="BC15" i="8"/>
  <c r="BC16" i="8" s="1"/>
  <c r="AD21" i="8"/>
  <c r="AH21" i="8"/>
  <c r="AH22" i="8"/>
  <c r="F21" i="8"/>
  <c r="V21" i="8"/>
  <c r="F22" i="8"/>
  <c r="F23" i="8"/>
  <c r="N21" i="8"/>
  <c r="R22" i="8"/>
  <c r="V30" i="8"/>
  <c r="F28" i="7" s="1"/>
  <c r="V23" i="8"/>
  <c r="F30" i="8"/>
  <c r="F12" i="7" s="1"/>
  <c r="AX22" i="8"/>
  <c r="AX23" i="8"/>
  <c r="T15" i="8"/>
  <c r="T16" i="8" s="1"/>
  <c r="I17" i="22"/>
  <c r="I28" i="8"/>
  <c r="G28" i="8"/>
  <c r="AY28" i="8"/>
  <c r="M28" i="8"/>
  <c r="M29" i="8" s="1"/>
  <c r="AO28" i="8"/>
  <c r="AZ28" i="8"/>
  <c r="K28" i="8"/>
  <c r="K29" i="8" s="1"/>
  <c r="T22" i="8"/>
  <c r="AJ28" i="8"/>
  <c r="AC28" i="8"/>
  <c r="AS23" i="8"/>
  <c r="AR28" i="8"/>
  <c r="AV28" i="8"/>
  <c r="AV29" i="8" s="1"/>
  <c r="N28" i="8"/>
  <c r="P28" i="8"/>
  <c r="W28" i="8"/>
  <c r="AB28" i="8"/>
  <c r="AX28" i="8"/>
  <c r="BB28" i="8"/>
  <c r="F39" i="7"/>
  <c r="J28" i="8"/>
  <c r="J29" i="8" s="1"/>
  <c r="AL23" i="8"/>
  <c r="AU28" i="8"/>
  <c r="AA22" i="8"/>
  <c r="AS28" i="8"/>
  <c r="AL21" i="8"/>
  <c r="AK28" i="8"/>
  <c r="E9" i="22"/>
  <c r="AD15" i="8"/>
  <c r="AD16" i="8" s="1"/>
  <c r="BB21" i="8"/>
  <c r="AN15" i="8"/>
  <c r="AN16" i="8" s="1"/>
  <c r="AN22" i="8"/>
  <c r="AN23" i="8"/>
  <c r="AN30" i="8"/>
  <c r="F46" i="7" s="1"/>
  <c r="AN21" i="8"/>
  <c r="AA23" i="8"/>
  <c r="AA21" i="8"/>
  <c r="AA30" i="8"/>
  <c r="F33" i="7" s="1"/>
  <c r="U29" i="8"/>
  <c r="U31" i="8" s="1"/>
  <c r="G27" i="7" s="1"/>
  <c r="H27" i="7" s="1"/>
  <c r="R21" i="8"/>
  <c r="R15" i="8"/>
  <c r="R16" i="8" s="1"/>
  <c r="L30" i="8"/>
  <c r="F18" i="7" s="1"/>
  <c r="L15" i="8"/>
  <c r="L16" i="8" s="1"/>
  <c r="X23" i="8"/>
  <c r="X30" i="8"/>
  <c r="F30" i="7" s="1"/>
  <c r="X15" i="8"/>
  <c r="X16" i="8" s="1"/>
  <c r="AK15" i="8"/>
  <c r="AK16" i="8" s="1"/>
  <c r="AK21" i="8"/>
  <c r="AJ21" i="8"/>
  <c r="AJ30" i="8"/>
  <c r="F42" i="7" s="1"/>
  <c r="AJ23" i="8"/>
  <c r="AJ22" i="8"/>
  <c r="X22" i="8"/>
  <c r="AK22" i="8"/>
  <c r="AK23" i="8"/>
  <c r="S29" i="8"/>
  <c r="S32" i="8" s="1"/>
  <c r="E25" i="7" s="1"/>
  <c r="D28" i="8"/>
  <c r="D29" i="8" s="1"/>
  <c r="H28" i="8"/>
  <c r="AN28" i="8"/>
  <c r="L28" i="8"/>
  <c r="AW28" i="8"/>
  <c r="F28" i="8"/>
  <c r="C28" i="8"/>
  <c r="AT28" i="8"/>
  <c r="O28" i="8"/>
  <c r="E28" i="8"/>
  <c r="AP28" i="8"/>
  <c r="AO29" i="8"/>
  <c r="AO32" i="8" s="1"/>
  <c r="E47" i="7" s="1"/>
  <c r="AB29" i="8"/>
  <c r="E34" i="7" s="1"/>
  <c r="E21" i="8"/>
  <c r="E15" i="8"/>
  <c r="E30" i="8"/>
  <c r="F11" i="7" s="1"/>
  <c r="E23" i="8"/>
  <c r="AR15" i="8"/>
  <c r="AR16" i="8" s="1"/>
  <c r="X21" i="8"/>
  <c r="L23" i="8"/>
  <c r="AJ15" i="8"/>
  <c r="AJ16" i="8" s="1"/>
  <c r="L21" i="8"/>
  <c r="AI29" i="8"/>
  <c r="AI31" i="8" s="1"/>
  <c r="G41" i="7" s="1"/>
  <c r="H41" i="7" s="1"/>
  <c r="BB22" i="8"/>
  <c r="BB15" i="8"/>
  <c r="AF23" i="8"/>
  <c r="AF22" i="8"/>
  <c r="BC22" i="8"/>
  <c r="BC21" i="8"/>
  <c r="AD23" i="8"/>
  <c r="AU16" i="8"/>
  <c r="BE16" i="8"/>
  <c r="BE29" i="8" s="1"/>
  <c r="AE16" i="8"/>
  <c r="AE29" i="8" s="1"/>
  <c r="Y16" i="8"/>
  <c r="Y29" i="8" s="1"/>
  <c r="O16" i="8"/>
  <c r="AP16" i="8"/>
  <c r="W15" i="8"/>
  <c r="W16" i="8" s="1"/>
  <c r="W21" i="8"/>
  <c r="W23" i="8"/>
  <c r="W30" i="8"/>
  <c r="F29" i="7" s="1"/>
  <c r="W22" i="8"/>
  <c r="BD30" i="8"/>
  <c r="BD23" i="8"/>
  <c r="BD15" i="8"/>
  <c r="BD16" i="8" s="1"/>
  <c r="BD22" i="8"/>
  <c r="BD21" i="8"/>
  <c r="AY30" i="8"/>
  <c r="F57" i="7" s="1"/>
  <c r="AY23" i="8"/>
  <c r="AY22" i="8"/>
  <c r="AY21" i="8"/>
  <c r="AY15" i="8"/>
  <c r="AY16" i="8" s="1"/>
  <c r="AQ23" i="8"/>
  <c r="AQ22" i="8"/>
  <c r="AQ21" i="8"/>
  <c r="AQ15" i="8"/>
  <c r="AQ16" i="8" s="1"/>
  <c r="AQ30" i="8"/>
  <c r="F49" i="7" s="1"/>
  <c r="Z23" i="8"/>
  <c r="F32" i="7"/>
  <c r="Z15" i="8"/>
  <c r="Z16" i="8" s="1"/>
  <c r="Z21" i="8"/>
  <c r="Z22" i="8"/>
  <c r="AM16" i="8"/>
  <c r="AM29" i="8" s="1"/>
  <c r="AC29" i="8"/>
  <c r="BA29" i="8"/>
  <c r="H16" i="8"/>
  <c r="AZ22" i="8"/>
  <c r="AZ21" i="8"/>
  <c r="AZ15" i="8"/>
  <c r="AZ16" i="8" s="1"/>
  <c r="AZ30" i="8"/>
  <c r="F58" i="7" s="1"/>
  <c r="AZ23" i="8"/>
  <c r="AW23" i="8"/>
  <c r="AW21" i="8"/>
  <c r="AW15" i="8"/>
  <c r="AW16" i="8" s="1"/>
  <c r="AW30" i="8"/>
  <c r="F55" i="7" s="1"/>
  <c r="AW22" i="8"/>
  <c r="P29" i="8"/>
  <c r="AR23" i="8"/>
  <c r="AR22" i="8"/>
  <c r="Q29" i="8"/>
  <c r="F40" i="13"/>
  <c r="H123" i="2" s="1"/>
  <c r="I21" i="8"/>
  <c r="I15" i="8"/>
  <c r="I16" i="8" s="1"/>
  <c r="I22" i="8"/>
  <c r="I23" i="8"/>
  <c r="C29" i="8"/>
  <c r="B29" i="8"/>
  <c r="B32" i="8" s="1"/>
  <c r="E8" i="7" s="1"/>
  <c r="F10" i="22" s="1"/>
  <c r="I10" i="22" s="1"/>
  <c r="AT29" i="8" l="1"/>
  <c r="AT32" i="8" s="1"/>
  <c r="E52" i="7" s="1"/>
  <c r="AL29" i="8"/>
  <c r="AL31" i="8" s="1"/>
  <c r="G44" i="7" s="1"/>
  <c r="H44" i="7" s="1"/>
  <c r="N29" i="8"/>
  <c r="N31" i="8" s="1"/>
  <c r="G20" i="7" s="1"/>
  <c r="H20" i="7" s="1"/>
  <c r="G29" i="8"/>
  <c r="AF29" i="8"/>
  <c r="AF32" i="8" s="1"/>
  <c r="AS29" i="8"/>
  <c r="AU29" i="8"/>
  <c r="AH29" i="8"/>
  <c r="AH31" i="8" s="1"/>
  <c r="G40" i="7" s="1"/>
  <c r="H40" i="7" s="1"/>
  <c r="AP29" i="8"/>
  <c r="T29" i="8"/>
  <c r="T31" i="8" s="1"/>
  <c r="G26" i="7" s="1"/>
  <c r="H26" i="7" s="1"/>
  <c r="U32" i="8"/>
  <c r="E27" i="7" s="1"/>
  <c r="F29" i="8"/>
  <c r="F31" i="8" s="1"/>
  <c r="G12" i="7" s="1"/>
  <c r="H12" i="7" s="1"/>
  <c r="AT31" i="8"/>
  <c r="G52" i="7" s="1"/>
  <c r="H52" i="7" s="1"/>
  <c r="AL32" i="8"/>
  <c r="E44" i="7" s="1"/>
  <c r="V29" i="8"/>
  <c r="V32" i="8" s="1"/>
  <c r="E28" i="7" s="1"/>
  <c r="AN29" i="8"/>
  <c r="AN32" i="8" s="1"/>
  <c r="E46" i="7" s="1"/>
  <c r="AX29" i="8"/>
  <c r="AX32" i="8" s="1"/>
  <c r="E56" i="7" s="1"/>
  <c r="O29" i="8"/>
  <c r="AS31" i="8"/>
  <c r="G51" i="7" s="1"/>
  <c r="H51" i="7" s="1"/>
  <c r="AS32" i="8"/>
  <c r="E51" i="7" s="1"/>
  <c r="J32" i="8"/>
  <c r="E16" i="7" s="1"/>
  <c r="F13" i="22" s="1"/>
  <c r="I13" i="22" s="1"/>
  <c r="J31" i="8"/>
  <c r="G16" i="7" s="1"/>
  <c r="H16" i="7" s="1"/>
  <c r="K32" i="8"/>
  <c r="E17" i="7" s="1"/>
  <c r="K31" i="8"/>
  <c r="G17" i="7" s="1"/>
  <c r="H17" i="7" s="1"/>
  <c r="G39" i="7"/>
  <c r="H39" i="7" s="1"/>
  <c r="AG33" i="8"/>
  <c r="AD29" i="8"/>
  <c r="E36" i="7" s="1"/>
  <c r="E39" i="7"/>
  <c r="AI32" i="8"/>
  <c r="E41" i="7" s="1"/>
  <c r="R29" i="8"/>
  <c r="R31" i="8" s="1"/>
  <c r="G24" i="7" s="1"/>
  <c r="H24" i="7" s="1"/>
  <c r="BC29" i="8"/>
  <c r="BC31" i="8" s="1"/>
  <c r="G61" i="7" s="1"/>
  <c r="H61" i="7" s="1"/>
  <c r="G34" i="7"/>
  <c r="H34" i="7" s="1"/>
  <c r="H29" i="8"/>
  <c r="H32" i="8" s="1"/>
  <c r="E14" i="7" s="1"/>
  <c r="AO31" i="8"/>
  <c r="G47" i="7" s="1"/>
  <c r="H47" i="7" s="1"/>
  <c r="B31" i="8"/>
  <c r="G8" i="7" s="1"/>
  <c r="H8" i="7" s="1"/>
  <c r="S31" i="8"/>
  <c r="G25" i="7" s="1"/>
  <c r="H25" i="7" s="1"/>
  <c r="N32" i="8"/>
  <c r="E20" i="7" s="1"/>
  <c r="AA29" i="8"/>
  <c r="AA31" i="8" s="1"/>
  <c r="G33" i="7" s="1"/>
  <c r="H33" i="7" s="1"/>
  <c r="X29" i="8"/>
  <c r="L29" i="8"/>
  <c r="AR29" i="8"/>
  <c r="AR31" i="8" s="1"/>
  <c r="G50" i="7" s="1"/>
  <c r="H50" i="7" s="1"/>
  <c r="D31" i="8"/>
  <c r="G10" i="7" s="1"/>
  <c r="H10" i="7" s="1"/>
  <c r="D32" i="8"/>
  <c r="E10" i="7" s="1"/>
  <c r="BB16" i="8"/>
  <c r="BB29" i="8" s="1"/>
  <c r="AJ29" i="8"/>
  <c r="W29" i="8"/>
  <c r="W31" i="8" s="1"/>
  <c r="G29" i="7" s="1"/>
  <c r="H29" i="7" s="1"/>
  <c r="AW29" i="8"/>
  <c r="AW31" i="8" s="1"/>
  <c r="G55" i="7" s="1"/>
  <c r="H55" i="7" s="1"/>
  <c r="AY29" i="8"/>
  <c r="AY32" i="8" s="1"/>
  <c r="E57" i="7" s="1"/>
  <c r="AK29" i="8"/>
  <c r="Z29" i="8"/>
  <c r="G32" i="7" s="1"/>
  <c r="H32" i="7" s="1"/>
  <c r="E16" i="8"/>
  <c r="E29" i="8" s="1"/>
  <c r="I29" i="8"/>
  <c r="I31" i="8" s="1"/>
  <c r="G15" i="7" s="1"/>
  <c r="H15" i="7" s="1"/>
  <c r="AR32" i="8"/>
  <c r="E50" i="7" s="1"/>
  <c r="Y31" i="8"/>
  <c r="G31" i="7" s="1"/>
  <c r="H31" i="7" s="1"/>
  <c r="Y32" i="8"/>
  <c r="E31" i="7" s="1"/>
  <c r="M31" i="8"/>
  <c r="G19" i="7" s="1"/>
  <c r="H19" i="7" s="1"/>
  <c r="M32" i="8"/>
  <c r="E19" i="7" s="1"/>
  <c r="O31" i="8"/>
  <c r="G21" i="7" s="1"/>
  <c r="H21" i="7" s="1"/>
  <c r="O32" i="8"/>
  <c r="E21" i="7" s="1"/>
  <c r="E37" i="7"/>
  <c r="G37" i="7"/>
  <c r="H37" i="7" s="1"/>
  <c r="BE31" i="8"/>
  <c r="BE32" i="8"/>
  <c r="AP31" i="8"/>
  <c r="G48" i="7" s="1"/>
  <c r="H48" i="7" s="1"/>
  <c r="AP32" i="8"/>
  <c r="E48" i="7" s="1"/>
  <c r="AV32" i="8"/>
  <c r="E54" i="7" s="1"/>
  <c r="AV31" i="8"/>
  <c r="G54" i="7" s="1"/>
  <c r="H54" i="7" s="1"/>
  <c r="P32" i="8"/>
  <c r="E22" i="7" s="1"/>
  <c r="P31" i="8"/>
  <c r="G22" i="7" s="1"/>
  <c r="H22" i="7" s="1"/>
  <c r="AM31" i="8"/>
  <c r="G45" i="7" s="1"/>
  <c r="H45" i="7" s="1"/>
  <c r="AM32" i="8"/>
  <c r="E45" i="7" s="1"/>
  <c r="BD29" i="8"/>
  <c r="Q31" i="8"/>
  <c r="G23" i="7" s="1"/>
  <c r="H23" i="7" s="1"/>
  <c r="Q32" i="8"/>
  <c r="E23" i="7" s="1"/>
  <c r="AU32" i="8"/>
  <c r="E53" i="7" s="1"/>
  <c r="AU31" i="8"/>
  <c r="G53" i="7" s="1"/>
  <c r="H53" i="7" s="1"/>
  <c r="G31" i="8"/>
  <c r="G13" i="7" s="1"/>
  <c r="H13" i="7" s="1"/>
  <c r="G32" i="8"/>
  <c r="E13" i="7" s="1"/>
  <c r="BA31" i="8"/>
  <c r="G59" i="7" s="1"/>
  <c r="H59" i="7" s="1"/>
  <c r="BA32" i="8"/>
  <c r="E59" i="7" s="1"/>
  <c r="AQ29" i="8"/>
  <c r="E38" i="7"/>
  <c r="AF31" i="8"/>
  <c r="G38" i="7" s="1"/>
  <c r="H38" i="7" s="1"/>
  <c r="AZ29" i="8"/>
  <c r="G35" i="7"/>
  <c r="H35" i="7" s="1"/>
  <c r="E35" i="7"/>
  <c r="C32" i="8"/>
  <c r="E9" i="7" s="1"/>
  <c r="C31" i="8"/>
  <c r="G9" i="7" s="1"/>
  <c r="H9" i="7" s="1"/>
  <c r="F32" i="8" l="1"/>
  <c r="E12" i="7" s="1"/>
  <c r="AW32" i="8"/>
  <c r="E55" i="7" s="1"/>
  <c r="T32" i="8"/>
  <c r="E26" i="7" s="1"/>
  <c r="V31" i="8"/>
  <c r="G28" i="7" s="1"/>
  <c r="H28" i="7" s="1"/>
  <c r="AH32" i="8"/>
  <c r="E40" i="7" s="1"/>
  <c r="R32" i="8"/>
  <c r="E24" i="7" s="1"/>
  <c r="BC32" i="8"/>
  <c r="E61" i="7" s="1"/>
  <c r="F12" i="22" s="1"/>
  <c r="I12" i="22" s="1"/>
  <c r="AA32" i="8"/>
  <c r="E33" i="7" s="1"/>
  <c r="AX31" i="8"/>
  <c r="G56" i="7" s="1"/>
  <c r="H56" i="7" s="1"/>
  <c r="AN31" i="8"/>
  <c r="G46" i="7" s="1"/>
  <c r="H46" i="7" s="1"/>
  <c r="AY31" i="8"/>
  <c r="G57" i="7" s="1"/>
  <c r="H57" i="7" s="1"/>
  <c r="AD33" i="8"/>
  <c r="H31" i="8"/>
  <c r="G14" i="7" s="1"/>
  <c r="H14" i="7" s="1"/>
  <c r="F9" i="11"/>
  <c r="I9" i="11" s="1"/>
  <c r="F9" i="22"/>
  <c r="I9" i="22" s="1"/>
  <c r="L31" i="8"/>
  <c r="G18" i="7" s="1"/>
  <c r="H18" i="7" s="1"/>
  <c r="L32" i="8"/>
  <c r="E18" i="7" s="1"/>
  <c r="W32" i="8"/>
  <c r="E29" i="7" s="1"/>
  <c r="X32" i="8"/>
  <c r="E30" i="7" s="1"/>
  <c r="X31" i="8"/>
  <c r="G30" i="7" s="1"/>
  <c r="H30" i="7" s="1"/>
  <c r="I32" i="8"/>
  <c r="E15" i="7" s="1"/>
  <c r="F11" i="22" s="1"/>
  <c r="I11" i="22" s="1"/>
  <c r="BB32" i="8"/>
  <c r="E60" i="7" s="1"/>
  <c r="BB31" i="8"/>
  <c r="G60" i="7" s="1"/>
  <c r="H60" i="7" s="1"/>
  <c r="E32" i="8"/>
  <c r="E11" i="7" s="1"/>
  <c r="E31" i="8"/>
  <c r="G11" i="7" s="1"/>
  <c r="H11" i="7" s="1"/>
  <c r="AK31" i="8"/>
  <c r="G43" i="7" s="1"/>
  <c r="H43" i="7" s="1"/>
  <c r="AK32" i="8"/>
  <c r="E43" i="7" s="1"/>
  <c r="E32" i="7"/>
  <c r="AJ31" i="8"/>
  <c r="G42" i="7" s="1"/>
  <c r="H42" i="7" s="1"/>
  <c r="AJ32" i="8"/>
  <c r="E42" i="7" s="1"/>
  <c r="AQ32" i="8"/>
  <c r="E49" i="7" s="1"/>
  <c r="AQ31" i="8"/>
  <c r="G49" i="7" s="1"/>
  <c r="H49" i="7" s="1"/>
  <c r="BD32" i="8"/>
  <c r="BD31" i="8"/>
  <c r="AZ31" i="8"/>
  <c r="G58" i="7" s="1"/>
  <c r="H58" i="7" s="1"/>
  <c r="AZ32" i="8"/>
  <c r="E58" i="7" s="1"/>
  <c r="I8" i="22" l="1"/>
  <c r="G36" i="7"/>
  <c r="H36" i="7" s="1"/>
  <c r="F10" i="11"/>
  <c r="I10" i="11" s="1"/>
  <c r="I8" i="11" s="1"/>
  <c r="G81" i="2" l="1"/>
  <c r="G71" i="2"/>
  <c r="H11" i="2" l="1"/>
  <c r="H12" i="2"/>
  <c r="H14" i="2"/>
  <c r="H13" i="2" s="1"/>
  <c r="H10" i="2" l="1"/>
  <c r="H9" i="2" l="1"/>
  <c r="H119" i="2" l="1"/>
  <c r="E31" i="22" l="1"/>
  <c r="E33" i="22" s="1"/>
  <c r="E34" i="22" s="1"/>
  <c r="E35" i="22" s="1"/>
  <c r="E36" i="22" s="1"/>
  <c r="E37" i="22" s="1"/>
  <c r="E38" i="22" s="1"/>
  <c r="E39" i="22" s="1"/>
  <c r="I39" i="22" s="1"/>
  <c r="F36" i="27"/>
  <c r="F35" i="27" s="1"/>
  <c r="H122" i="2"/>
  <c r="I44" i="22"/>
  <c r="I32" i="11"/>
  <c r="G124" i="2"/>
  <c r="H121" i="2"/>
  <c r="I31" i="22"/>
  <c r="I33" i="22"/>
  <c r="I34" i="22"/>
  <c r="I35" i="22"/>
  <c r="I36" i="22"/>
  <c r="I37" i="22"/>
  <c r="I38" i="22"/>
  <c r="G30" i="29"/>
  <c r="G29" i="29" s="1"/>
  <c r="G32" i="29" s="1"/>
  <c r="G31" i="29" s="1"/>
  <c r="G33" i="29" s="1"/>
  <c r="G34" i="29" s="1"/>
  <c r="I23" i="28"/>
  <c r="I24" i="28"/>
  <c r="I8" i="28" s="1"/>
  <c r="I44" i="28"/>
  <c r="I42" i="28" s="1"/>
  <c r="I31" i="28" s="1"/>
  <c r="I46" i="28" s="1"/>
  <c r="B7" i="31"/>
  <c r="C7" i="31"/>
  <c r="C9" i="31"/>
  <c r="C14" i="31" s="1"/>
  <c r="D14" i="31" s="1"/>
  <c r="G14" i="31" s="1"/>
  <c r="C13" i="31"/>
  <c r="D13" i="31"/>
  <c r="G13" i="31" s="1"/>
  <c r="G19" i="31" s="1"/>
  <c r="C15" i="31"/>
  <c r="D15" i="31"/>
  <c r="G15" i="31" s="1"/>
  <c r="C16" i="31"/>
  <c r="D16" i="31"/>
  <c r="E16" i="31"/>
  <c r="G16" i="31"/>
  <c r="A18" i="31"/>
  <c r="C18" i="31" s="1"/>
  <c r="G18" i="31" s="1"/>
  <c r="B6" i="30"/>
  <c r="G21" i="31" l="1"/>
  <c r="G22" i="31"/>
  <c r="I47" i="28"/>
  <c r="I48" i="28"/>
  <c r="H126" i="2" s="1"/>
  <c r="I30" i="28"/>
  <c r="I21" i="11"/>
  <c r="I22" i="11"/>
  <c r="E23" i="11"/>
  <c r="I23" i="11"/>
  <c r="E25" i="11"/>
  <c r="I25" i="11"/>
  <c r="E26" i="11"/>
  <c r="I26" i="11"/>
  <c r="E27" i="11"/>
  <c r="I27" i="11"/>
  <c r="E28" i="11"/>
  <c r="I28" i="11"/>
  <c r="I29" i="11"/>
  <c r="I30" i="11"/>
  <c r="I31" i="11"/>
  <c r="I33" i="11"/>
  <c r="I36" i="11"/>
  <c r="I29" i="22"/>
  <c r="I30" i="22"/>
  <c r="I41" i="22"/>
  <c r="I43" i="22"/>
  <c r="I45" i="22"/>
  <c r="I48" i="22"/>
  <c r="B6" i="12"/>
  <c r="C6" i="12"/>
  <c r="C8" i="12"/>
  <c r="C12" i="12"/>
  <c r="D12" i="12"/>
  <c r="G12" i="12"/>
  <c r="C13" i="12"/>
  <c r="D13" i="12"/>
  <c r="G13" i="12"/>
  <c r="C14" i="12"/>
  <c r="D14" i="12"/>
  <c r="G14" i="12"/>
  <c r="C15" i="12"/>
  <c r="D15" i="12"/>
  <c r="E15" i="12"/>
  <c r="G15" i="12"/>
  <c r="A17" i="12"/>
  <c r="C17" i="12"/>
  <c r="G17" i="12"/>
  <c r="G18" i="12"/>
  <c r="G19" i="12"/>
  <c r="G20" i="12"/>
  <c r="G21" i="12"/>
  <c r="G120" i="2"/>
  <c r="H120" i="2"/>
  <c r="H125" i="2"/>
  <c r="G126" i="2"/>
  <c r="H127" i="2"/>
  <c r="H128" i="2"/>
  <c r="H129" i="2"/>
  <c r="B7" i="30"/>
  <c r="B8" i="30"/>
  <c r="B9" i="30"/>
  <c r="B10" i="30"/>
  <c r="C13" i="30"/>
  <c r="D13" i="30"/>
  <c r="C14" i="30"/>
  <c r="D14" i="30"/>
  <c r="C15" i="30"/>
  <c r="D15" i="30"/>
  <c r="C16" i="30"/>
  <c r="D16" i="30"/>
  <c r="C17" i="30"/>
  <c r="D17" i="30"/>
  <c r="C18" i="30"/>
  <c r="D18" i="30"/>
  <c r="C19" i="30"/>
  <c r="D19" i="30"/>
  <c r="C20" i="30"/>
  <c r="D20" i="30"/>
  <c r="D22" i="30"/>
</calcChain>
</file>

<file path=xl/sharedStrings.xml><?xml version="1.0" encoding="utf-8"?>
<sst xmlns="http://schemas.openxmlformats.org/spreadsheetml/2006/main" count="1341" uniqueCount="789">
  <si>
    <t>DEPARTAMENTO DE ANTIOQUIA</t>
  </si>
  <si>
    <t>DATOS INICIALES</t>
  </si>
  <si>
    <t>ENTIDAD:</t>
  </si>
  <si>
    <t>NOMBRE DEL PROYECTO:</t>
  </si>
  <si>
    <t>RESPONSABLE:</t>
  </si>
  <si>
    <t>CARGO DE RESPONSABLE:</t>
  </si>
  <si>
    <t>DEPENDENCIA DE RESPONSABLE:</t>
  </si>
  <si>
    <t>MATRÍCULA PROFESIONAL RESPONSABLE:</t>
  </si>
  <si>
    <t>SALARIO MÍNIMO MENSUAL VIGENTE:</t>
  </si>
  <si>
    <t>AUXILIO DE TRANSPORTE VIGENTE:</t>
  </si>
  <si>
    <t>EXONERADO ART 114-1 ET PARA LA OBRA:</t>
  </si>
  <si>
    <t>EXONERADO ART 114-1 ET PARA LA INTERVENTORÍA</t>
  </si>
  <si>
    <t>NIVEL DE RIESGO ARL APLICABLE</t>
  </si>
  <si>
    <t>% ARL</t>
  </si>
  <si>
    <t>DURACIÓN ESTIMADA DE OBRA (MESES)</t>
  </si>
  <si>
    <t>DISTANCIA A SITIO DE BOTADA DE TIERRA (KM)</t>
  </si>
  <si>
    <t>DISTANCIA A SITIO DE BOTADA DE ESCOMBROS (KM)</t>
  </si>
  <si>
    <t>DISTANCIA A SITIO DE PROVISIÓN  DE MATERIAL GRANULAR (KM)</t>
  </si>
  <si>
    <t>DISTANCIA A SITIO DE PROVISIÓN  DE INSUMOS GENERALES (KM)</t>
  </si>
  <si>
    <t>DISTANCIA A SITIO DE PROVISIÓN  DE ASFALTOS (KM)</t>
  </si>
  <si>
    <t>PÓLIZA DE RCE EXIGIBLE A LA INTERVENTORÍA</t>
  </si>
  <si>
    <t>SI</t>
  </si>
  <si>
    <t>V</t>
  </si>
  <si>
    <t>INGENIERO BANCO DE PROYECTOS</t>
  </si>
  <si>
    <t>BANCO DE PROYECTOS - SECRETARÍA DE PLANEACIÓN</t>
  </si>
  <si>
    <t>Elija el municipio de la lista desplegable</t>
  </si>
  <si>
    <t>Digite el nombre del proyecto. Recuerde que debe coincidir con el objeto del contrato resultante de este proceso.</t>
  </si>
  <si>
    <t>Digite el nombre del profesional responsable del presupuesto.</t>
  </si>
  <si>
    <t>Digite el cargo del profesional responsable del presupuesto.</t>
  </si>
  <si>
    <t>Digite el nombre de la dependencia del profesional responsable del presupuesto.</t>
  </si>
  <si>
    <t>Digite la matrícula profesional del profesional responsable del presupuesto.</t>
  </si>
  <si>
    <r>
      <t>Elegir de las listas desplegables</t>
    </r>
    <r>
      <rPr>
        <b/>
        <i/>
        <u/>
        <sz val="11"/>
        <color rgb="FFFF0000"/>
        <rFont val="Calibri"/>
        <family val="2"/>
        <scheme val="minor"/>
      </rPr>
      <t xml:space="preserve"> (Ver artículo 114-1 del Estatuto Tributario.</t>
    </r>
    <r>
      <rPr>
        <b/>
        <i/>
        <sz val="11"/>
        <color rgb="FFFF0000"/>
        <rFont val="Calibri"/>
        <family val="2"/>
        <scheme val="minor"/>
      </rPr>
      <t xml:space="preserve"> Cabe aclarar que, al momento de proyectar los documentos del proceso de selección, deberá incluirse el método o procedimiento mediante el cual la Administración se asegurará de que, si el contratista elegido es de naturaleza contraria a esta decisión, el equilibrio contractual se encuentre garantizado).</t>
    </r>
  </si>
  <si>
    <r>
      <rPr>
        <b/>
        <i/>
        <sz val="11"/>
        <color rgb="FFFF0000"/>
        <rFont val="Calibri"/>
        <family val="2"/>
        <scheme val="minor"/>
      </rPr>
      <t>Elegir de la lista desplegable (</t>
    </r>
    <r>
      <rPr>
        <b/>
        <i/>
        <u/>
        <sz val="11"/>
        <color rgb="FFFF0000"/>
        <rFont val="Calibri"/>
        <family val="2"/>
        <scheme val="minor"/>
      </rPr>
      <t xml:space="preserve">Ver Decreto 1607 de 2002 </t>
    </r>
    <r>
      <rPr>
        <b/>
        <i/>
        <sz val="11"/>
        <color rgb="FFFF0000"/>
        <rFont val="Calibri"/>
        <family val="2"/>
        <scheme val="minor"/>
      </rPr>
      <t>para asignación de Riesgo ARL Aplicable).</t>
    </r>
  </si>
  <si>
    <t>Digite la duración de la obra de acuerdo al cronograma</t>
  </si>
  <si>
    <t>Digite la distancia al sitio de botada de tierra de acuerdo al certificado expedido por la entidad.</t>
  </si>
  <si>
    <t>Digite la distancia al sitio de botada de escombros de acuerdo al certificado expedido por la entidad.</t>
  </si>
  <si>
    <t>Digite la distancia al sitio de provisión de material de playa de acuerdo al certificado expedido por la entidad.</t>
  </si>
  <si>
    <t>Digite la distancia al sitio de provisión de material granular de acuerdo al certificado expedido por la entidad.</t>
  </si>
  <si>
    <t>Digite la distancia al sitio de provisión de insumos generales de acuerdo al certificado expedido por la entidad.</t>
  </si>
  <si>
    <t>Digite la distancia al sitio de provisión de asfaltos de acuerdo al certificado expedido por la entidad.</t>
  </si>
  <si>
    <t>Elegir de la lista desplegable si se solicitará a la interventoría la póliza de responsabilidad civil extracontractual</t>
  </si>
  <si>
    <t>Nota 1: El archivo contiene referencias circulares, por lo tanto se debe tener activo el calculo iterativo de las fórmulas</t>
  </si>
  <si>
    <t>Fecha de actualización: 22 de FEBRERO de 2021</t>
  </si>
  <si>
    <t>PRESUPUESTO GENERAL</t>
  </si>
  <si>
    <t>ITEM</t>
  </si>
  <si>
    <t>ESPECIFICACIONES</t>
  </si>
  <si>
    <t>DESCRIPCIÓN</t>
  </si>
  <si>
    <t>UNIDAD</t>
  </si>
  <si>
    <t>CANTIDAD</t>
  </si>
  <si>
    <t>VR.UNITARIO</t>
  </si>
  <si>
    <t>VALOR TOTAL</t>
  </si>
  <si>
    <t>m2</t>
  </si>
  <si>
    <t>1.1</t>
  </si>
  <si>
    <t/>
  </si>
  <si>
    <t>CÓDIGO</t>
  </si>
  <si>
    <t>ESTACIÓN TOTAL</t>
  </si>
  <si>
    <t>NIVEL DE PRECISIÓN</t>
  </si>
  <si>
    <t>SUBTOTAL</t>
  </si>
  <si>
    <t>JORNAL TOTAL</t>
  </si>
  <si>
    <t>TOPÓGRAFO</t>
  </si>
  <si>
    <t>CADENERO 1</t>
  </si>
  <si>
    <t>CADENERO 2</t>
  </si>
  <si>
    <t>LISTADO DE INSUMOS - EQUIPOS</t>
  </si>
  <si>
    <t>VALOR UNITARIO</t>
  </si>
  <si>
    <t>EQ001</t>
  </si>
  <si>
    <t>%</t>
  </si>
  <si>
    <t>EQ002</t>
  </si>
  <si>
    <t>DÍA</t>
  </si>
  <si>
    <t>EQ003</t>
  </si>
  <si>
    <t>EQ004</t>
  </si>
  <si>
    <t>CONCRETADORA 1.5 SACOS A GASOLINA</t>
  </si>
  <si>
    <t>EQ005</t>
  </si>
  <si>
    <t>VEHÍCULO DOBLE TRACCIÓN, DOBLE CABINA, 2000 CC O SUPERIOR (MODELO 2015 O SUPERIOR)  TARIFA DE ALQUILER TIEMPO COMPLETO, INCLUYE COMBUSTIBLE Y CONDUCTOR. SE DEBE GARANTIZAR PERMANENCIA DE LOS VEHÍCULOS DURANTE TODA LA EJECUCIÓN DEL PROYECTO.</t>
  </si>
  <si>
    <t>MES</t>
  </si>
  <si>
    <t>EQ006</t>
  </si>
  <si>
    <t xml:space="preserve">MOTO ALQUILER MODELO 2014 O SUPERIOR  - TARIFA DE ALQUILER </t>
  </si>
  <si>
    <t>EQ007</t>
  </si>
  <si>
    <t>TARIFA PUESTO DE TRABAJO DEL PERSONAL DE OFICINA DE CAMPO, INCLUYE: ALQUILER DE UN (1) EQUIPO DE COMPUTO COMPLETO, ESCRITORIO, SILLA Y OTROS ENSERES DE OFICINA POR PUESTO DE TRABAJO</t>
  </si>
  <si>
    <t>EQ008</t>
  </si>
  <si>
    <t>IMPRESORA EN OBRA (ALQUILER)</t>
  </si>
  <si>
    <t>EQ009</t>
  </si>
  <si>
    <t>EQ010</t>
  </si>
  <si>
    <t>EQ011</t>
  </si>
  <si>
    <t>ALQUILER BAÑOS PORTÁTILES + MANTENIMIENTO Y LIMPIEZA</t>
  </si>
  <si>
    <t>EQ012</t>
  </si>
  <si>
    <t>EQUIPO COMPLETO PARA GEORREFERENCIACIÓN Y CAPTURA , ALMACENAMIENTO, ANALISIS, TRANSFORMACIÓN Y PRESENTACIÓN DE TODA LA INFORMACIÓN GEOGRÁFICA Y SUS ATRIBUTOS, INCLUYE SOFTWARE</t>
  </si>
  <si>
    <t>EQ013</t>
  </si>
  <si>
    <t>HERRAMIENTAS DE CAMPO (CÁMARA-EQUIPO DE MEDICIÓN-LASER Y HERRAMIENTA MENOR)</t>
  </si>
  <si>
    <t>EQ014</t>
  </si>
  <si>
    <t>RETROEXCAVADORA ORUGA</t>
  </si>
  <si>
    <t>HORA</t>
  </si>
  <si>
    <t>EQ015</t>
  </si>
  <si>
    <t>BULLDOZER CAT D6H O SIMLAR</t>
  </si>
  <si>
    <t>EQ016</t>
  </si>
  <si>
    <t>COMPACTADOR VIBRATORIO INGERSOLL RAND DD-110HF O EQUIVALENTE</t>
  </si>
  <si>
    <t>EQ017</t>
  </si>
  <si>
    <t>MOTONIVELADORA CATERPILLAR 120 - 140</t>
  </si>
  <si>
    <t>EQ018</t>
  </si>
  <si>
    <t>CARROTANQUE  AGUA</t>
  </si>
  <si>
    <t>EQ019</t>
  </si>
  <si>
    <t>COMPACTADOR TIPO RANA A GASOLINA (INCLUYE COMBUSTIBLE)</t>
  </si>
  <si>
    <t>EQ020</t>
  </si>
  <si>
    <t>RETROEXCAVADORA LLANTA</t>
  </si>
  <si>
    <t>EQ021</t>
  </si>
  <si>
    <t>COMPACTADOR VIBRATORIO 11 TON.</t>
  </si>
  <si>
    <t>EQ022</t>
  </si>
  <si>
    <t>CIZALLA DE BANCO CORTA PERNO, INCLUYE DADOS</t>
  </si>
  <si>
    <t>EQ023</t>
  </si>
  <si>
    <t>SIERRA CIRCULAR</t>
  </si>
  <si>
    <t>EQ024</t>
  </si>
  <si>
    <t>VIBRADOR DE CONCRETO A GASOLINA (ALQUILER)</t>
  </si>
  <si>
    <t>EQ025</t>
  </si>
  <si>
    <t>FINISHER</t>
  </si>
  <si>
    <t>EQ026</t>
  </si>
  <si>
    <t>VEHÍCULO DELINEADOR PARA PINTAR LÍNEAS DE 10 A 20 CM</t>
  </si>
  <si>
    <t>EQ027</t>
  </si>
  <si>
    <t>CAMIONETA D300</t>
  </si>
  <si>
    <t>EQ028</t>
  </si>
  <si>
    <t>COMPACTADOR NEUMATICO O DE LLANTAS</t>
  </si>
  <si>
    <t>EQ029</t>
  </si>
  <si>
    <t>COMPRESOR NEUMATICO 1 MARTILLO</t>
  </si>
  <si>
    <t>EQ030</t>
  </si>
  <si>
    <t>DIA</t>
  </si>
  <si>
    <t>EQ031</t>
  </si>
  <si>
    <t>CIZALLA MANUAL</t>
  </si>
  <si>
    <t>EQ032</t>
  </si>
  <si>
    <t>VOLQUETA 15 M3</t>
  </si>
  <si>
    <t>GENERAL</t>
  </si>
  <si>
    <t>PARTICULAR</t>
  </si>
  <si>
    <t>M3</t>
  </si>
  <si>
    <t>M2</t>
  </si>
  <si>
    <t>MATERIALES</t>
  </si>
  <si>
    <t>KG</t>
  </si>
  <si>
    <t>UN</t>
  </si>
  <si>
    <t>LISTADO DE INSUMOS - TRANSPORTES</t>
  </si>
  <si>
    <t>LISTADO DE INSUMOS - MANO DE OBRA</t>
  </si>
  <si>
    <t>CARGO</t>
  </si>
  <si>
    <t>CLASE</t>
  </si>
  <si>
    <t>SALARIO MENSUAL</t>
  </si>
  <si>
    <t>FACTOR PRESTACIONAL</t>
  </si>
  <si>
    <t>JORNAL</t>
  </si>
  <si>
    <t>PRESTACIONES</t>
  </si>
  <si>
    <t>CÁLCULO DE FACTOR PRESTACIONAL</t>
  </si>
  <si>
    <t>SALARIO MENSUAL SMMLV</t>
  </si>
  <si>
    <t>(A) SALARIO MES</t>
  </si>
  <si>
    <t>(B) AUXILIO TRANSPORTE MES</t>
  </si>
  <si>
    <t>(C) SUELDO ANUAL 
(A x 12)</t>
  </si>
  <si>
    <t>(D) AUXILIO TRANSPORTE ANUAL 
(B x 12)</t>
  </si>
  <si>
    <t>INTERES DE CESANTIA 
(F x 12%)</t>
  </si>
  <si>
    <t>VACACIONES 
(A + B) / 2</t>
  </si>
  <si>
    <t>PRIMA DE SERVICIOS
(A + B)</t>
  </si>
  <si>
    <t>FONDO INDUSTRIA DE LA CONSTRUCCIÓN SENA - FIC
(SMMLV x 12 / 40)</t>
  </si>
  <si>
    <t>EPS (SALUD) - VERIFICAR CREE
(C + D) x 8.5%</t>
  </si>
  <si>
    <t>AFP (PENSION)
(C + D) x 12%</t>
  </si>
  <si>
    <t>RIESGOS PROFESIONALES 
(C + D) x FACTOR DE RIESGO</t>
  </si>
  <si>
    <t>CAJA DE COMPENSACION 
(C + D) x 4%</t>
  </si>
  <si>
    <t>SENA - VERIFICAR CREE
(C + D) X 2%</t>
  </si>
  <si>
    <t>ICBF - VERIFICAR CREE
(C + D) X 3%</t>
  </si>
  <si>
    <t>EXAMEN DE INGRESO - EGRESO</t>
  </si>
  <si>
    <t xml:space="preserve">DOTACIÓN </t>
  </si>
  <si>
    <t>KIT ELEMENTOS DE PROTECCIÓN PERSONAL</t>
  </si>
  <si>
    <t>TOTAL ANUAL</t>
  </si>
  <si>
    <t>MO001</t>
  </si>
  <si>
    <t>MO002</t>
  </si>
  <si>
    <t>MO003</t>
  </si>
  <si>
    <t>MO004</t>
  </si>
  <si>
    <t>MO005</t>
  </si>
  <si>
    <t>MO006</t>
  </si>
  <si>
    <t>MO007</t>
  </si>
  <si>
    <t>MO008</t>
  </si>
  <si>
    <t>MO009</t>
  </si>
  <si>
    <t>MO010</t>
  </si>
  <si>
    <t>MO011</t>
  </si>
  <si>
    <t>MO012</t>
  </si>
  <si>
    <t>MO013</t>
  </si>
  <si>
    <t>MO014</t>
  </si>
  <si>
    <t>MO015</t>
  </si>
  <si>
    <t>MO016</t>
  </si>
  <si>
    <t>MO017</t>
  </si>
  <si>
    <t>MO018</t>
  </si>
  <si>
    <t>MO019</t>
  </si>
  <si>
    <t>MO020</t>
  </si>
  <si>
    <t>MO021</t>
  </si>
  <si>
    <t>MO022</t>
  </si>
  <si>
    <t>MO023</t>
  </si>
  <si>
    <t>MO024</t>
  </si>
  <si>
    <t>MO025</t>
  </si>
  <si>
    <t>MO026</t>
  </si>
  <si>
    <t>MO027</t>
  </si>
  <si>
    <t>MO028</t>
  </si>
  <si>
    <t>MO029</t>
  </si>
  <si>
    <t>MO030</t>
  </si>
  <si>
    <t>MO031</t>
  </si>
  <si>
    <t>MO032</t>
  </si>
  <si>
    <t>MO033</t>
  </si>
  <si>
    <t>MO034</t>
  </si>
  <si>
    <t>MO035</t>
  </si>
  <si>
    <t>MO036</t>
  </si>
  <si>
    <t>MO037</t>
  </si>
  <si>
    <t>MO038</t>
  </si>
  <si>
    <t>MO039</t>
  </si>
  <si>
    <t>MO040</t>
  </si>
  <si>
    <t>MO041</t>
  </si>
  <si>
    <t>MO042</t>
  </si>
  <si>
    <t>MO043</t>
  </si>
  <si>
    <t>MO044</t>
  </si>
  <si>
    <t>MO045</t>
  </si>
  <si>
    <t>MO046</t>
  </si>
  <si>
    <t>MO047</t>
  </si>
  <si>
    <t>MO048</t>
  </si>
  <si>
    <t>MO049</t>
  </si>
  <si>
    <t>MO050</t>
  </si>
  <si>
    <t>MO051</t>
  </si>
  <si>
    <t>MO052</t>
  </si>
  <si>
    <t>MO053</t>
  </si>
  <si>
    <t>MO054</t>
  </si>
  <si>
    <t>MO055</t>
  </si>
  <si>
    <t>MO056</t>
  </si>
  <si>
    <t>DIRECTOR DE INTERVENTORÍA</t>
  </si>
  <si>
    <t>RESIDENTE DE OBRA</t>
  </si>
  <si>
    <t>RESIDENTE DE INTERVENTORÍA</t>
  </si>
  <si>
    <t>RESIDENTE AMBIENTAL</t>
  </si>
  <si>
    <t>RESIDENTE SOCIAL</t>
  </si>
  <si>
    <t>AUXILIAR DE RESIDENCIA</t>
  </si>
  <si>
    <t>TECNÓLOGO SST</t>
  </si>
  <si>
    <t>CONTADOR</t>
  </si>
  <si>
    <t>ALMACENISTA</t>
  </si>
  <si>
    <t>AUXILIAR DE ALMACÉN</t>
  </si>
  <si>
    <t>SECRETARIA</t>
  </si>
  <si>
    <t>MENSAJERO</t>
  </si>
  <si>
    <t>VIGILANTE</t>
  </si>
  <si>
    <t>MAESTRO PRIMERO</t>
  </si>
  <si>
    <t>MAESTRO SEGUNDO</t>
  </si>
  <si>
    <t>OFICIAL ELÉCTRICO</t>
  </si>
  <si>
    <t>AYUDANTE ELÉCTRICO</t>
  </si>
  <si>
    <t>OFICIAL PLOMERO</t>
  </si>
  <si>
    <t>AYUDANTE PLOMERO</t>
  </si>
  <si>
    <t>OFICIAL CARPINTERO</t>
  </si>
  <si>
    <t>AYUDANTE CARPINTERO</t>
  </si>
  <si>
    <t>OFICIAL PINTOR</t>
  </si>
  <si>
    <t>OFICIAL DE OBRA BLANCA</t>
  </si>
  <si>
    <t>OFICIAL DE OBRA NEGRA</t>
  </si>
  <si>
    <t>OFICIAL HIERRO</t>
  </si>
  <si>
    <t>AYUDANTE ENTENDIDO</t>
  </si>
  <si>
    <t>AYUDANTE RASO</t>
  </si>
  <si>
    <t>OPERADOR EQUIPO LIVIANO</t>
  </si>
  <si>
    <t>OPERADOR EQUIPO MEDIANO</t>
  </si>
  <si>
    <t>OPERADOR EQUIPO PESADO</t>
  </si>
  <si>
    <t>AUXILIAR HERRAMIENTA</t>
  </si>
  <si>
    <t>PATIERO</t>
  </si>
  <si>
    <t>AUXILIAR PARE-SIGA</t>
  </si>
  <si>
    <t>INGENIERO SIG</t>
  </si>
  <si>
    <t>TECNÓLOGO SIG</t>
  </si>
  <si>
    <t>DIRECTOR DE CONSULTORÍA</t>
  </si>
  <si>
    <t>DIBUJANTE</t>
  </si>
  <si>
    <t>INGENIERO ESPECIALISTA GEOTECNIA</t>
  </si>
  <si>
    <t>GEÓLOGO</t>
  </si>
  <si>
    <t xml:space="preserve">ARQUITECTO ESPECIALISTA URBANISMO </t>
  </si>
  <si>
    <t>ARQUITECTO ESPECIALISTA PAISAJISMO</t>
  </si>
  <si>
    <t>INGENIERO ESPECIALISTA ESTRUCTURAL</t>
  </si>
  <si>
    <t>INGENIERO REVISOR ESTRUCTURAL</t>
  </si>
  <si>
    <t>INGENIERO ESPECIALISTA HIDRÁULICO</t>
  </si>
  <si>
    <t>INGENIERO ELECTRICISTA</t>
  </si>
  <si>
    <t>INGENIERO AMBIENTAL</t>
  </si>
  <si>
    <t>INGENIERO FORESTAL</t>
  </si>
  <si>
    <t>ADMÓN</t>
  </si>
  <si>
    <t>OBRA</t>
  </si>
  <si>
    <t>(F) CESANTIAS 
(C + D) x12%</t>
  </si>
  <si>
    <t>VALOR / UN</t>
  </si>
  <si>
    <t>OBSERVACIONES</t>
  </si>
  <si>
    <t>Calzado</t>
  </si>
  <si>
    <t>Pantalón</t>
  </si>
  <si>
    <t>Camisa</t>
  </si>
  <si>
    <t>Par</t>
  </si>
  <si>
    <t>Unidad</t>
  </si>
  <si>
    <t>Total Dotación</t>
  </si>
  <si>
    <t>Frecuencia</t>
  </si>
  <si>
    <t>Total anual</t>
  </si>
  <si>
    <t>BOTA TRABAJO PUNTA ACERO MIAMI</t>
  </si>
  <si>
    <t>JEAN CLASICO LABORAL INDIGO AZUL</t>
  </si>
  <si>
    <t>BLUSA 3/4 MANGA LARGA CAQUI</t>
  </si>
  <si>
    <t>CÁLCULO EPP PARA PERSONAL DE OBRA (NO INCLUYE DOTACIÓN PAPSO)</t>
  </si>
  <si>
    <t>VR. UNIT.</t>
  </si>
  <si>
    <t>VR. TOTAL</t>
  </si>
  <si>
    <t>CASCO</t>
  </si>
  <si>
    <t>CASCO ECO TIPO I CREMALLERA
1 ANUAL POR PERSONA</t>
  </si>
  <si>
    <t>TAFILETES</t>
  </si>
  <si>
    <t>TAFILETE CINTA CASCO
2 ANUALES ADICIONAL POR PERSONA</t>
  </si>
  <si>
    <t>GUANTES CARNAZA</t>
  </si>
  <si>
    <t>PAR</t>
  </si>
  <si>
    <t>GUANTE CARNAZA REFORZADO LARGO
1 SEMANAL CADA 10 PERSONAS (FIERREROS)</t>
  </si>
  <si>
    <t>GUANTES GENERALES</t>
  </si>
  <si>
    <t>GUANTE ALGODÓN LATEX
1 QUINCENAL A CADA TRABAJADOR</t>
  </si>
  <si>
    <t>GUANTES LARGOS</t>
  </si>
  <si>
    <t>GUANTE PVC SEMICORRUGADO AZUL MANGA 60CM
1 QUINCENAL CADA 20 PERSONAS (CORTADORES)</t>
  </si>
  <si>
    <t>CHALECOS REFLECTIVOS</t>
  </si>
  <si>
    <t>CHALECO CONSTRUCCIÓN
1 TRIMESTRAL A CADA TRABAJADOR</t>
  </si>
  <si>
    <t>DELANTAL IMPERMEABLE</t>
  </si>
  <si>
    <t>DELANTAL NEGRO VESTIFLEX 81X118CM
1 MENSUAL CADA 20 PERSONAS (CORTADORES)</t>
  </si>
  <si>
    <t>MONOGAFAS</t>
  </si>
  <si>
    <t>GAFAS DE SEGURIDAD LENTE CLARO
1 SEMANAL CADA 5 TRABAJADORES (DEMOLICIÓN)</t>
  </si>
  <si>
    <t>TAPONES AUDITIVOS SENCILLOS</t>
  </si>
  <si>
    <t>TAPON OIDO 32 DECÍBELES DESECHABLE CORDON 
1 SEMANAL POR CADA TRABAJADOR</t>
  </si>
  <si>
    <t>PROTECTORES AUDITIVOS DE COPA</t>
  </si>
  <si>
    <t>PROTECTOR OIDO COPA 23 DECÍBELES 
1 MENSUAL CADA 10 TRABAJADORES</t>
  </si>
  <si>
    <t>ARNÉS DE SEGURIDAD  + ESLINGA</t>
  </si>
  <si>
    <t>KIT DE ARNÉS CON ESLINGA INTEGRADA - 3M 
1 ANUAL CADA 4 PERSONAS</t>
  </si>
  <si>
    <t>TOTAL EPP ANUAL</t>
  </si>
  <si>
    <t>CÁLCULO EPP PARA PERSONAL DE OFICINA (NO INCLUYE DOTACIÓN PAPSO)</t>
  </si>
  <si>
    <t>CASCO ECO DIELECTRICO RATCHET BLANCO
1 ANUAL POR PERSONA</t>
  </si>
  <si>
    <t>GAFAS SEGURIDAD CREONTE LENTE OSCURO AF
2 ANUALES POR PERSONA</t>
  </si>
  <si>
    <t>TAPABOCAS</t>
  </si>
  <si>
    <t>RESPIRADOR N95 VÁLVULA CARBÓN ACTIVADO
2 ANUALES POR PERSONA</t>
  </si>
  <si>
    <t>TAPON OIDO SILICONADO
1 MENSUAL POR CADA TRABAJADOR</t>
  </si>
  <si>
    <t>CHALECO MULTIFUNCIONAL
1 SEMESTRAL A CADA TRABAJADOR</t>
  </si>
  <si>
    <t>SE005</t>
  </si>
  <si>
    <t>ADQUISICIÓN DE CARTOGRAFIA (IMÁGENES DE SATELITE Y FOTOS AÉREAS EXISTENTES) S/COMPROBANTE PAGO</t>
  </si>
  <si>
    <t>SE003</t>
  </si>
  <si>
    <t>ARRIENDO OFICINA DE CAMPO + DOTACIÓN</t>
  </si>
  <si>
    <t>SE001</t>
  </si>
  <si>
    <t>COMISIÓN TOPOGRÁFICA (1 TOP. + 1 CAD. 1 + 1 CAD. 2)</t>
  </si>
  <si>
    <t>SE002</t>
  </si>
  <si>
    <t>COMISIÓN TOPOGRÁFICA (1 TOP. + 1 CAD. 1)</t>
  </si>
  <si>
    <t>SEL009</t>
  </si>
  <si>
    <t>Compactación, densidad, estabilidad y flujo por briqueta para asfaltos</t>
  </si>
  <si>
    <t>SE004</t>
  </si>
  <si>
    <t>DERECHO A BOTADERO</t>
  </si>
  <si>
    <t>SEL003</t>
  </si>
  <si>
    <t>Determinación de terrones de arcilla y partículas deleznables en los agregados</t>
  </si>
  <si>
    <t>SEL006</t>
  </si>
  <si>
    <t>Diseños de mezcla para una resistencia determinada (Incluye ensayos a agregados y verificación de resistencia)</t>
  </si>
  <si>
    <t>SEL008</t>
  </si>
  <si>
    <t>SEL001</t>
  </si>
  <si>
    <t>Granulometría por tamizado con lavado sobre tamiz No 200</t>
  </si>
  <si>
    <t>SEL005</t>
  </si>
  <si>
    <t>Relación de Soporte del Suelo en el laboratorio (CBR en el laboratorio) remodelado y sumergido. Suelos granulares (3 puntos)</t>
  </si>
  <si>
    <t>SEL004</t>
  </si>
  <si>
    <t>Relaciones de humedad - masa unitaria seca en los suelos (ensayo modificado de compactación - Proctor Modificado) con corrección del peso unitario y contenido de agua</t>
  </si>
  <si>
    <t>SEL007</t>
  </si>
  <si>
    <t>Resistencia a la compresión de cilindros de concreto (método normal)</t>
  </si>
  <si>
    <t>SEL002</t>
  </si>
  <si>
    <t>Resistencia al desgaste de los agregados de tamaños menores a 37,5 mm (1 1/2") por medio de la máquina de los ángeles.</t>
  </si>
  <si>
    <t>CANT</t>
  </si>
  <si>
    <t>VALOR MENSUAL</t>
  </si>
  <si>
    <t xml:space="preserve">PREST. SOC. </t>
  </si>
  <si>
    <t>DEDIC. %</t>
  </si>
  <si>
    <t>PLAZO</t>
  </si>
  <si>
    <t>VALOR PARCIAL</t>
  </si>
  <si>
    <t>EQUIPO PROFESIONAL</t>
  </si>
  <si>
    <t>ADMINISTRACIÓN, IMPREVISTOS Y UTILIDADES - AIU</t>
  </si>
  <si>
    <t>1.2</t>
  </si>
  <si>
    <t>2.1</t>
  </si>
  <si>
    <t>2.4</t>
  </si>
  <si>
    <t>3.1</t>
  </si>
  <si>
    <t>OFICINA Y CAMPAMENTO EN OBRA</t>
  </si>
  <si>
    <t>4.1</t>
  </si>
  <si>
    <t>4.2</t>
  </si>
  <si>
    <t>SISTEMA DE CÓMPUTO Y COMUNICACIONES</t>
  </si>
  <si>
    <t>5.1</t>
  </si>
  <si>
    <t>6.1</t>
  </si>
  <si>
    <t>6.2</t>
  </si>
  <si>
    <t>SERVICIOS DE LABORATORIO</t>
  </si>
  <si>
    <t>VALLA CONTRACTUAL</t>
  </si>
  <si>
    <t>GASTOS DE LEGALIZACIÓN DEL CONTRATO</t>
  </si>
  <si>
    <t>PÓLIZAS</t>
  </si>
  <si>
    <t>IMPUESTO DE CONTRIBUCIÓN ESPECIAL 5%</t>
  </si>
  <si>
    <t>ESTAMPILLAS</t>
  </si>
  <si>
    <t>Pro Hospital</t>
  </si>
  <si>
    <t>Pro cultura</t>
  </si>
  <si>
    <t>Pro Anciano</t>
  </si>
  <si>
    <t>Pro Deporte y Recreación</t>
  </si>
  <si>
    <t>SUBTOTAL DE COSTOS DE ADMINISTRACIÓN</t>
  </si>
  <si>
    <t>AJUSTE ADMINISTRACIÓN POR REDONDE DE DECIMALES</t>
  </si>
  <si>
    <t>TOTAL COSTOS DE ADMINISTRACIÓN</t>
  </si>
  <si>
    <t>TOTAL COSTOS DIRECTOS</t>
  </si>
  <si>
    <t>% ADMINISTRACIÓN</t>
  </si>
  <si>
    <t>%IMPREVISTOS</t>
  </si>
  <si>
    <t>%UTILIDADES</t>
  </si>
  <si>
    <t>TOTAL AIU</t>
  </si>
  <si>
    <t>_______________________________________</t>
  </si>
  <si>
    <t>m3</t>
  </si>
  <si>
    <t>ml</t>
  </si>
  <si>
    <t>SUBTOTAL COSTOS DIRECTOS</t>
  </si>
  <si>
    <t>%ADMINISTRACIÓN</t>
  </si>
  <si>
    <t>VALOR TOTAL DE LA OBRA</t>
  </si>
  <si>
    <t>VALOR TOTAL DEL PROYECTO</t>
  </si>
  <si>
    <t>CÁLCULO DE PÓLIZAS DE OBRA</t>
  </si>
  <si>
    <t>VALOR DEL CONTRATO ( $ )</t>
  </si>
  <si>
    <t>PLAZO DEL CONTRATO</t>
  </si>
  <si>
    <t>ANTICIPO</t>
  </si>
  <si>
    <t>TIPO DE GARANTÍA</t>
  </si>
  <si>
    <t>VALOR ASEGURADO</t>
  </si>
  <si>
    <t>COBERTURA 
( DÍAS )</t>
  </si>
  <si>
    <t>TASA 
ANUAL</t>
  </si>
  <si>
    <t>PRIMA</t>
  </si>
  <si>
    <t>BASE</t>
  </si>
  <si>
    <t>VALOR</t>
  </si>
  <si>
    <t>CUMPLIMIENTO</t>
  </si>
  <si>
    <t>BUEN MANEJO Y CORRECTA INVERSIÓN DEL ANTICIPO</t>
  </si>
  <si>
    <t>SALARIOS Y PRESTACIONES SOCIALES</t>
  </si>
  <si>
    <t>ESTABILIDAD Y CALIDAD DE LA OBRAS</t>
  </si>
  <si>
    <t>CALIDAD DEL SERVICIO</t>
  </si>
  <si>
    <t>DECRETO 1082 SMMLV RESPONSABILIDAD CIVIL</t>
  </si>
  <si>
    <t>SMMLV</t>
  </si>
  <si>
    <t>MONTO ASEGURABLE</t>
  </si>
  <si>
    <t>PLAZO MESES</t>
  </si>
  <si>
    <t>TASA ANUAL</t>
  </si>
  <si>
    <t>SUBTOTAL PRIMA</t>
  </si>
  <si>
    <t>GASTOS DE EXPEDICIÓN</t>
  </si>
  <si>
    <t>IVA</t>
  </si>
  <si>
    <t>TOTAL POLIZAS</t>
  </si>
  <si>
    <t>3.2</t>
  </si>
  <si>
    <t>PROGRAMA / PROYECTO GESTIÓN AMBIENTAL</t>
  </si>
  <si>
    <t>CUMPLIMIENTO DE REQUISITOS LEGALES</t>
  </si>
  <si>
    <t xml:space="preserve">TRAMITE DE PERMISO DE OCUPACIÓN DE CAUCE </t>
  </si>
  <si>
    <t xml:space="preserve">MANEJO Y DISPOSICION FINAL DE RESIDUOS SOLIDOS CONVENCIONALES Y ESPECIALES  </t>
  </si>
  <si>
    <t>BOLSAS POLIETILENO ALTA DENSIDAD (PAQUETE 100 UNIDADES DE  100 X 100). INCLUYE IVA</t>
  </si>
  <si>
    <t xml:space="preserve">DISPOSICIÓN DE RESIDUOS PELIGROSOS Y ESPECIALES CON EMPRESAS CERTIFICADAS </t>
  </si>
  <si>
    <t>M</t>
  </si>
  <si>
    <t>CINTA SEÑALIZACIÓN CALIBRE 4, 12 CM DE ALTO, COLOR NARANJA - BLANCO O AMARILLO- NEGRO, DE 500 M. (INCLUYE IVA)</t>
  </si>
  <si>
    <t>ROLLO</t>
  </si>
  <si>
    <t xml:space="preserve">PROYECTO DE MANEJO INTEGRAL DE MATERIALES DE CONSTRUCCION Y MANEJO DE FUENTES DE EMISIONES ATMOSFÉRICAS </t>
  </si>
  <si>
    <t xml:space="preserve">TELERAS 1,35M X 0,90 M </t>
  </si>
  <si>
    <t>LAVADERO DE LLANTAS</t>
  </si>
  <si>
    <t xml:space="preserve">PLÁSTICO NEGRO POLIETILENO DE GRUESO CALIBRE,  (150 M, CALIBRE 3.5 ANCHO DE 3 M). </t>
  </si>
  <si>
    <t>MANEJO DE RESIDUOS LÍQUIDOS DOMÉSTICOS E INDUSTRIALES</t>
  </si>
  <si>
    <t xml:space="preserve">KIT DE EMERGENCIA PARA DERRAMES </t>
  </si>
  <si>
    <t>SUBTOTAL GESTIÓN AMBIENTAL</t>
  </si>
  <si>
    <t xml:space="preserve">PROGRAMA DE SEGURIDAD Y SALUD EN EL TRABAJO </t>
  </si>
  <si>
    <t>DOTACIÓN DE CAMPAMENTOS  /INSTALACIONES PROVISIONALES</t>
  </si>
  <si>
    <t>SEÑALES DE CAMPAMENTO - AVISOS EN POLIETILENO DE 30 X 50 CM    (INCLUYE IVA)</t>
  </si>
  <si>
    <t>CAMILLA EMERGENCIA POLIETILENO 185X45CM (INCLUYE IVA)</t>
  </si>
  <si>
    <t>EXTINTOR ABC 20 LB (INCLUYE IVA)</t>
  </si>
  <si>
    <t xml:space="preserve">BOTIQUÍN CRUZ ROJA DE PRIMEROS AUXILIOS REF. 115 EN LONA </t>
  </si>
  <si>
    <t>IMAGEN INSTITUCIONAL</t>
  </si>
  <si>
    <t>LONA PARA VEHÍCULO (VOLQUETA O CAMIÓN) DE 1,50 X 0,80 M, IMPRESIÓN INJEKT RESISTENTE A LA INTEMPERIE</t>
  </si>
  <si>
    <t xml:space="preserve">CARNÉ PERSONAL. </t>
  </si>
  <si>
    <t>SUBTOTAL GESTIÓN SEGURIDAD Y SALUD EN EL TRABAJO</t>
  </si>
  <si>
    <t>GESTIÓN SOCIAL</t>
  </si>
  <si>
    <t xml:space="preserve">INFORMACIÓN Y DIVULGACIÓN </t>
  </si>
  <si>
    <t>BUZÓN PQRS EN ACRÍLICO SEGÚN DISEÑO SUMINISTRADO POR LA ENTIDAD (0,35M*0,45M)</t>
  </si>
  <si>
    <t xml:space="preserve">REUNIONES, TALLERES INFORMATIVOS Y DE SOCIALIZACIÓN CON LA COMUNIDAD AFECTADA POR EL PROYECTO. INICIO, AVANCE Y FIN DE OBRA. INCLUYE LOGÍSTICA Y REFRIGERIOS. </t>
  </si>
  <si>
    <t>SUBTOTAL GESTIÓN SOCIAL</t>
  </si>
  <si>
    <t>TOTAL PLAN DE MANEJO AMBIENTAL - PMA</t>
  </si>
  <si>
    <t>N/A</t>
  </si>
  <si>
    <t xml:space="preserve">SEÑALIZACIÓN FRENTES DE OBRAS Y SITIOS TEMPORALES (DEMARCACIÓN DE ÁREAS DE TRABAJO Y CENTROS DE ACOPIO) </t>
  </si>
  <si>
    <t>ML</t>
  </si>
  <si>
    <t>PLAN DE GESTIÓN INTEGRAL DE OBRA - PGIO</t>
  </si>
  <si>
    <t>JUEGO DE TRES RECIPIENTES O CANECAS DE 55 GALONES, PUNTO ECOLOGICO CON SEÑALIZACIÓN INCLUYE IVA</t>
  </si>
  <si>
    <t>EQ033</t>
  </si>
  <si>
    <t xml:space="preserve">CORTADORA DE PAVIMENTOS </t>
  </si>
  <si>
    <t>4.3</t>
  </si>
  <si>
    <t>DISTANCIA A SITIO DE PROVISIÓN  DE MATERIAL DE PLAYA (ARENILLON, PIEDRA RODADA DE RIO) (KM)</t>
  </si>
  <si>
    <t>DISTANCIA A SITIO DE PROVISIÓN DE MATERIAL DE PLAYA (TRITURADO) (KM)</t>
  </si>
  <si>
    <t>PRESUPUESTO INTERVENTORÍA</t>
  </si>
  <si>
    <t>A</t>
  </si>
  <si>
    <t>COSTOS DIRECTOS DE PERSONAL</t>
  </si>
  <si>
    <t>SALARIO BÁSICO</t>
  </si>
  <si>
    <t>FACTOR MULTIPLICADOR INTERVENTORÍA</t>
  </si>
  <si>
    <t>PRESTACIONES SOCIALES</t>
  </si>
  <si>
    <t>PRIMA ANUAL</t>
  </si>
  <si>
    <t xml:space="preserve">CESANTÍA ANUAL </t>
  </si>
  <si>
    <t>INTERÉS A LAS CESANTÍAS</t>
  </si>
  <si>
    <t>VACACIONES ANUALES</t>
  </si>
  <si>
    <t>EPS</t>
  </si>
  <si>
    <t>PENSIONES (AFP)</t>
  </si>
  <si>
    <t>SENA</t>
  </si>
  <si>
    <t>ICBF</t>
  </si>
  <si>
    <t>SUBSIDIO FAMILIAR (CAJA DE COMPENSACIÓN)</t>
  </si>
  <si>
    <t xml:space="preserve"> ARP 6,96 % NORMAL</t>
  </si>
  <si>
    <t>DOTACIÓN</t>
  </si>
  <si>
    <t>EPP</t>
  </si>
  <si>
    <t>EXÁMENES DE INGRESO - EGRESO</t>
  </si>
  <si>
    <t>COSTOS INDIRECTOS</t>
  </si>
  <si>
    <t>PAPELERÍA DE LA OFICINA DEL CONSULTOR PARA USO DEL PROYECTO (CAFETERÍA Y OTROS GASTOS FUNCIONAMIENTO</t>
  </si>
  <si>
    <t>MUEBLES Y EQUIPOS DE OFICINA, PAGO PROGRAMAS, SISTEMATIZACIÓN  Y ACTUALIZACIÓN TECNOLÓGICA, RACK.</t>
  </si>
  <si>
    <t>PERSONAL ADMINISTRATIVO, TÉCNICO Y NO TÉCNICO, NO FACTURABLE, ENTRENAMIENTO DE PERSONAL, CAPACITACIÓN Y ACTUALIZACIÓN TÉCNICA (CURSOS, SEMINARIOS, CONGRESOS).</t>
  </si>
  <si>
    <t>ASESORÍA CONTABLE, TRIBUTARIA (REVISORÍA FISCAL) Y MÉDICA</t>
  </si>
  <si>
    <t>GASTOS DE LEGALIZACIÓN DE CONTRATO</t>
  </si>
  <si>
    <t>2.3</t>
  </si>
  <si>
    <t>HONORARIOS</t>
  </si>
  <si>
    <t>FACTOR MULTIPLICADOR AJUSTADO A 2 CIFRAS DECIMALES</t>
  </si>
  <si>
    <t>APLICACIÓN FACTOR MULTIPLICADOR</t>
  </si>
  <si>
    <t>SUBTOTAL COSTOS DE PERSONAL</t>
  </si>
  <si>
    <t>FACTOR MULTIPLICADOR</t>
  </si>
  <si>
    <t>VALOR TOTAL COSTOS DE PERSONAL</t>
  </si>
  <si>
    <t>TOTAL COSTOS DIRECTOS DE PERSONAL</t>
  </si>
  <si>
    <t>B</t>
  </si>
  <si>
    <t>OTROS COSTOS DIRECTOS</t>
  </si>
  <si>
    <t>GASTOS DE TRANSPORTE, ALQUILER DE EQUIPO Y OTROS (SE PAGAN CONTRA FACTURA Y RESULTADOS SI APLICA):</t>
  </si>
  <si>
    <t>VALOR BÁSICO TOTAL</t>
  </si>
  <si>
    <t>TOTAL INTERVENTORÍA</t>
  </si>
  <si>
    <t>Formaleta de cuerpo MH D=1,20m</t>
  </si>
  <si>
    <t>EQ034</t>
  </si>
  <si>
    <t>un</t>
  </si>
  <si>
    <t>TOTAL</t>
  </si>
  <si>
    <t>1.3</t>
  </si>
  <si>
    <t>1.4</t>
  </si>
  <si>
    <t>Und</t>
  </si>
  <si>
    <t>kg</t>
  </si>
  <si>
    <t xml:space="preserve">FORMALETA METALICA </t>
  </si>
  <si>
    <t>EQ035</t>
  </si>
  <si>
    <t>EQ036</t>
  </si>
  <si>
    <t>Equipo de soldadura eléctrica MILLER XMT CC/W 300 AMP. Incluye Transporte</t>
  </si>
  <si>
    <t>m</t>
  </si>
  <si>
    <t>EQ037</t>
  </si>
  <si>
    <t>m3-km</t>
  </si>
  <si>
    <t>OCASIÓN</t>
  </si>
  <si>
    <t>VALLA 2 (2,0X2,0M). INCLUYE ESTRUCTURA METÁLICA PARA FIJACIÓN Y SOPORTE</t>
  </si>
  <si>
    <t>6.3</t>
  </si>
  <si>
    <t>6.3.1</t>
  </si>
  <si>
    <t>6.3.2</t>
  </si>
  <si>
    <t>6.3.3</t>
  </si>
  <si>
    <t>6.3.4</t>
  </si>
  <si>
    <t>TELA VERDE ZARÁN DE H=2,50</t>
  </si>
  <si>
    <t>5.2</t>
  </si>
  <si>
    <t>5.3</t>
  </si>
  <si>
    <t>5.4</t>
  </si>
  <si>
    <t>7.1</t>
  </si>
  <si>
    <t>7.2</t>
  </si>
  <si>
    <t>7.3</t>
  </si>
  <si>
    <t>7.4</t>
  </si>
  <si>
    <t>7.5</t>
  </si>
  <si>
    <t>7.6</t>
  </si>
  <si>
    <t>EQ038</t>
  </si>
  <si>
    <t>4.4</t>
  </si>
  <si>
    <t>4.5</t>
  </si>
  <si>
    <t>1.5</t>
  </si>
  <si>
    <t>MUNICIPIO DE DABEIBA</t>
  </si>
  <si>
    <t>MARLON ASDRUBAL PEREZ HERRERA</t>
  </si>
  <si>
    <t>MAT No. 05202-354756ANT</t>
  </si>
  <si>
    <t>6.3.5</t>
  </si>
  <si>
    <t>Pro Justicia</t>
  </si>
  <si>
    <t>6.4</t>
  </si>
  <si>
    <t>6.5</t>
  </si>
  <si>
    <t>10.1</t>
  </si>
  <si>
    <t>10.2</t>
  </si>
  <si>
    <t>10.3</t>
  </si>
  <si>
    <t>dia</t>
  </si>
  <si>
    <t>und</t>
  </si>
  <si>
    <t xml:space="preserve">telera </t>
  </si>
  <si>
    <t>alquiler de tacos metalicos/9und</t>
  </si>
  <si>
    <t>cercha/3und</t>
  </si>
  <si>
    <t>5.5</t>
  </si>
  <si>
    <t>Andamio estructural multidireccional modulo estandar 1.4 x
1.4 x 2 m</t>
  </si>
  <si>
    <t xml:space="preserve">taladro </t>
  </si>
  <si>
    <t xml:space="preserve">CONSTRUCCIÓN DE CASA DE SALUD EN EL CORREGIMIENTO LA BALSITA DEL MUNICIPIO DE DABEIBA </t>
  </si>
  <si>
    <t>6.3.6</t>
  </si>
  <si>
    <t xml:space="preserve">estampilla timbre </t>
  </si>
  <si>
    <t>Reteica</t>
  </si>
  <si>
    <t>6.3.7</t>
  </si>
  <si>
    <t xml:space="preserve">CAPITULO DE ACUEDUCTO </t>
  </si>
  <si>
    <t>Descapote, desmonte y limpieza</t>
  </si>
  <si>
    <t>m²</t>
  </si>
  <si>
    <t>Demolición de tubería existente y disposición final de escombros en sitios oficiales.</t>
  </si>
  <si>
    <t>Demolición de andén en cualquier acabado (incluye retiro)</t>
  </si>
  <si>
    <t>m³</t>
  </si>
  <si>
    <t>Excavación en Roca a cualquier profundidad y bajo cualquier condición de humedad por métodos no explosivos. Incluye desembombe</t>
  </si>
  <si>
    <t>Excavación manual o mecánica en material común o roca descompuesta a profundidad de 0-2m, bajo cualquier condición de humedad</t>
  </si>
  <si>
    <t>Lleno compactado mecanicamente con material de prestamo densidad de compactación &gt;=95% PM</t>
  </si>
  <si>
    <t xml:space="preserve">Lleno y apisonado de zanjas y apiques con material selecto de la excavación, densidad de compactación &gt;=95% PM </t>
  </si>
  <si>
    <t>Cargue, retiro y disposición final de material excedente a sitio autorizado</t>
  </si>
  <si>
    <t>Lleno y apisonado con triturado clase 1 (ASTM D2321)  3/4" a 1/2"</t>
  </si>
  <si>
    <t xml:space="preserve">tubería de polietileno de alta densidad PE100 - RDE11- PN16 (232PSI), Ø250mm </t>
  </si>
  <si>
    <t xml:space="preserve">tubería de polietileno de alta densidad PE100 - RDE11- PN16 (232PSI), Ø110mm </t>
  </si>
  <si>
    <t xml:space="preserve">tubería de polietileno de alta densidad PE100 - RDE11- PN16 (232PSI), Ø90mm </t>
  </si>
  <si>
    <t>Suministro y transporte de Válvula de Compuerta Elástica VNA en HD, 3" (90 mm) BXB</t>
  </si>
  <si>
    <t>Suministro y transporte de Válvula de Compuerta Elástica VNA en HD, 8" (200 mm) BXB</t>
  </si>
  <si>
    <t>S.T.C. Instalación de cinta de señalización y referenciación de redes de acueducto.</t>
  </si>
  <si>
    <t>Instalación de Codo 90°, 90 mm PN16 RDE11, unión termofusión. Incluye todo lo necesario para su correcta ejecución.</t>
  </si>
  <si>
    <t>Instalación de Codo 45°, 90 mm PN16 RDE11, unión termofusión. Incluye todo lo necesario para su correcta ejecución.</t>
  </si>
  <si>
    <t>Instalación de Tee RED 90mm x 75mm (4"x3") PN16 RDE11, unión termofusión. Incluye todo lo necesario para su correcta ejecución.</t>
  </si>
  <si>
    <t>Instalación de Tee RED 110mm x 90mm (4"x2") PN16 RDE11, unión termofusión. Incluye todo lo necesario para su correcta ejecución.</t>
  </si>
  <si>
    <t>Instalación de Tee 90mm x 90 mm (3"x3") PN16 RDE11, unión termofusión. Incluye todo lo necesario para su correcta ejecución.</t>
  </si>
  <si>
    <t>Instalación de Tee RED 90mm x 75 mm (3"x2") PN16 RDE11, unión termofusión. Incluye todo lo necesario para su correcta ejecución.</t>
  </si>
  <si>
    <t>Instalación de Conjunto Brida metálica y Porta Brida, 110 mm PN16 RDE11, unión termofusión. Incluye todo lo necesario para su correcta ejecución.</t>
  </si>
  <si>
    <t>5.6</t>
  </si>
  <si>
    <t>5.7</t>
  </si>
  <si>
    <t>5.8</t>
  </si>
  <si>
    <t>5.9</t>
  </si>
  <si>
    <t>5.10</t>
  </si>
  <si>
    <t>5.11</t>
  </si>
  <si>
    <t>5.12</t>
  </si>
  <si>
    <t>5.13</t>
  </si>
  <si>
    <t xml:space="preserve">ACOMETIDAS DE ACUEDUCTO </t>
  </si>
  <si>
    <t xml:space="preserve">tuberia ACUEDUCTO </t>
  </si>
  <si>
    <t xml:space="preserve">llenos y apisonados ACUEDUCTO </t>
  </si>
  <si>
    <t xml:space="preserve">excavaciones ACUEDUCTO </t>
  </si>
  <si>
    <t xml:space="preserve">DEMOLICIONES, CORTES, ROTURAS ACUEDUCTO </t>
  </si>
  <si>
    <t xml:space="preserve">PRELIMINARES ACUEDUCTO </t>
  </si>
  <si>
    <t>Suministro y transporte de acometida en tubería PEAD PE 80 PN 12.5 RDE13.6 DE 20mm, 5 m en promedio. Incluye collar de derivación a de 8" a 1/2", registro de incorporación 1/2", adaptador macho PF+AUD de 1/2", registo de corte antifraude de 1/2", registro de corte sencillo hxh 1/2" y todo lo necesario para su correcta ejecución según diseño. (No incluye medidor)</t>
  </si>
  <si>
    <t>Suministro y transporte de acometida en tubería PEAD PE 80 PN 12.5 RDE13.6 DE 20mm, 5 m en promedio. Incluye collar de derivación a de 4" a 1/2", registro de incorporación 1/2", adaptador macho PF+AUD de 1/2", registo de corte antifraude de 1/2", registro de corte sencillo hxh 1/2" y todo lo necesario para su correcta ejecución según diseño.
(No incluye medidor)</t>
  </si>
  <si>
    <t>Suministro y transporte de acometida en tubería PEAD PE 80 PN 12.5 RDE13.6 DE 20mm, 5 m en promedio. Incluye collar de derivación a de 3" a 1/2", registro de incorporación 1/2", adaptador macho PF+AUD de 1/2", registo de corte antifraude de 1/2", registro de corte sencillo hxh 1/2" y todo lo necesario para su correcta ejecución según diseño.
(No incluye medidor)</t>
  </si>
  <si>
    <t>Suministro, transporte e instalación de medidor de velocidad, cuerpo de bronce, chorro único, D=1/2" Clase B (incluye accesorios para su correcta instalación e informe de calibración individual)</t>
  </si>
  <si>
    <t xml:space="preserve">Suministro, Transporte y Colocación de caja para medidor de acueducto de diámetro 13 mm (1/2"), plástica en polipropileno con tapa en HD antifraude. Incluye  excavación, retiro y botada. </t>
  </si>
  <si>
    <t xml:space="preserve">OBRAS COMPLEMENTARIAS DE ACUEDUCTO </t>
  </si>
  <si>
    <t>Suministro, transporte e instalación de enchape de piso en gress, incluye todo lo necesario para su instalación</t>
  </si>
  <si>
    <t>Suministro, transporte e instalación de concreto de 14 Mpa de para empotramientos y/o anclajes de tuberías y accesorios.</t>
  </si>
  <si>
    <t xml:space="preserve">Acero de refuerzo, F'y = 4200 Kg/cm² , 60.000 psi </t>
  </si>
  <si>
    <t>Suministro, transporte e instalación de caja para válvula según Norma EPM NC-AS-IL01-05 en concreto de 21 Mpa. Incluye, excavación, cargue, retiro y disposición final de material excedente, llenos y demás actividades.</t>
  </si>
  <si>
    <t>Desinfecccion y prueba hidrostática de redes de acueducto Ø90mm , Ø63mm, Ø110mm y Ø160mm con hipoclorito de sodio norma de EPM, comprende lavada de tuberia, aplicacion de hipoclorito, toma de muestras en los diferentes procesos, analisis de laboratorio.</t>
  </si>
  <si>
    <t>Construcción y/o reconstrucción de andén en concreto de 21 Mpa, espesor de 10cm.  incluye piedra entresuelo e=0.15m, arenilla compactada e=0.05m , juntas y acabados.</t>
  </si>
  <si>
    <t xml:space="preserve">CAPITULO DE ALCANTARILLADO </t>
  </si>
  <si>
    <t xml:space="preserve">PRELIMINARES DE ALCANTARILLADO </t>
  </si>
  <si>
    <t>8.1</t>
  </si>
  <si>
    <t>Retiro y disposición final de tubería</t>
  </si>
  <si>
    <t>Demolición de cámaras de inspección de 1,2m de diámetro</t>
  </si>
  <si>
    <t xml:space="preserve">EXCAVACIONES DE ALCANTARILLADO </t>
  </si>
  <si>
    <t>Excavación manual o mecanica en material común o roca descompuesta a profundidad de 2-4m, bajo cualquier condición de humedad</t>
  </si>
  <si>
    <t>Excavación manual o mecánica en material común o roca descompuesta a profundidades &gt; 4m, bajo cualquier condición de humedad</t>
  </si>
  <si>
    <t>Instalación de tubería con excavación sin zanja por el metodo de Perforación Horizontal Dirigida (PHD), incluye personal experto, equipos y las herramientas para la instalación de la tubería, incluye la investigación de redes y geotecnia,Se entrega alineamiento en planta y perfil del tramo instalado con cartera de campo  (no incluye: permisos para la ejecución, aspectos de manejo socio-ambiental e impacto comunitario, campamentos, tubería PE ni termofusión ni maquinaria para apertura de nichos)</t>
  </si>
  <si>
    <t>Instalación de entibado temporal</t>
  </si>
  <si>
    <t>Instalación de entibado permanente</t>
  </si>
  <si>
    <t>10.4</t>
  </si>
  <si>
    <t>10.5</t>
  </si>
  <si>
    <t>10.6</t>
  </si>
  <si>
    <t>10.7</t>
  </si>
  <si>
    <t xml:space="preserve">LLENOS Y APISONADO DE ALCANTARILLADO </t>
  </si>
  <si>
    <t>Colocación de base en material granular ASTM tipo II, para zanjas y apiques</t>
  </si>
  <si>
    <t xml:space="preserve">SUMINISTRO TRANSPORTE E INSTALACION DE CONCRETOS Y ACEROS PARA ALCANTARILLADO </t>
  </si>
  <si>
    <t xml:space="preserve">Construcción de cilindro para cámaras de inspección de Ø=1,20 m de concreto de f'c=4000 PSI   </t>
  </si>
  <si>
    <t>Construcción de Cono concéntrico, cuello, base y cañuela para cámaras de inspección  de Ø=1,20 m de concreto f'c=4000 PSI</t>
  </si>
  <si>
    <t>Peldaños galvanizados tipo uña de gato, en acero corrugado de Ø3/4mm</t>
  </si>
  <si>
    <t>Anillo y tapa polimérica circular de 0,7m de diámetro para cámaras de inspección</t>
  </si>
  <si>
    <t xml:space="preserve">Construcción de aliviadero de cañuela elevada en concreto de 21 Mpa (3.000psi) para zonas de trafico vehicular de Ø 1.20m y hasta 4m de profundidad (medidas internas), espesor de muros 0,2m y espesor de losas de 0,2m. Incluye cimentación, cañuelka elevada en concreto, acero de refuerzo de 60.000psi, peldaños galvanizados y tapa </t>
  </si>
  <si>
    <t>CONSTRUCCIÓN DE CAJAS DE EMPALME para domiciliar (0,50 x 0,50internos ), incluye tapa, acero de refuerzo (60.000 psi), en concreto impermeabilizado de 28Mpa. Incluye cañuela, panes, tapa con su herraje, solado e=0,05m y todo lo necesario para su correcta ejecución</t>
  </si>
  <si>
    <t>S.T.C. de cabezote de 747 mm en  Concreto f'c = 210kg/cm2, incluye acero y formaletería de concreto a la vista</t>
  </si>
  <si>
    <t>S.T.C. de cabezote de 284 mm en  Concreto f'c = 210kg/cm2, incluye acero y formaletería de concreto a la vista</t>
  </si>
  <si>
    <t>S.T.C. de cabezote de 452 mm en  Concreto f'c = 210kg/cm2, incluye acero y formaletería de concreto a la vista</t>
  </si>
  <si>
    <t>12.1</t>
  </si>
  <si>
    <t>12.2</t>
  </si>
  <si>
    <t>12.3</t>
  </si>
  <si>
    <t>12.4</t>
  </si>
  <si>
    <t>12.5</t>
  </si>
  <si>
    <t>12.6</t>
  </si>
  <si>
    <t>12.7</t>
  </si>
  <si>
    <t>12.8</t>
  </si>
  <si>
    <t>12.9</t>
  </si>
  <si>
    <t xml:space="preserve">REDES DE ALCANTARILLADO </t>
  </si>
  <si>
    <t>Tubería PVC alcantarillado hermético de pared estructural, interior lisa y exterior corrugada - unión mecánica, campana espigo con hidrosello de caucho - Norma NTC 5055 Øinterno 227 mm. DN=250mm) Incluye nivelación con comisión de topografía.</t>
  </si>
  <si>
    <t>Tubería PVC alcantarillado hermético de pared estructural, interior lisa y exterior corrugada - unión mecánica, campana espigo con hidrosello de caucho - Norma NTC 5055 Øinterno 284 mm. DN=315mm) Incluye nivelación con comisión de topografía</t>
  </si>
  <si>
    <t>Tubería PVC alcantarillado hermético de pared estructural, interior lisa y exterior corrugada - unión mecánica, campana espigo con hidrosello de caucho - Norma NTC 5055 Øinterno 327 mm. DN=355mm) Incluye nivelación con comisión de topografía.</t>
  </si>
  <si>
    <t>Tubería PVC alcantarillado hermético de pared estructural, interior lisa y exterior corrugada - unión mecánica, campana espigo con hidrosello de caucho - Norma NTC 5055 Øinterno 362 mm. DN=400mm) Incluye nivelación con comisión de topografía.</t>
  </si>
  <si>
    <t>Tubería PVC alcantarillado hermético de pared estructural, interior lisa y exterior corrugada - unión mecánica, campana espigo con hidrosello de caucho - Norma NTC 5055 Øinterno 407 mm. (DN=450mm). Incluye nivelación con comisión de topografía.</t>
  </si>
  <si>
    <t>Tubería PVC alcantarillado hermético de pared estructural, interior lisa y exterior corrugada - unión mecánica, campana espigo con hidrosello de caucho - Norma NTC 5055 Øinterno 452 mm. DN=500mm) Incluye nivelación con comisión de topografía.</t>
  </si>
  <si>
    <t>Tubería PVC alcantarillado hermético de pared estructural, interior lisa y exterior corrugada - unión mecánica, campana espigo con hidrosello de caucho - Norma NTC 5055 Øinterno 595.12 mm. DN=650mm - 24") Incluye nivelación con comisión de topografía.</t>
  </si>
  <si>
    <t>Tubería PVC alcantarillado hermético de pared estructural, interior lisa y exterior corrugada - unión mecánica, campana espigo con hidrosello de caucho - Norma NTC 5055 Øinterno 747 mm. DN=813mm) Incluye nivelación con comisión de topografía</t>
  </si>
  <si>
    <t>Tubería PVC alcantarillado hermético de pared estructural, interior lisa y exterior corrugada - unión mecánica, campana espigo con hidrosello de caucho - Norma NTC 5055 - Ø160mm (6").</t>
  </si>
  <si>
    <t xml:space="preserve">Kit Silla Yee PVC alcantarillado hermético, incluye 2 abrazaderas,  1 caucho y 1 codo PVC 45° Ø160mm - Norma NTC 3722-1 - Ø250mm x Ø160mm (10"X6") </t>
  </si>
  <si>
    <t>13.10</t>
  </si>
  <si>
    <t xml:space="preserve">OBRAS COMPLEMENTARIAS DE ALCANTARILLADO </t>
  </si>
  <si>
    <t>Televisación de redes de alcantarillado incluye el lavado de las redes e ingreso a cualquier tipo de zona.</t>
  </si>
  <si>
    <t>Instalación de engramado con cespedones en gramalote</t>
  </si>
  <si>
    <t xml:space="preserve">Construcción de sumidero tipo B, para aguas lluvias, incluye canastilla  </t>
  </si>
  <si>
    <t>Tubería PVC alcantarillado hermético de pared estructural, interior lisa y exterior corrugada - unión mecánica, campana espigo con hidrosello de caucho - Norma NTC 5055 - Ø200mm (8"). Incluye nivelación con comisión de topografía.</t>
  </si>
  <si>
    <t>14.1</t>
  </si>
  <si>
    <t>14.2</t>
  </si>
  <si>
    <t>14.3</t>
  </si>
  <si>
    <t>14.4</t>
  </si>
  <si>
    <t>14.5</t>
  </si>
  <si>
    <t xml:space="preserve">DIA </t>
  </si>
  <si>
    <t>comision topografica para localizacio, Trazado y replanteo</t>
  </si>
  <si>
    <t xml:space="preserve">%IMPREVISTO </t>
  </si>
  <si>
    <t xml:space="preserve">CAPITULO DE PAVIMENTO </t>
  </si>
  <si>
    <t xml:space="preserve">PRELIMINARES DE PAVIMENTO </t>
  </si>
  <si>
    <t xml:space="preserve">Demolición de pavimento rígido, de cualquier resistencia y espesor. Incluye retiro de entresuelo adherido, de acero de refuerzo, de cordones, el cargue y disposición final. Incluye transporte hasta el sitio que indique la interventoría. </t>
  </si>
  <si>
    <t>Conformación del material de la sub rasante existente con maquinaria, Incluye nivelación, compactación, limpieza  y todo lo necesario para la correcta ejecución de la actividad.</t>
  </si>
  <si>
    <t>Localización Trazado Y Replanteo con equipos de topografía, incluye levantamiento inicial, implantación de la geometría del diseño con sección tranversal de la vía y controles de niveles para el proceso constructivo.</t>
  </si>
  <si>
    <t xml:space="preserve">Desmonte, retiro y cargue manual de adoquín de concreto, incluye acarreo interno, transporte y disposición final en sitio que indique la interventoría </t>
  </si>
  <si>
    <t xml:space="preserve">DEMOLICIONES Y RETIROS </t>
  </si>
  <si>
    <t xml:space="preserve">EXCAVACIONES Y MOVIMIENTOS DE TIERRA </t>
  </si>
  <si>
    <t>15.1</t>
  </si>
  <si>
    <t>15.2</t>
  </si>
  <si>
    <t>15.3</t>
  </si>
  <si>
    <t xml:space="preserve">RESISTENCIA A FLEXION DE VIGAS DE CONCRETO </t>
  </si>
  <si>
    <t>Excavación manual en material común. Incluye acarreo interno y disposición manual a distancias entre 0 -100m</t>
  </si>
  <si>
    <t xml:space="preserve">Excavación mecánica en material común de la explanación, canales y préstamos. Incluye transporte, cargue y disposición final del material sobrante. </t>
  </si>
  <si>
    <t>MEJORAMIENTOS DE SUBRASANTE Y ESTRUCTURA DE PAVIMENTOS</t>
  </si>
  <si>
    <t>16.1</t>
  </si>
  <si>
    <t>16.2</t>
  </si>
  <si>
    <t>Suministro, colocación, conformación y compactación de Sub-base granular . Compactación hasta obtener una densidad mínima del 95%, de la obtenida en el ensayo del Proctor modificado. Incluye transporte</t>
  </si>
  <si>
    <t>ESTRUCTURAS EN CONCRETO  - PAVIMENTOS</t>
  </si>
  <si>
    <t>Suministro y colocación de Bordillo prefabricado  0,45 x 0,15 x 0,8 m, incluye concreto de nivelación y mortero de pega y todos los demás elementos necesarios para su correcto funcionamiento.</t>
  </si>
  <si>
    <t xml:space="preserve">Pavimento en concreto hidráulico de 4000 psi (Compresión de 28 Mpa), MR 4.0Mpa. Incluye formaleta, acero de refuerzo (barras de transferencia de carga, barras de anclaje y canastilla de sujeción), tratamiento de juntas y dilataciones (corte y sello de dilataciones) y transporte de materiales requeridos.
</t>
  </si>
  <si>
    <t xml:space="preserve">ACEROS DE REFUERZO </t>
  </si>
  <si>
    <t>Suministro, transporte, figurado y colocación de acero de refuerzo fy=4200 kg/cm2</t>
  </si>
  <si>
    <t>15.4</t>
  </si>
  <si>
    <t>17.1</t>
  </si>
  <si>
    <t>18.1</t>
  </si>
  <si>
    <t>18.2</t>
  </si>
  <si>
    <t>19.1</t>
  </si>
  <si>
    <t>20.1</t>
  </si>
  <si>
    <t>20.2</t>
  </si>
  <si>
    <t>Transporte de materiales de afirmado para llenos y conformacion de sub-base para distancias superiores a 1000m
medidos a partir de 100m. Material compacto  (Incluye30%deexpansión)</t>
  </si>
  <si>
    <t>Transporte de sobrantes provenientes de la excavación, canales, préstamos
para distancias superiores a 1000m medidos a partir de 100m. Material
compacto
(Incluye 30% de expansión)</t>
  </si>
  <si>
    <t>Transporte de sobrantes provenientes de demoliciones para distancias superiores a 1000m medidos a partir de 100m. Material compacto (Incluye 30% de expansión)</t>
  </si>
  <si>
    <t xml:space="preserve">TRANSPORTE GENERALES </t>
  </si>
  <si>
    <t>PAGA</t>
  </si>
  <si>
    <t>ALCALDÍA DE PUERTO NARE</t>
  </si>
  <si>
    <t>PLAN DE MANEJO DE TRANSITO</t>
  </si>
  <si>
    <t>EQUIPOS</t>
  </si>
  <si>
    <t>TRANSPORTES</t>
  </si>
  <si>
    <t>MANO DE OBRA</t>
  </si>
  <si>
    <t>SERVICIOS</t>
  </si>
  <si>
    <t>DOTACION SEGURIDAD INDUSTRIAL</t>
  </si>
  <si>
    <t>Camilla rigida</t>
  </si>
  <si>
    <t>Botiquín básico de primeros auxilios</t>
  </si>
  <si>
    <t>Extintor (mas dos recargas)</t>
  </si>
  <si>
    <t xml:space="preserve">Manguera para agua </t>
  </si>
  <si>
    <t>Señalización campamento</t>
  </si>
  <si>
    <t>global</t>
  </si>
  <si>
    <t>Baño fijo para campamento (Según R.2400 de 1979: sanitario, lavamanos, orinal, ducha)</t>
  </si>
  <si>
    <t>Baño portatil para obra (S&amp;y)</t>
  </si>
  <si>
    <t>mes</t>
  </si>
  <si>
    <t>DEMARCACIÓN Y SEÑALIZACIÓN</t>
  </si>
  <si>
    <t>Cinta Señalización, ancho 0.12m (según manual de comunicaciones)</t>
  </si>
  <si>
    <t>Tela tipo cerramiento color verde (2,100 m ancho)</t>
  </si>
  <si>
    <t>Señales informativas (aproximación a obra, inicio, fin, carril cerrado,  sendero peatonal.  Tablero rectangular fondo naranja, simbolos y orla negros, lamina galvanizada, calibre 20, altura de 3,50 m). (Alquiler)</t>
  </si>
  <si>
    <t>Señales preventivas (entrada y salida de volquetas, Trabajos en la vía, maquinaria en vía.  En forma de rombo, fondo naranja, color negro para simbolos, tamaño 75 x 90). (Alquiler)</t>
  </si>
  <si>
    <t>Señales preventivas (señales de protección, señales de obra, entre otras).  En forma de rombo, fondo naranja, color negro para simbolos, tamaño 75 x 90). (Alquiler)</t>
  </si>
  <si>
    <t>Paleta de pare y siga (papel grado diamante 45 cm de diametro y paral de 1,50 m de largo)</t>
  </si>
  <si>
    <t>DISPOSITIVOS PARA CANALIZACIÓN DE TRÁNSITO</t>
  </si>
  <si>
    <t>Balizas  (1,27 m)</t>
  </si>
  <si>
    <t>SOCIALIZACIÓN</t>
  </si>
  <si>
    <t>Buzon de sugerencias en acrilico de 0,30m * 0,30m * 0,30m (según manual de comunicaciones)</t>
  </si>
  <si>
    <t xml:space="preserve">PERSONAL </t>
  </si>
  <si>
    <t xml:space="preserve">PERSONAL PARE Y SIGA </t>
  </si>
  <si>
    <t xml:space="preserve">MES </t>
  </si>
  <si>
    <t>Porcentaje</t>
  </si>
  <si>
    <t>Costo Directo</t>
  </si>
  <si>
    <t>Barricadas (1,50 m alto x 2,40 m ancho, con reflectivo grado diamante)</t>
  </si>
  <si>
    <t>PMT</t>
  </si>
  <si>
    <t>INTERVENTORIA</t>
  </si>
  <si>
    <t>INSERTE ESCUDO ENTIDAD AQUÍ</t>
  </si>
  <si>
    <t xml:space="preserve">PREST. SOC.
</t>
  </si>
  <si>
    <t>PROFESIONAL DIRECTOR</t>
  </si>
  <si>
    <t xml:space="preserve">PROFESIONAL RESIDENTE
</t>
  </si>
  <si>
    <t>TECNOLOGO SST</t>
  </si>
  <si>
    <t>TECNOLOGO SOCIO AMBIENTAL</t>
  </si>
  <si>
    <t>PERSONAL TÉCNICO NO PROFESIONAL DE INTERVENTORÍA</t>
  </si>
  <si>
    <t>OTROS COSTOS DE PERSONAL</t>
  </si>
  <si>
    <r>
      <t xml:space="preserve">VALOR ESTIMADO PARA PROVISIÓN DE HORAS EXTRAS DEL EQUIPO DE TECNÓLOGOS. 
</t>
    </r>
    <r>
      <rPr>
        <sz val="7"/>
        <rFont val="Calibri"/>
        <family val="2"/>
      </rPr>
      <t>(PROVISIÓN QUE SE UTILIZARÁ SIEMPRE Y CUANDO LAS HORAS EXTRAS HAYAN SIDO DEBIDAMENTE AUTORIZADAS POR PARTE DEL SUPERVISOR DESIGNADO POR EL DEPARTAMENTO DE ANTIOQUIA Y SÓLO PARA LOS CASOS EN QUE ESTRICTAMENTE SE REQUIERAN. EL VALOR DE LA HORA SE CALCULARÁ DE ACUERDO CON EL SALARIO DE LOS TECNÓLOGOS OFRECIDO EN ESTE FORMULARIO POR EL CONTRATISTA, EL CUAL Y EL MISMO SERÁ AFECTADO POR EL FACTOR MULTIPLICADOR PRESENTADO POR ÉSTE. POR NINGÚN MOTIVO PODRÁN SUPERAR EL MONTO ESTABLECIDO.)</t>
    </r>
  </si>
  <si>
    <t>GASTOS DE ALOJAMIENTO, TRANSPORTE Y ALIMENTACIÓN.</t>
  </si>
  <si>
    <t>PAPELERÍA</t>
  </si>
  <si>
    <t>COMUNICACIONES (TELÉFONO, FAX, CELULAR, INTERNET, ETC.) MENSUAL EN CAMPO</t>
  </si>
  <si>
    <t>SERVICIOS DE ENSAYOS DE LABORATORIO:  GRANULOMETRÍA, CBR, COMPRESIÓN SIMPLE, FLEXO TRACCIÓN VIGAS ENTRE OTROS QUE SE SOLICITEN POR PARTE DE LA ENTIDAD Y SEAN REALIZADOS POR LA INTERVENTORIA.</t>
  </si>
  <si>
    <t>OTROS COSTOS (SE PAGAN CONTRA FACTURA Y RESULTADOS SI APLICA):</t>
  </si>
  <si>
    <t>ASESORÍAS ESPECIALIZADAS</t>
  </si>
  <si>
    <t>PROVISIÓN PARA EL PAGO DE PRIMAS DE PÓLIZAS (GARANTÍAS)</t>
  </si>
  <si>
    <t>VR. TOPE MENSUAL A RECONOCER</t>
  </si>
  <si>
    <t>% RECONOCIMIENTO</t>
  </si>
  <si>
    <t>PLAZO CONTRATO</t>
  </si>
  <si>
    <t>VALOR A RECONOCER</t>
  </si>
  <si>
    <t>COSTOS OFICINA (ARRENDAMIENTO,ADMINISTRACIÓN Y SERVICIOS PÚBLICOS, MANTENIMIENTO DE OFICINAS, ASEO, VIGILANCIA, SEGUROS DE ROBO E INCENDIO, ALQUILER (O DEPRECIACIÓN)  Y MANTENIMIENTO DE VEHÍCULOS DE ADMINISTRACIÓN Y GERENCIA,   ASOCIACIONES PROFESIONALES, DOCUMENTACIÓN TÉCNICA, REVISTAS, REPRESENTACIÓN Y PROMOCIÓN, PREPARACIÓN Y EDICIÓN DE PROPUESTAS, GASTOS DE VIAJE, GASTOS DE REPRESENTACIÓN)</t>
  </si>
  <si>
    <t>OTROS COSTOS INDIRECTOS</t>
  </si>
  <si>
    <t>VALOR GASTOS LEGALIZACION - TASAS Y CONTRIBUCIONES</t>
  </si>
  <si>
    <t>VALOR BÁSICO (A + B)</t>
  </si>
  <si>
    <t xml:space="preserve">CALCULO ESTAMPILLA DEPARTAMENTAL </t>
  </si>
  <si>
    <t>TOTAL DEL CONTRATO SIN 50% DEL 4/1000 (Para efectos de calculo de impuesto y estampillas)</t>
  </si>
  <si>
    <t>APORTE DEL DEPARTAMENTO DE ANTIOQUIA</t>
  </si>
  <si>
    <t>Se diligencia el valor monetario aportador por el Departamento de Antioquía para el proyecto</t>
  </si>
  <si>
    <t xml:space="preserve">VALOR BÁSICO SIN 50% del 4/1000, NI estampillas para efectos del calculo del impuesto al gravamen financiero </t>
  </si>
  <si>
    <t>VALOR PORCENTUAL APORTADO</t>
  </si>
  <si>
    <t>Valor porcentual del presupuesto aportado por el Departamento de Antioquia respecto al valor total del Presupuesto de Interventoria</t>
  </si>
  <si>
    <t>Total de la sumatoria de las estampillas y/o impuestos (para efectos de cálculo de impuesto al gravamen financiero)</t>
  </si>
  <si>
    <t>Valor monetario aportado por la Gobernación al presupuesto de interventoria sin el 50 % del 4/1000</t>
  </si>
  <si>
    <t>ESTAMPILLA / IMPUESTO A RECONOCER</t>
  </si>
  <si>
    <t>PORCENTAJE TASA</t>
  </si>
  <si>
    <t>PORCENTAJE CÁLCULO FM</t>
  </si>
  <si>
    <t>Estampilla Pro cultura</t>
  </si>
  <si>
    <t>Las estampillas deben ser consideradas las que apliquen, Si es que aplica</t>
  </si>
  <si>
    <t>Estampilla Pro hospital</t>
  </si>
  <si>
    <t>Estampilla Pro deporte</t>
  </si>
  <si>
    <t>Estampilla Pro adulto mayor</t>
  </si>
  <si>
    <t>Pro justicia</t>
  </si>
  <si>
    <t>COLOCAR ESTAMPILLA DEL DEPARTAMENTO DE ANTIOQUIA ( Solo si aplica respecto a la fuente de financiación del proyecto )</t>
  </si>
  <si>
    <t xml:space="preserve">Impuesto del 50% del 4/1000 (sobre el valor total del contrato) </t>
  </si>
  <si>
    <t xml:space="preserve">INCLUIRLO SI LO CONSIDERAN ( Reservado para el reconocimiento de Impuesto del 50% del 4/1000 (sobre el valor total del contrato de interventoria) </t>
  </si>
  <si>
    <t>OTROS COSTOS INDIRECTOS - TASAS Y CONTRIBUCIONES</t>
  </si>
  <si>
    <t>Valor para el FM</t>
  </si>
  <si>
    <t>CÁLCULO DE PÓLIZAS DE INTERVENTORÍA</t>
  </si>
  <si>
    <t>I.V.A.</t>
  </si>
  <si>
    <t xml:space="preserve">HONORARIOS EDURHA </t>
  </si>
  <si>
    <t xml:space="preserve">VALOR TOTAL DEL PROYECTO OBRA + INTERVENTORIA </t>
  </si>
  <si>
    <t>INGENIERO CONSULTOR PLANOS RECORD</t>
  </si>
  <si>
    <t xml:space="preserve">TECNOLOGO SOCIO-AMBIENTAL </t>
  </si>
  <si>
    <t xml:space="preserve">DIRECTOR DE OBRA </t>
  </si>
  <si>
    <t>INGENIERO DISEÑOS RECORD</t>
  </si>
  <si>
    <t>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</si>
</sst>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5" formatCode="&quot;$&quot;\ #,##0;\-&quot;$&quot;\ #,##0"/>
    <numFmt numFmtId="6" formatCode="&quot;$&quot;\ #,##0;[Red]\-&quot;$&quot;\ #,##0"/>
    <numFmt numFmtId="42" formatCode="_-&quot;$&quot;\ * #,##0_-;\-&quot;$&quot;\ * #,##0_-;_-&quot;$&quot;\ * &quot;-&quot;_-;_-@_-"/>
    <numFmt numFmtId="41" formatCode="_-* #,##0_-;\-* #,##0_-;_-* &quot;-&quot;_-;_-@_-"/>
    <numFmt numFmtId="44" formatCode="_-&quot;$&quot;\ * #,##0.00_-;\-&quot;$&quot;\ * #,##0.00_-;_-&quot;$&quot;\ * &quot;-&quot;??_-;_-@_-"/>
    <numFmt numFmtId="164" formatCode="0.000%"/>
    <numFmt numFmtId="165" formatCode="#,##0.0&quot; MESES&quot;"/>
    <numFmt numFmtId="166" formatCode="#,##0.00&quot; KM&quot;"/>
    <numFmt numFmtId="167" formatCode="&quot;$&quot;\ #,##0"/>
    <numFmt numFmtId="168" formatCode="#,##0.00&quot; SMMLV&quot;"/>
    <numFmt numFmtId="169" formatCode="#,##0&quot; DÍAS&quot;"/>
    <numFmt numFmtId="170" formatCode="_-&quot;$&quot;\ * #,##0_-;\-&quot;$&quot;\ * #,##0_-;_-&quot;$&quot;\ * &quot;-&quot;??_-;_-@_-"/>
    <numFmt numFmtId="171" formatCode="_-&quot;$&quot;* #,##0.00_-;\-&quot;$&quot;* #,##0.00_-;_-&quot;$&quot;* &quot;-&quot;??_-;_-@_-"/>
    <numFmt numFmtId="172" formatCode="&quot;$&quot;#,##0.00;[Red]\-&quot;$&quot;#,##0.00"/>
    <numFmt numFmtId="173" formatCode="_(&quot;$&quot;\ * #,##0.00_);_(&quot;$&quot;\ * \(#,##0.00\);_(&quot;$&quot;\ * &quot;-&quot;??_);_(@_)"/>
    <numFmt numFmtId="174" formatCode="_(&quot;$&quot;\ * #,##0_);_(&quot;$&quot;\ * \(#,##0\);_(&quot;$&quot;\ * &quot;-&quot;??_);_(@_)"/>
    <numFmt numFmtId="175" formatCode="[$$-240A]\ #,##0"/>
    <numFmt numFmtId="176" formatCode="_-[$$-240A]\ * #,##0.00_-;\-[$$-240A]\ * #,##0.00_-;_-[$$-240A]\ * &quot;-&quot;??_-;_-@_-"/>
    <numFmt numFmtId="177" formatCode="_-&quot;$&quot;\ * #,##0.0000000_-;\-&quot;$&quot;\ * #,##0.0000000_-;_-&quot;$&quot;\ * &quot;-&quot;??_-;_-@_-"/>
    <numFmt numFmtId="178" formatCode="_-[$$-240A]\ * #,##0.000000000000_-;\-[$$-240A]\ * #,##0.000000000000_-;_-[$$-240A]\ * &quot;-&quot;??_-;_-@_-"/>
    <numFmt numFmtId="179" formatCode="_-* #,##0.00\ _€_-;\-* #,##0.00\ _€_-;_-* &quot;-&quot;??\ _€_-;_-@_-"/>
    <numFmt numFmtId="180" formatCode="_ &quot;$&quot;\ * #,##0_ ;_ &quot;$&quot;\ * \-#,##0_ ;_ &quot;$&quot;\ * &quot;-&quot;_ ;_ @_ "/>
    <numFmt numFmtId="181" formatCode="#,##0.0000"/>
    <numFmt numFmtId="182" formatCode="0.0%"/>
    <numFmt numFmtId="183" formatCode="_ &quot;$&quot;\ * #,##0.00_ ;_ &quot;$&quot;\ * \-#,##0.00_ ;_ &quot;$&quot;\ * &quot;-&quot;??_ ;_ @_ "/>
  </numFmts>
  <fonts count="56" x14ac:knownFonts="1">
    <font>
      <sz val="11"/>
      <color theme="1"/>
      <name val="Calibri"/>
      <family val="2"/>
      <scheme val="minor"/>
    </font>
    <font>
      <sz val="11"/>
      <color theme="1"/>
      <name val="Calibri"/>
      <family val="2"/>
      <scheme val="minor"/>
    </font>
    <font>
      <b/>
      <sz val="11"/>
      <color theme="1"/>
      <name val="Calibri"/>
      <family val="2"/>
      <scheme val="minor"/>
    </font>
    <font>
      <b/>
      <sz val="20"/>
      <color indexed="8"/>
      <name val="Calibri"/>
      <family val="2"/>
    </font>
    <font>
      <b/>
      <sz val="16"/>
      <color indexed="8"/>
      <name val="Calibri"/>
      <family val="2"/>
    </font>
    <font>
      <b/>
      <sz val="12"/>
      <color indexed="8"/>
      <name val="Calibri"/>
      <family val="2"/>
    </font>
    <font>
      <sz val="10"/>
      <color indexed="8"/>
      <name val="Calibri"/>
      <family val="2"/>
    </font>
    <font>
      <b/>
      <sz val="10"/>
      <color indexed="8"/>
      <name val="Calibri"/>
      <family val="2"/>
    </font>
    <font>
      <b/>
      <sz val="11"/>
      <color theme="1"/>
      <name val="Calibri"/>
      <family val="2"/>
    </font>
    <font>
      <sz val="11"/>
      <color theme="1"/>
      <name val="Calibri"/>
      <family val="2"/>
    </font>
    <font>
      <u/>
      <sz val="11"/>
      <color theme="10"/>
      <name val="Calibri"/>
      <family val="2"/>
      <scheme val="minor"/>
    </font>
    <font>
      <b/>
      <i/>
      <sz val="11"/>
      <color rgb="FFFF0000"/>
      <name val="Calibri"/>
      <family val="2"/>
    </font>
    <font>
      <b/>
      <i/>
      <sz val="11"/>
      <color rgb="FFFF0000"/>
      <name val="Calibri"/>
      <family val="2"/>
      <scheme val="minor"/>
    </font>
    <font>
      <b/>
      <i/>
      <u/>
      <sz val="11"/>
      <color rgb="FFFF0000"/>
      <name val="Calibri"/>
      <family val="2"/>
      <scheme val="minor"/>
    </font>
    <font>
      <sz val="11"/>
      <color indexed="8"/>
      <name val="Calibri"/>
      <family val="2"/>
    </font>
    <font>
      <b/>
      <sz val="11"/>
      <color theme="3"/>
      <name val="Arial Narrow"/>
      <family val="2"/>
    </font>
    <font>
      <b/>
      <u/>
      <sz val="11"/>
      <color rgb="FFC00000"/>
      <name val="Arial Narrow"/>
      <family val="2"/>
    </font>
    <font>
      <b/>
      <sz val="11"/>
      <color indexed="8"/>
      <name val="Calibri"/>
      <family val="2"/>
    </font>
    <font>
      <b/>
      <sz val="9"/>
      <color indexed="8"/>
      <name val="Calibri"/>
      <family val="2"/>
    </font>
    <font>
      <b/>
      <sz val="14"/>
      <color indexed="8"/>
      <name val="Calibri"/>
      <family val="2"/>
    </font>
    <font>
      <b/>
      <sz val="8"/>
      <color indexed="8"/>
      <name val="Calibri"/>
      <family val="2"/>
    </font>
    <font>
      <sz val="9"/>
      <color indexed="8"/>
      <name val="Calibri"/>
      <family val="2"/>
    </font>
    <font>
      <sz val="9"/>
      <name val="Calibri"/>
      <family val="2"/>
    </font>
    <font>
      <b/>
      <sz val="9"/>
      <name val="Calibri"/>
      <family val="2"/>
    </font>
    <font>
      <sz val="9"/>
      <color theme="1"/>
      <name val="Calibri"/>
      <family val="2"/>
      <scheme val="minor"/>
    </font>
    <font>
      <sz val="10"/>
      <name val="Calibri"/>
      <family val="2"/>
    </font>
    <font>
      <b/>
      <sz val="18"/>
      <color indexed="8"/>
      <name val="Calibri"/>
      <family val="2"/>
    </font>
    <font>
      <b/>
      <sz val="9"/>
      <color theme="1"/>
      <name val="Calibri"/>
      <family val="2"/>
    </font>
    <font>
      <b/>
      <sz val="9"/>
      <color theme="1"/>
      <name val="Calibri"/>
      <family val="2"/>
      <scheme val="minor"/>
    </font>
    <font>
      <b/>
      <i/>
      <sz val="10"/>
      <color indexed="8"/>
      <name val="Calibri"/>
      <family val="2"/>
    </font>
    <font>
      <sz val="8"/>
      <name val="Calibri"/>
      <family val="2"/>
      <scheme val="minor"/>
    </font>
    <font>
      <sz val="10"/>
      <color theme="1"/>
      <name val="Calibri"/>
      <family val="2"/>
      <scheme val="minor"/>
    </font>
    <font>
      <sz val="9"/>
      <color rgb="FFFF0000"/>
      <name val="Calibri"/>
      <family val="2"/>
    </font>
    <font>
      <b/>
      <i/>
      <sz val="10"/>
      <color rgb="FFFF0000"/>
      <name val="Calibri"/>
      <family val="2"/>
    </font>
    <font>
      <sz val="10"/>
      <name val="Arial"/>
      <family val="2"/>
    </font>
    <font>
      <b/>
      <sz val="10"/>
      <color indexed="8"/>
      <name val="Verdana"/>
      <family val="2"/>
    </font>
    <font>
      <sz val="11"/>
      <name val="Arial Narrow"/>
      <family val="2"/>
    </font>
    <font>
      <b/>
      <sz val="24"/>
      <color indexed="8"/>
      <name val="Calibri"/>
      <family val="2"/>
    </font>
    <font>
      <b/>
      <sz val="10"/>
      <color theme="1"/>
      <name val="Verdana"/>
      <family val="2"/>
    </font>
    <font>
      <b/>
      <sz val="10"/>
      <name val="Verdana"/>
      <family val="2"/>
    </font>
    <font>
      <sz val="10"/>
      <color indexed="8"/>
      <name val="Arial"/>
      <family val="2"/>
    </font>
    <font>
      <b/>
      <sz val="10"/>
      <color indexed="8"/>
      <name val="Arial"/>
      <family val="2"/>
    </font>
    <font>
      <sz val="10"/>
      <name val="Verdana"/>
      <family val="2"/>
    </font>
    <font>
      <sz val="10"/>
      <color theme="1"/>
      <name val="Verdana"/>
      <family val="2"/>
    </font>
    <font>
      <sz val="11"/>
      <color indexed="8"/>
      <name val="Verdana"/>
      <family val="2"/>
    </font>
    <font>
      <sz val="11"/>
      <color theme="1"/>
      <name val="Verdana"/>
      <family val="2"/>
    </font>
    <font>
      <b/>
      <sz val="8"/>
      <color rgb="FFEAEAEA"/>
      <name val="Calibri"/>
      <family val="2"/>
    </font>
    <font>
      <sz val="7"/>
      <name val="Calibri"/>
      <family val="2"/>
    </font>
    <font>
      <b/>
      <sz val="12"/>
      <color rgb="FFEAEAEA"/>
      <name val="Calibri"/>
      <family val="2"/>
    </font>
    <font>
      <b/>
      <sz val="20"/>
      <color theme="1"/>
      <name val="Calibri"/>
      <family val="2"/>
      <scheme val="minor"/>
    </font>
    <font>
      <b/>
      <sz val="12"/>
      <name val="Franklin Gothic Book"/>
      <family val="2"/>
    </font>
    <font>
      <b/>
      <sz val="10"/>
      <name val="Franklin Gothic Book"/>
      <family val="2"/>
    </font>
    <font>
      <sz val="10"/>
      <name val="Franklin Gothic Book"/>
      <family val="2"/>
    </font>
    <font>
      <b/>
      <sz val="10"/>
      <name val="Arial"/>
      <family val="2"/>
    </font>
    <font>
      <b/>
      <u/>
      <sz val="10"/>
      <color rgb="FFC00000"/>
      <name val="Arial"/>
      <family val="2"/>
    </font>
    <font>
      <sz val="12"/>
      <name val="Arial"/>
      <family val="2"/>
    </font>
  </fonts>
  <fills count="23">
    <fill>
      <patternFill patternType="none"/>
    </fill>
    <fill>
      <patternFill patternType="gray125"/>
    </fill>
    <fill>
      <patternFill patternType="solid">
        <fgColor theme="9" tint="-0.249977111117893"/>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0"/>
        <bgColor indexed="64"/>
      </patternFill>
    </fill>
    <fill>
      <patternFill patternType="gray125">
        <fgColor auto="1"/>
      </patternFill>
    </fill>
    <fill>
      <patternFill patternType="solid">
        <fgColor theme="3" tint="0.39997558519241921"/>
        <bgColor indexed="64"/>
      </patternFill>
    </fill>
    <fill>
      <patternFill patternType="solid">
        <fgColor theme="4" tint="0.59999389629810485"/>
        <bgColor indexed="64"/>
      </patternFill>
    </fill>
    <fill>
      <patternFill patternType="solid">
        <fgColor rgb="FFFFFF00"/>
        <bgColor indexed="64"/>
      </patternFill>
    </fill>
    <fill>
      <patternFill patternType="solid">
        <fgColor rgb="FF00B0F0"/>
        <bgColor indexed="64"/>
      </patternFill>
    </fill>
    <fill>
      <patternFill patternType="solid">
        <fgColor theme="4"/>
        <bgColor indexed="64"/>
      </patternFill>
    </fill>
    <fill>
      <patternFill patternType="solid">
        <fgColor theme="0" tint="-4.9989318521683403E-2"/>
        <bgColor indexed="64"/>
      </patternFill>
    </fill>
    <fill>
      <patternFill patternType="solid">
        <fgColor indexed="9"/>
        <bgColor indexed="64"/>
      </patternFill>
    </fill>
    <fill>
      <patternFill patternType="solid">
        <fgColor indexed="44"/>
        <bgColor indexed="64"/>
      </patternFill>
    </fill>
    <fill>
      <patternFill patternType="solid">
        <fgColor theme="7" tint="0.59999389629810485"/>
        <bgColor indexed="64"/>
      </patternFill>
    </fill>
    <fill>
      <patternFill patternType="solid">
        <fgColor theme="7" tint="0.79998168889431442"/>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6">
    <xf numFmtId="0" fontId="0" fillId="0" borderId="0"/>
    <xf numFmtId="42" fontId="1" fillId="0" borderId="0" applyFont="0" applyFill="0" applyBorder="0" applyAlignment="0" applyProtection="0"/>
    <xf numFmtId="9" fontId="1" fillId="0" borderId="0" applyFont="0" applyFill="0" applyBorder="0" applyAlignment="0" applyProtection="0"/>
    <xf numFmtId="0" fontId="1" fillId="0" borderId="0"/>
    <xf numFmtId="0" fontId="10" fillId="0" borderId="0" applyNumberFormat="0" applyFill="0" applyBorder="0" applyAlignment="0" applyProtection="0"/>
    <xf numFmtId="0" fontId="14" fillId="0" borderId="0"/>
    <xf numFmtId="44" fontId="1" fillId="0" borderId="0" applyFont="0" applyFill="0" applyBorder="0" applyAlignment="0" applyProtection="0"/>
    <xf numFmtId="41" fontId="1" fillId="0" borderId="0" applyFont="0" applyFill="0" applyBorder="0" applyAlignment="0" applyProtection="0"/>
    <xf numFmtId="0" fontId="34" fillId="0" borderId="0"/>
    <xf numFmtId="171" fontId="1" fillId="0" borderId="0" applyFont="0" applyFill="0" applyBorder="0" applyAlignment="0" applyProtection="0"/>
    <xf numFmtId="172" fontId="34" fillId="0" borderId="0" applyFont="0" applyFill="0" applyBorder="0" applyAlignment="0" applyProtection="0"/>
    <xf numFmtId="173" fontId="1" fillId="0" borderId="0" applyFont="0" applyFill="0" applyBorder="0" applyAlignment="0" applyProtection="0"/>
    <xf numFmtId="0" fontId="34" fillId="0" borderId="0"/>
    <xf numFmtId="0" fontId="1" fillId="0" borderId="0"/>
    <xf numFmtId="0" fontId="34" fillId="0" borderId="0"/>
    <xf numFmtId="180" fontId="34" fillId="0" borderId="0" applyFont="0" applyFill="0" applyBorder="0" applyAlignment="0" applyProtection="0"/>
    <xf numFmtId="0" fontId="1" fillId="0" borderId="0"/>
    <xf numFmtId="0" fontId="14" fillId="0" borderId="0"/>
    <xf numFmtId="0" fontId="34" fillId="0" borderId="0"/>
    <xf numFmtId="44" fontId="1" fillId="0" borderId="0" applyFont="0" applyFill="0" applyBorder="0" applyAlignment="0" applyProtection="0"/>
    <xf numFmtId="9" fontId="34" fillId="0" borderId="0" applyFont="0" applyFill="0" applyBorder="0" applyAlignment="0" applyProtection="0"/>
    <xf numFmtId="0" fontId="34" fillId="0" borderId="0"/>
    <xf numFmtId="183" fontId="34" fillId="0" borderId="0" applyFont="0" applyFill="0" applyBorder="0" applyAlignment="0" applyProtection="0"/>
    <xf numFmtId="0" fontId="34" fillId="0" borderId="0"/>
    <xf numFmtId="0" fontId="34" fillId="0" borderId="0"/>
    <xf numFmtId="9" fontId="34" fillId="0" borderId="0" applyFont="0" applyFill="0" applyBorder="0" applyAlignment="0" applyProtection="0"/>
  </cellStyleXfs>
  <cellXfs count="529">
    <xf numFmtId="0" fontId="0" fillId="0" borderId="0" xfId="0"/>
    <xf numFmtId="0" fontId="3" fillId="2" borderId="1" xfId="3" applyFont="1" applyFill="1" applyBorder="1" applyAlignment="1">
      <alignment horizontal="center" vertical="center"/>
    </xf>
    <xf numFmtId="0" fontId="4" fillId="3" borderId="1" xfId="3" applyFont="1" applyFill="1" applyBorder="1" applyAlignment="1">
      <alignment horizontal="center" vertical="center" wrapText="1"/>
    </xf>
    <xf numFmtId="0" fontId="5" fillId="4" borderId="1" xfId="3" applyFont="1" applyFill="1" applyBorder="1" applyAlignment="1">
      <alignment horizontal="center" vertical="center" wrapText="1"/>
    </xf>
    <xf numFmtId="0" fontId="6" fillId="0" borderId="0" xfId="3" applyFont="1" applyAlignment="1">
      <alignment vertical="center"/>
    </xf>
    <xf numFmtId="0" fontId="7" fillId="5" borderId="1" xfId="3" applyFont="1" applyFill="1" applyBorder="1" applyAlignment="1">
      <alignment horizontal="center" vertical="center"/>
    </xf>
    <xf numFmtId="0" fontId="8" fillId="0" borderId="1" xfId="0" applyFont="1" applyBorder="1" applyAlignment="1">
      <alignment vertical="center" wrapText="1"/>
    </xf>
    <xf numFmtId="0" fontId="9" fillId="6" borderId="1" xfId="0" applyFont="1" applyFill="1" applyBorder="1" applyAlignment="1">
      <alignment vertical="center"/>
    </xf>
    <xf numFmtId="5" fontId="9" fillId="0" borderId="1" xfId="1" applyNumberFormat="1" applyFont="1" applyFill="1" applyBorder="1" applyAlignment="1">
      <alignment horizontal="left" vertical="center"/>
    </xf>
    <xf numFmtId="164" fontId="9" fillId="0" borderId="1" xfId="2" applyNumberFormat="1" applyFont="1" applyBorder="1" applyAlignment="1">
      <alignment horizontal="left" vertical="center"/>
    </xf>
    <xf numFmtId="165" fontId="9" fillId="6" borderId="1" xfId="2" applyNumberFormat="1" applyFont="1" applyFill="1" applyBorder="1" applyAlignment="1">
      <alignment horizontal="left" vertical="center"/>
    </xf>
    <xf numFmtId="166" fontId="9" fillId="6" borderId="1" xfId="2" applyNumberFormat="1" applyFont="1" applyFill="1" applyBorder="1" applyAlignment="1">
      <alignment horizontal="left" vertical="center"/>
    </xf>
    <xf numFmtId="0" fontId="9" fillId="6" borderId="1" xfId="0" applyFont="1" applyFill="1" applyBorder="1" applyAlignment="1">
      <alignment horizontal="left" vertical="center" wrapText="1"/>
    </xf>
    <xf numFmtId="0" fontId="11" fillId="0" borderId="0" xfId="0" applyFont="1" applyAlignment="1">
      <alignment horizontal="justify" vertical="center"/>
    </xf>
    <xf numFmtId="0" fontId="13" fillId="0" borderId="0" xfId="4" applyFont="1" applyAlignment="1">
      <alignment horizontal="justify" vertical="center" wrapText="1"/>
    </xf>
    <xf numFmtId="0" fontId="15" fillId="0" borderId="0" xfId="5" applyFont="1"/>
    <xf numFmtId="0" fontId="16" fillId="0" borderId="0" xfId="5" applyFont="1"/>
    <xf numFmtId="0" fontId="6" fillId="0" borderId="0" xfId="3" applyFont="1" applyAlignment="1">
      <alignment horizontal="center" vertical="center"/>
    </xf>
    <xf numFmtId="0" fontId="0" fillId="0" borderId="0" xfId="0" applyAlignment="1">
      <alignment horizontal="center"/>
    </xf>
    <xf numFmtId="0" fontId="18" fillId="8" borderId="1" xfId="3" applyFont="1" applyFill="1" applyBorder="1" applyAlignment="1">
      <alignment horizontal="center" vertical="center" wrapText="1"/>
    </xf>
    <xf numFmtId="0" fontId="18" fillId="8" borderId="1" xfId="3" applyFont="1" applyFill="1" applyBorder="1" applyAlignment="1">
      <alignment horizontal="center" vertical="center"/>
    </xf>
    <xf numFmtId="0" fontId="21" fillId="6" borderId="1" xfId="3" applyFont="1" applyFill="1" applyBorder="1" applyAlignment="1">
      <alignment horizontal="center" vertical="center" wrapText="1"/>
    </xf>
    <xf numFmtId="0" fontId="6" fillId="0" borderId="0" xfId="3" applyFont="1" applyAlignment="1">
      <alignment vertical="center" wrapText="1"/>
    </xf>
    <xf numFmtId="0" fontId="6" fillId="0" borderId="0" xfId="3" applyFont="1" applyAlignment="1">
      <alignment horizontal="center" vertical="center" wrapText="1"/>
    </xf>
    <xf numFmtId="167" fontId="6" fillId="0" borderId="0" xfId="3" applyNumberFormat="1" applyFont="1" applyAlignment="1">
      <alignment vertical="center"/>
    </xf>
    <xf numFmtId="0" fontId="18" fillId="10" borderId="1" xfId="3" applyFont="1" applyFill="1" applyBorder="1" applyAlignment="1">
      <alignment horizontal="center" vertical="center" wrapText="1"/>
    </xf>
    <xf numFmtId="167" fontId="18" fillId="10" borderId="1" xfId="3" applyNumberFormat="1" applyFont="1" applyFill="1" applyBorder="1" applyAlignment="1">
      <alignment horizontal="center" vertical="center" wrapText="1"/>
    </xf>
    <xf numFmtId="4" fontId="22" fillId="0" borderId="1" xfId="3" applyNumberFormat="1" applyFont="1" applyBorder="1" applyAlignment="1">
      <alignment horizontal="center" vertical="center" wrapText="1"/>
    </xf>
    <xf numFmtId="4" fontId="22" fillId="0" borderId="1" xfId="3" applyNumberFormat="1" applyFont="1" applyBorder="1" applyAlignment="1">
      <alignment horizontal="left" vertical="center" wrapText="1"/>
    </xf>
    <xf numFmtId="9" fontId="22" fillId="6" borderId="1" xfId="2" applyFont="1" applyFill="1" applyBorder="1" applyAlignment="1">
      <alignment horizontal="center" vertical="center"/>
    </xf>
    <xf numFmtId="4" fontId="22" fillId="6" borderId="1" xfId="3" applyNumberFormat="1" applyFont="1" applyFill="1" applyBorder="1" applyAlignment="1">
      <alignment horizontal="left" vertical="center" wrapText="1"/>
    </xf>
    <xf numFmtId="4" fontId="22" fillId="6" borderId="1" xfId="3" applyNumberFormat="1" applyFont="1" applyFill="1" applyBorder="1" applyAlignment="1">
      <alignment horizontal="center" vertical="center" wrapText="1"/>
    </xf>
    <xf numFmtId="167" fontId="22" fillId="6" borderId="1" xfId="3" applyNumberFormat="1" applyFont="1" applyFill="1" applyBorder="1" applyAlignment="1">
      <alignment horizontal="center" vertical="center"/>
    </xf>
    <xf numFmtId="0" fontId="0" fillId="0" borderId="1" xfId="0" applyBorder="1"/>
    <xf numFmtId="0" fontId="18" fillId="7" borderId="1" xfId="3" applyFont="1" applyFill="1" applyBorder="1" applyAlignment="1">
      <alignment horizontal="center" vertical="center"/>
    </xf>
    <xf numFmtId="0" fontId="21" fillId="0" borderId="1" xfId="3" applyFont="1" applyBorder="1" applyAlignment="1">
      <alignment horizontal="center" vertical="center" wrapText="1"/>
    </xf>
    <xf numFmtId="0" fontId="7" fillId="10" borderId="1" xfId="3" applyFont="1" applyFill="1" applyBorder="1" applyAlignment="1">
      <alignment horizontal="center" vertical="center" wrapText="1"/>
    </xf>
    <xf numFmtId="167" fontId="7" fillId="10" borderId="1" xfId="3" applyNumberFormat="1" applyFont="1" applyFill="1" applyBorder="1" applyAlignment="1">
      <alignment horizontal="center" vertical="center" wrapText="1"/>
    </xf>
    <xf numFmtId="4" fontId="22" fillId="0" borderId="1" xfId="3" applyNumberFormat="1" applyFont="1" applyBorder="1" applyAlignment="1">
      <alignment horizontal="center" vertical="center"/>
    </xf>
    <xf numFmtId="167" fontId="22" fillId="0" borderId="1" xfId="3" applyNumberFormat="1" applyFont="1" applyBorder="1" applyAlignment="1">
      <alignment horizontal="center" vertical="center"/>
    </xf>
    <xf numFmtId="4" fontId="22" fillId="6" borderId="1" xfId="3" applyNumberFormat="1" applyFont="1" applyFill="1" applyBorder="1" applyAlignment="1">
      <alignment horizontal="center" vertical="center"/>
    </xf>
    <xf numFmtId="4" fontId="25" fillId="0" borderId="1" xfId="3" applyNumberFormat="1" applyFont="1" applyBorder="1" applyAlignment="1">
      <alignment horizontal="center" vertical="center" wrapText="1"/>
    </xf>
    <xf numFmtId="4" fontId="25" fillId="0" borderId="1" xfId="3" applyNumberFormat="1" applyFont="1" applyBorder="1" applyAlignment="1">
      <alignment horizontal="center" vertical="center"/>
    </xf>
    <xf numFmtId="167" fontId="25" fillId="6" borderId="1" xfId="3" applyNumberFormat="1" applyFont="1" applyFill="1" applyBorder="1" applyAlignment="1">
      <alignment horizontal="center" vertical="center"/>
    </xf>
    <xf numFmtId="0" fontId="6" fillId="6" borderId="1" xfId="3" applyFont="1" applyFill="1" applyBorder="1" applyAlignment="1">
      <alignment horizontal="left" vertical="center" wrapText="1"/>
    </xf>
    <xf numFmtId="0" fontId="6" fillId="6" borderId="1" xfId="3" applyFont="1" applyFill="1" applyBorder="1" applyAlignment="1">
      <alignment horizontal="center" vertical="center" wrapText="1"/>
    </xf>
    <xf numFmtId="4" fontId="6" fillId="0" borderId="0" xfId="3" applyNumberFormat="1" applyFont="1" applyAlignment="1">
      <alignment horizontal="center" vertical="center"/>
    </xf>
    <xf numFmtId="4" fontId="6" fillId="0" borderId="0" xfId="3" applyNumberFormat="1" applyFont="1" applyAlignment="1">
      <alignment vertical="center"/>
    </xf>
    <xf numFmtId="4" fontId="7" fillId="10" borderId="1" xfId="3" applyNumberFormat="1" applyFont="1" applyFill="1" applyBorder="1" applyAlignment="1">
      <alignment horizontal="center" vertical="center" wrapText="1"/>
    </xf>
    <xf numFmtId="0" fontId="6" fillId="0" borderId="1" xfId="3" applyFont="1" applyBorder="1" applyAlignment="1">
      <alignment horizontal="center" vertical="center" wrapText="1"/>
    </xf>
    <xf numFmtId="0" fontId="6" fillId="0" borderId="0" xfId="3" applyFont="1" applyAlignment="1">
      <alignment horizontal="left" vertical="center"/>
    </xf>
    <xf numFmtId="0" fontId="23" fillId="7" borderId="1" xfId="3" applyFont="1" applyFill="1" applyBorder="1" applyAlignment="1">
      <alignment horizontal="center" vertical="center" wrapText="1"/>
    </xf>
    <xf numFmtId="0" fontId="27" fillId="10" borderId="1" xfId="0" applyFont="1" applyFill="1" applyBorder="1" applyAlignment="1">
      <alignment horizontal="center" vertical="center"/>
    </xf>
    <xf numFmtId="0" fontId="27" fillId="8" borderId="1" xfId="0" applyFont="1" applyFill="1" applyBorder="1" applyAlignment="1">
      <alignment horizontal="center" vertical="center"/>
    </xf>
    <xf numFmtId="4" fontId="22" fillId="9" borderId="1" xfId="3" applyNumberFormat="1" applyFont="1" applyFill="1" applyBorder="1" applyAlignment="1">
      <alignment vertical="center" wrapText="1"/>
    </xf>
    <xf numFmtId="4" fontId="22" fillId="0" borderId="1" xfId="3" applyNumberFormat="1" applyFont="1" applyBorder="1" applyAlignment="1">
      <alignment horizontal="left" vertical="center"/>
    </xf>
    <xf numFmtId="4" fontId="21" fillId="0" borderId="1" xfId="3" applyNumberFormat="1" applyFont="1" applyBorder="1" applyAlignment="1">
      <alignment vertical="center" wrapText="1"/>
    </xf>
    <xf numFmtId="4" fontId="23" fillId="0" borderId="1" xfId="3" applyNumberFormat="1" applyFont="1" applyBorder="1" applyAlignment="1">
      <alignment vertical="center"/>
    </xf>
    <xf numFmtId="0" fontId="18" fillId="9" borderId="1" xfId="3" applyFont="1" applyFill="1" applyBorder="1" applyAlignment="1">
      <alignment vertical="center" wrapText="1"/>
    </xf>
    <xf numFmtId="0" fontId="23" fillId="7" borderId="1" xfId="3" applyFont="1" applyFill="1" applyBorder="1" applyAlignment="1">
      <alignment horizontal="center" vertical="center"/>
    </xf>
    <xf numFmtId="4" fontId="23" fillId="6" borderId="1" xfId="3" applyNumberFormat="1" applyFont="1" applyFill="1" applyBorder="1" applyAlignment="1">
      <alignment horizontal="center" vertical="center"/>
    </xf>
    <xf numFmtId="4" fontId="21" fillId="6" borderId="1" xfId="3" applyNumberFormat="1" applyFont="1" applyFill="1" applyBorder="1" applyAlignment="1">
      <alignment horizontal="center" vertical="center"/>
    </xf>
    <xf numFmtId="44" fontId="6" fillId="0" borderId="0" xfId="6" applyFont="1" applyAlignment="1">
      <alignment horizontal="left" vertical="center"/>
    </xf>
    <xf numFmtId="44" fontId="23" fillId="7" borderId="1" xfId="6" applyFont="1" applyFill="1" applyBorder="1" applyAlignment="1">
      <alignment horizontal="center" vertical="center"/>
    </xf>
    <xf numFmtId="44" fontId="18" fillId="10" borderId="1" xfId="6" applyFont="1" applyFill="1" applyBorder="1" applyAlignment="1">
      <alignment horizontal="center" vertical="center" wrapText="1"/>
    </xf>
    <xf numFmtId="44" fontId="18" fillId="8" borderId="1" xfId="6" applyFont="1" applyFill="1" applyBorder="1" applyAlignment="1">
      <alignment horizontal="center" vertical="center" wrapText="1"/>
    </xf>
    <xf numFmtId="44" fontId="22" fillId="6" borderId="1" xfId="6" applyFont="1" applyFill="1" applyBorder="1" applyAlignment="1">
      <alignment horizontal="center" vertical="center"/>
    </xf>
    <xf numFmtId="44" fontId="0" fillId="0" borderId="0" xfId="6" applyFont="1"/>
    <xf numFmtId="0" fontId="20" fillId="0" borderId="0" xfId="3" applyFont="1" applyAlignment="1">
      <alignment horizontal="center" vertical="center"/>
    </xf>
    <xf numFmtId="0" fontId="0" fillId="0" borderId="1" xfId="0" applyBorder="1" applyAlignment="1">
      <alignment horizontal="center"/>
    </xf>
    <xf numFmtId="44" fontId="0" fillId="0" borderId="1" xfId="6" applyFont="1" applyBorder="1" applyAlignment="1">
      <alignment horizontal="center"/>
    </xf>
    <xf numFmtId="44" fontId="0" fillId="0" borderId="1" xfId="6" applyFont="1" applyBorder="1"/>
    <xf numFmtId="0" fontId="28" fillId="0" borderId="1" xfId="0" applyFont="1" applyBorder="1" applyAlignment="1">
      <alignment horizontal="center"/>
    </xf>
    <xf numFmtId="44" fontId="28" fillId="0" borderId="1" xfId="6" applyFont="1" applyBorder="1" applyAlignment="1">
      <alignment horizontal="center"/>
    </xf>
    <xf numFmtId="0" fontId="24" fillId="0" borderId="1" xfId="0" applyFont="1" applyBorder="1" applyAlignment="1">
      <alignment horizontal="center"/>
    </xf>
    <xf numFmtId="44" fontId="24" fillId="0" borderId="1" xfId="6" applyFont="1" applyBorder="1" applyAlignment="1">
      <alignment horizontal="center"/>
    </xf>
    <xf numFmtId="44" fontId="24" fillId="0" borderId="1" xfId="0" applyNumberFormat="1" applyFont="1" applyBorder="1"/>
    <xf numFmtId="44" fontId="24" fillId="0" borderId="1" xfId="6" applyFont="1" applyBorder="1"/>
    <xf numFmtId="4" fontId="23" fillId="9" borderId="1" xfId="3" applyNumberFormat="1" applyFont="1" applyFill="1" applyBorder="1" applyAlignment="1">
      <alignment horizontal="center" vertical="center"/>
    </xf>
    <xf numFmtId="0" fontId="18" fillId="9" borderId="1" xfId="3" applyFont="1" applyFill="1" applyBorder="1" applyAlignment="1">
      <alignment horizontal="center" vertical="center"/>
    </xf>
    <xf numFmtId="167" fontId="22" fillId="0" borderId="1" xfId="3" applyNumberFormat="1" applyFont="1" applyBorder="1" applyAlignment="1">
      <alignment horizontal="right" vertical="center" wrapText="1"/>
    </xf>
    <xf numFmtId="167" fontId="21" fillId="0" borderId="1" xfId="7" applyNumberFormat="1" applyFont="1" applyFill="1" applyBorder="1" applyAlignment="1">
      <alignment horizontal="right" vertical="center"/>
    </xf>
    <xf numFmtId="0" fontId="18" fillId="10" borderId="1" xfId="3" applyFont="1" applyFill="1" applyBorder="1" applyAlignment="1">
      <alignment horizontal="left" vertical="center" wrapText="1"/>
    </xf>
    <xf numFmtId="4" fontId="18" fillId="10" borderId="1" xfId="3" applyNumberFormat="1" applyFont="1" applyFill="1" applyBorder="1" applyAlignment="1">
      <alignment horizontal="center" vertical="center" wrapText="1"/>
    </xf>
    <xf numFmtId="167" fontId="18" fillId="10" borderId="1" xfId="3" applyNumberFormat="1" applyFont="1" applyFill="1" applyBorder="1" applyAlignment="1">
      <alignment horizontal="right" vertical="center" wrapText="1"/>
    </xf>
    <xf numFmtId="167" fontId="18" fillId="10" borderId="1" xfId="3" applyNumberFormat="1" applyFont="1" applyFill="1" applyBorder="1" applyAlignment="1">
      <alignment horizontal="right" vertical="center"/>
    </xf>
    <xf numFmtId="0" fontId="21" fillId="0" borderId="0" xfId="3" applyFont="1" applyAlignment="1">
      <alignment vertical="center"/>
    </xf>
    <xf numFmtId="14" fontId="0" fillId="0" borderId="0" xfId="0" applyNumberFormat="1"/>
    <xf numFmtId="44" fontId="2" fillId="0" borderId="1" xfId="6" applyFont="1" applyBorder="1"/>
    <xf numFmtId="2" fontId="2" fillId="0" borderId="1" xfId="6" applyNumberFormat="1" applyFont="1" applyBorder="1" applyAlignment="1">
      <alignment horizontal="center"/>
    </xf>
    <xf numFmtId="4" fontId="6" fillId="0" borderId="1" xfId="3" applyNumberFormat="1" applyFont="1" applyBorder="1" applyAlignment="1">
      <alignment horizontal="center" vertical="center" wrapText="1"/>
    </xf>
    <xf numFmtId="44" fontId="6" fillId="0" borderId="0" xfId="6" applyFont="1" applyAlignment="1">
      <alignment horizontal="center" vertical="center"/>
    </xf>
    <xf numFmtId="44" fontId="6" fillId="0" borderId="0" xfId="6" applyFont="1" applyAlignment="1">
      <alignment vertical="center"/>
    </xf>
    <xf numFmtId="44" fontId="7" fillId="10" borderId="1" xfId="6" applyFont="1" applyFill="1" applyBorder="1" applyAlignment="1">
      <alignment horizontal="center" vertical="center" wrapText="1"/>
    </xf>
    <xf numFmtId="4" fontId="25" fillId="0" borderId="2" xfId="3" applyNumberFormat="1" applyFont="1" applyBorder="1" applyAlignment="1">
      <alignment horizontal="center" vertical="center" wrapText="1"/>
    </xf>
    <xf numFmtId="4" fontId="25" fillId="6" borderId="1" xfId="3" applyNumberFormat="1" applyFont="1" applyFill="1" applyBorder="1" applyAlignment="1">
      <alignment horizontal="left" vertical="center"/>
    </xf>
    <xf numFmtId="4" fontId="25" fillId="6" borderId="1" xfId="3" applyNumberFormat="1" applyFont="1" applyFill="1" applyBorder="1" applyAlignment="1">
      <alignment horizontal="center" vertical="center"/>
    </xf>
    <xf numFmtId="167" fontId="25" fillId="0" borderId="1" xfId="3" applyNumberFormat="1" applyFont="1" applyBorder="1" applyAlignment="1">
      <alignment horizontal="center" vertical="center"/>
    </xf>
    <xf numFmtId="0" fontId="29" fillId="6" borderId="1" xfId="3" applyFont="1" applyFill="1" applyBorder="1" applyAlignment="1">
      <alignment horizontal="left" vertical="center" wrapText="1"/>
    </xf>
    <xf numFmtId="0" fontId="29" fillId="6" borderId="1" xfId="3" applyFont="1" applyFill="1" applyBorder="1" applyAlignment="1">
      <alignment horizontal="center" vertical="center" wrapText="1"/>
    </xf>
    <xf numFmtId="0" fontId="6" fillId="0" borderId="1" xfId="3" applyFont="1" applyBorder="1" applyAlignment="1">
      <alignment vertical="center" wrapText="1"/>
    </xf>
    <xf numFmtId="0" fontId="6" fillId="0" borderId="1" xfId="3" applyFont="1" applyBorder="1" applyAlignment="1">
      <alignment vertical="center"/>
    </xf>
    <xf numFmtId="167" fontId="18" fillId="7" borderId="1" xfId="3" applyNumberFormat="1" applyFont="1" applyFill="1" applyBorder="1" applyAlignment="1">
      <alignment horizontal="right" vertical="center"/>
    </xf>
    <xf numFmtId="0" fontId="18" fillId="8" borderId="1" xfId="3" applyFont="1" applyFill="1" applyBorder="1" applyAlignment="1">
      <alignment vertical="center"/>
    </xf>
    <xf numFmtId="167" fontId="18" fillId="8" borderId="1" xfId="3" applyNumberFormat="1" applyFont="1" applyFill="1" applyBorder="1" applyAlignment="1">
      <alignment horizontal="right" vertical="center"/>
    </xf>
    <xf numFmtId="0" fontId="24" fillId="0" borderId="0" xfId="0" applyFont="1"/>
    <xf numFmtId="44" fontId="18" fillId="7" borderId="1" xfId="6" applyFont="1" applyFill="1" applyBorder="1" applyAlignment="1">
      <alignment horizontal="center" vertical="center"/>
    </xf>
    <xf numFmtId="44" fontId="18" fillId="8" borderId="1" xfId="6" applyFont="1" applyFill="1" applyBorder="1" applyAlignment="1">
      <alignment vertical="center"/>
    </xf>
    <xf numFmtId="0" fontId="24" fillId="0" borderId="1" xfId="0" applyFont="1" applyBorder="1"/>
    <xf numFmtId="0" fontId="24" fillId="6" borderId="1" xfId="0" applyFont="1" applyFill="1" applyBorder="1"/>
    <xf numFmtId="44" fontId="24" fillId="0" borderId="0" xfId="6" applyFont="1"/>
    <xf numFmtId="44" fontId="22" fillId="0" borderId="1" xfId="6" applyFont="1" applyBorder="1" applyAlignment="1">
      <alignment horizontal="center" vertical="center"/>
    </xf>
    <xf numFmtId="2" fontId="24" fillId="0" borderId="1" xfId="0" applyNumberFormat="1" applyFont="1" applyBorder="1" applyAlignment="1">
      <alignment horizontal="center"/>
    </xf>
    <xf numFmtId="9" fontId="24" fillId="6" borderId="1" xfId="2" applyFont="1" applyFill="1" applyBorder="1" applyAlignment="1">
      <alignment horizontal="center"/>
    </xf>
    <xf numFmtId="0" fontId="24" fillId="6" borderId="1" xfId="0" applyFont="1" applyFill="1" applyBorder="1" applyAlignment="1">
      <alignment horizontal="center"/>
    </xf>
    <xf numFmtId="0" fontId="24" fillId="0" borderId="1" xfId="0" applyFont="1" applyBorder="1" applyAlignment="1">
      <alignment horizontal="center" vertical="center"/>
    </xf>
    <xf numFmtId="0" fontId="24" fillId="6" borderId="1" xfId="0" applyFont="1" applyFill="1" applyBorder="1" applyAlignment="1">
      <alignment horizontal="left" vertical="center" wrapText="1"/>
    </xf>
    <xf numFmtId="0" fontId="24" fillId="6" borderId="1" xfId="0" applyFont="1" applyFill="1" applyBorder="1" applyAlignment="1">
      <alignment horizontal="center" vertical="center"/>
    </xf>
    <xf numFmtId="44" fontId="24" fillId="0" borderId="1" xfId="6" applyFont="1" applyBorder="1" applyAlignment="1">
      <alignment vertical="center"/>
    </xf>
    <xf numFmtId="2" fontId="24" fillId="0" borderId="1" xfId="0" applyNumberFormat="1" applyFont="1" applyBorder="1" applyAlignment="1">
      <alignment horizontal="center" vertical="center"/>
    </xf>
    <xf numFmtId="0" fontId="24" fillId="6" borderId="1" xfId="0" applyFont="1" applyFill="1" applyBorder="1" applyAlignment="1">
      <alignment wrapText="1"/>
    </xf>
    <xf numFmtId="0" fontId="24" fillId="0" borderId="1" xfId="0" applyFont="1" applyBorder="1" applyAlignment="1">
      <alignment vertical="center"/>
    </xf>
    <xf numFmtId="9" fontId="24" fillId="0" borderId="1" xfId="2" applyFont="1" applyBorder="1" applyAlignment="1">
      <alignment horizontal="center"/>
    </xf>
    <xf numFmtId="0" fontId="28" fillId="0" borderId="0" xfId="0" applyFont="1"/>
    <xf numFmtId="0" fontId="7" fillId="0" borderId="1" xfId="3" applyFont="1" applyBorder="1" applyAlignment="1">
      <alignment horizontal="left" vertical="center" wrapText="1"/>
    </xf>
    <xf numFmtId="167" fontId="6" fillId="0" borderId="1" xfId="3" applyNumberFormat="1" applyFont="1" applyBorder="1" applyAlignment="1">
      <alignment horizontal="center" vertical="center" wrapText="1"/>
    </xf>
    <xf numFmtId="165" fontId="9" fillId="0" borderId="1" xfId="2" applyNumberFormat="1" applyFont="1" applyFill="1" applyBorder="1" applyAlignment="1">
      <alignment horizontal="center" vertical="center"/>
    </xf>
    <xf numFmtId="10" fontId="6" fillId="6" borderId="1" xfId="2" applyNumberFormat="1" applyFont="1" applyFill="1" applyBorder="1" applyAlignment="1">
      <alignment horizontal="center" vertical="center" wrapText="1"/>
    </xf>
    <xf numFmtId="0" fontId="7" fillId="0" borderId="1" xfId="3" applyFont="1" applyBorder="1" applyAlignment="1">
      <alignment horizontal="justify" vertical="center" wrapText="1"/>
    </xf>
    <xf numFmtId="0" fontId="7" fillId="9" borderId="1" xfId="3" applyFont="1" applyFill="1" applyBorder="1" applyAlignment="1">
      <alignment horizontal="justify" vertical="center" wrapText="1"/>
    </xf>
    <xf numFmtId="0" fontId="7" fillId="0" borderId="1" xfId="3" applyFont="1" applyBorder="1" applyAlignment="1">
      <alignment horizontal="center" vertical="center" wrapText="1"/>
    </xf>
    <xf numFmtId="9" fontId="6" fillId="6" borderId="1" xfId="3" applyNumberFormat="1" applyFont="1" applyFill="1" applyBorder="1" applyAlignment="1">
      <alignment horizontal="center" vertical="center" wrapText="1"/>
    </xf>
    <xf numFmtId="10" fontId="6" fillId="0" borderId="1" xfId="2" applyNumberFormat="1" applyFont="1" applyBorder="1" applyAlignment="1">
      <alignment horizontal="center" vertical="center"/>
    </xf>
    <xf numFmtId="0" fontId="7" fillId="9" borderId="1" xfId="3" applyFont="1" applyFill="1" applyBorder="1" applyAlignment="1">
      <alignment horizontal="center" vertical="center" wrapText="1"/>
    </xf>
    <xf numFmtId="0" fontId="7" fillId="9" borderId="1" xfId="3" applyFont="1" applyFill="1" applyBorder="1" applyAlignment="1">
      <alignment horizontal="center" vertical="center"/>
    </xf>
    <xf numFmtId="167" fontId="7" fillId="9" borderId="1" xfId="3" applyNumberFormat="1" applyFont="1" applyFill="1" applyBorder="1" applyAlignment="1">
      <alignment horizontal="center" vertical="center"/>
    </xf>
    <xf numFmtId="167" fontId="0" fillId="0" borderId="1" xfId="0" applyNumberFormat="1" applyBorder="1"/>
    <xf numFmtId="5" fontId="0" fillId="0" borderId="1" xfId="0" applyNumberFormat="1" applyBorder="1"/>
    <xf numFmtId="165" fontId="0" fillId="0" borderId="1" xfId="0" applyNumberFormat="1" applyBorder="1"/>
    <xf numFmtId="10" fontId="6" fillId="0" borderId="1" xfId="2" applyNumberFormat="1" applyFont="1" applyFill="1" applyBorder="1" applyAlignment="1">
      <alignment horizontal="center" vertical="center"/>
    </xf>
    <xf numFmtId="44" fontId="0" fillId="0" borderId="1" xfId="6" applyFont="1" applyFill="1" applyBorder="1"/>
    <xf numFmtId="170" fontId="24" fillId="0" borderId="1" xfId="6" applyNumberFormat="1" applyFont="1" applyBorder="1"/>
    <xf numFmtId="170" fontId="24" fillId="0" borderId="1" xfId="0" applyNumberFormat="1" applyFont="1" applyBorder="1"/>
    <xf numFmtId="170" fontId="24" fillId="0" borderId="1" xfId="6" applyNumberFormat="1" applyFont="1" applyBorder="1" applyAlignment="1">
      <alignment horizontal="center"/>
    </xf>
    <xf numFmtId="167" fontId="18" fillId="7" borderId="5" xfId="3" applyNumberFormat="1" applyFont="1" applyFill="1" applyBorder="1" applyAlignment="1">
      <alignment horizontal="center" vertical="center"/>
    </xf>
    <xf numFmtId="0" fontId="18" fillId="7" borderId="5" xfId="3" applyFont="1" applyFill="1" applyBorder="1" applyAlignment="1">
      <alignment horizontal="center" vertical="center"/>
    </xf>
    <xf numFmtId="4" fontId="23" fillId="8" borderId="1" xfId="3" applyNumberFormat="1" applyFont="1" applyFill="1" applyBorder="1" applyAlignment="1">
      <alignment horizontal="left" vertical="center" wrapText="1"/>
    </xf>
    <xf numFmtId="4" fontId="23" fillId="8" borderId="1" xfId="3" applyNumberFormat="1" applyFont="1" applyFill="1" applyBorder="1" applyAlignment="1">
      <alignment horizontal="center" vertical="center"/>
    </xf>
    <xf numFmtId="167" fontId="23" fillId="8" borderId="1" xfId="3" applyNumberFormat="1" applyFont="1" applyFill="1" applyBorder="1" applyAlignment="1">
      <alignment horizontal="center" vertical="center"/>
    </xf>
    <xf numFmtId="167" fontId="23" fillId="8" borderId="1" xfId="2" applyNumberFormat="1" applyFont="1" applyFill="1" applyBorder="1" applyAlignment="1">
      <alignment horizontal="center" vertical="center"/>
    </xf>
    <xf numFmtId="4" fontId="23" fillId="9" borderId="1" xfId="3" applyNumberFormat="1" applyFont="1" applyFill="1" applyBorder="1" applyAlignment="1">
      <alignment horizontal="left" vertical="center" wrapText="1"/>
    </xf>
    <xf numFmtId="167" fontId="23" fillId="9" borderId="1" xfId="3" applyNumberFormat="1" applyFont="1" applyFill="1" applyBorder="1" applyAlignment="1">
      <alignment horizontal="center" vertical="center"/>
    </xf>
    <xf numFmtId="167" fontId="23" fillId="9" borderId="1" xfId="2" applyNumberFormat="1" applyFont="1" applyFill="1" applyBorder="1" applyAlignment="1">
      <alignment horizontal="center" vertical="center"/>
    </xf>
    <xf numFmtId="0" fontId="21" fillId="0" borderId="1" xfId="3" applyFont="1" applyBorder="1" applyAlignment="1">
      <alignment horizontal="center" vertical="center"/>
    </xf>
    <xf numFmtId="167" fontId="22" fillId="0" borderId="1" xfId="2" applyNumberFormat="1" applyFont="1" applyFill="1" applyBorder="1" applyAlignment="1">
      <alignment horizontal="center" vertical="center"/>
    </xf>
    <xf numFmtId="0" fontId="23" fillId="9" borderId="1" xfId="3" applyFont="1" applyFill="1" applyBorder="1" applyAlignment="1">
      <alignment horizontal="center" vertical="center"/>
    </xf>
    <xf numFmtId="0" fontId="18" fillId="0" borderId="1" xfId="3" applyFont="1" applyBorder="1" applyAlignment="1">
      <alignment horizontal="center" vertical="center"/>
    </xf>
    <xf numFmtId="4" fontId="23" fillId="0" borderId="1" xfId="3" applyNumberFormat="1" applyFont="1" applyBorder="1" applyAlignment="1">
      <alignment horizontal="left" vertical="center" wrapText="1"/>
    </xf>
    <xf numFmtId="4" fontId="23" fillId="0" borderId="1" xfId="3" applyNumberFormat="1" applyFont="1" applyBorder="1" applyAlignment="1">
      <alignment horizontal="center" vertical="center"/>
    </xf>
    <xf numFmtId="167" fontId="23" fillId="0" borderId="1" xfId="3" applyNumberFormat="1" applyFont="1" applyBorder="1" applyAlignment="1">
      <alignment horizontal="center" vertical="center"/>
    </xf>
    <xf numFmtId="167" fontId="23" fillId="0" borderId="1" xfId="2" applyNumberFormat="1" applyFont="1" applyFill="1" applyBorder="1" applyAlignment="1">
      <alignment horizontal="center" vertical="center"/>
    </xf>
    <xf numFmtId="44" fontId="0" fillId="0" borderId="0" xfId="0" applyNumberFormat="1"/>
    <xf numFmtId="0" fontId="18" fillId="9" borderId="1" xfId="3" applyFont="1" applyFill="1" applyBorder="1" applyAlignment="1">
      <alignment vertical="center"/>
    </xf>
    <xf numFmtId="10" fontId="18" fillId="9" borderId="1" xfId="2" applyNumberFormat="1" applyFont="1" applyFill="1" applyBorder="1" applyAlignment="1">
      <alignment horizontal="right" vertical="center"/>
    </xf>
    <xf numFmtId="10" fontId="22" fillId="0" borderId="1" xfId="2" applyNumberFormat="1" applyFont="1" applyFill="1" applyBorder="1" applyAlignment="1">
      <alignment horizontal="right" vertical="center"/>
    </xf>
    <xf numFmtId="0" fontId="27" fillId="9" borderId="1" xfId="0" applyFont="1" applyFill="1" applyBorder="1" applyAlignment="1">
      <alignment vertical="center"/>
    </xf>
    <xf numFmtId="2" fontId="22" fillId="0" borderId="1" xfId="7" applyNumberFormat="1" applyFont="1" applyFill="1" applyBorder="1" applyAlignment="1">
      <alignment horizontal="center" vertical="center"/>
    </xf>
    <xf numFmtId="10" fontId="21" fillId="0" borderId="1" xfId="3" applyNumberFormat="1" applyFont="1" applyBorder="1" applyAlignment="1">
      <alignment vertical="center"/>
    </xf>
    <xf numFmtId="10" fontId="23" fillId="0" borderId="1" xfId="2" applyNumberFormat="1" applyFont="1" applyFill="1" applyBorder="1" applyAlignment="1">
      <alignment horizontal="right" vertical="center"/>
    </xf>
    <xf numFmtId="4" fontId="23" fillId="0" borderId="1" xfId="3" applyNumberFormat="1" applyFont="1" applyBorder="1" applyAlignment="1">
      <alignment horizontal="right" vertical="center"/>
    </xf>
    <xf numFmtId="167" fontId="22" fillId="12" borderId="1" xfId="3" applyNumberFormat="1" applyFont="1" applyFill="1" applyBorder="1" applyAlignment="1">
      <alignment horizontal="center" vertical="center"/>
    </xf>
    <xf numFmtId="0" fontId="18" fillId="9" borderId="1" xfId="3" applyFont="1" applyFill="1" applyBorder="1" applyAlignment="1">
      <alignment horizontal="center" vertical="center" wrapText="1"/>
    </xf>
    <xf numFmtId="4" fontId="21" fillId="0" borderId="1" xfId="3" applyNumberFormat="1" applyFont="1" applyBorder="1" applyAlignment="1">
      <alignment horizontal="center" vertical="center"/>
    </xf>
    <xf numFmtId="0" fontId="21" fillId="6" borderId="1" xfId="3" applyFont="1" applyFill="1" applyBorder="1" applyAlignment="1">
      <alignment horizontal="justify" vertical="center" wrapText="1"/>
    </xf>
    <xf numFmtId="0" fontId="32" fillId="6" borderId="1" xfId="3" applyFont="1" applyFill="1" applyBorder="1" applyAlignment="1">
      <alignment horizontal="justify" vertical="center" wrapText="1"/>
    </xf>
    <xf numFmtId="0" fontId="21" fillId="9" borderId="1" xfId="3" applyFont="1" applyFill="1" applyBorder="1" applyAlignment="1">
      <alignment horizontal="center" vertical="center" wrapText="1"/>
    </xf>
    <xf numFmtId="0" fontId="21" fillId="9" borderId="1" xfId="3" applyFont="1" applyFill="1" applyBorder="1" applyAlignment="1">
      <alignment horizontal="justify" vertical="center" wrapText="1"/>
    </xf>
    <xf numFmtId="0" fontId="21" fillId="11" borderId="1" xfId="3" applyFont="1" applyFill="1" applyBorder="1" applyAlignment="1">
      <alignment horizontal="center" vertical="center" wrapText="1"/>
    </xf>
    <xf numFmtId="0" fontId="21" fillId="11" borderId="1" xfId="3" applyFont="1" applyFill="1" applyBorder="1" applyAlignment="1">
      <alignment horizontal="justify" vertical="center" wrapText="1"/>
    </xf>
    <xf numFmtId="4" fontId="21" fillId="6" borderId="1" xfId="3" applyNumberFormat="1" applyFont="1" applyFill="1" applyBorder="1" applyAlignment="1">
      <alignment horizontal="justify" vertical="center" wrapText="1"/>
    </xf>
    <xf numFmtId="4" fontId="21" fillId="11" borderId="1" xfId="3" applyNumberFormat="1" applyFont="1" applyFill="1" applyBorder="1" applyAlignment="1">
      <alignment horizontal="justify" vertical="center" wrapText="1"/>
    </xf>
    <xf numFmtId="0" fontId="0" fillId="0" borderId="0" xfId="0" applyAlignment="1">
      <alignment wrapText="1"/>
    </xf>
    <xf numFmtId="0" fontId="0" fillId="0" borderId="0" xfId="0" applyAlignment="1">
      <alignment horizontal="center" vertical="center" wrapText="1"/>
    </xf>
    <xf numFmtId="0" fontId="0" fillId="0" borderId="0" xfId="0" applyAlignment="1">
      <alignment horizontal="center" wrapText="1"/>
    </xf>
    <xf numFmtId="44" fontId="0" fillId="0" borderId="0" xfId="6" applyFont="1" applyAlignment="1">
      <alignment horizontal="center" vertical="center" wrapText="1"/>
    </xf>
    <xf numFmtId="0" fontId="18" fillId="7" borderId="1" xfId="3" applyFont="1" applyFill="1" applyBorder="1" applyAlignment="1">
      <alignment horizontal="center" vertical="center" wrapText="1"/>
    </xf>
    <xf numFmtId="0" fontId="0" fillId="0" borderId="1" xfId="0" applyBorder="1" applyAlignment="1">
      <alignment horizontal="center" vertical="center" wrapText="1"/>
    </xf>
    <xf numFmtId="4" fontId="0" fillId="0" borderId="1" xfId="0" applyNumberFormat="1" applyBorder="1" applyAlignment="1">
      <alignment horizontal="center" vertical="center" wrapText="1"/>
    </xf>
    <xf numFmtId="44" fontId="0" fillId="0" borderId="1" xfId="6" applyFont="1" applyBorder="1" applyAlignment="1">
      <alignment horizontal="center" vertical="center" wrapText="1"/>
    </xf>
    <xf numFmtId="44" fontId="0" fillId="0" borderId="1" xfId="0" applyNumberFormat="1" applyBorder="1" applyAlignment="1">
      <alignment horizontal="center" vertical="center" wrapText="1"/>
    </xf>
    <xf numFmtId="0" fontId="0" fillId="0" borderId="0" xfId="0" applyAlignment="1">
      <alignment vertical="center" wrapText="1"/>
    </xf>
    <xf numFmtId="44" fontId="0" fillId="0" borderId="0" xfId="0" applyNumberFormat="1" applyAlignment="1">
      <alignment wrapText="1"/>
    </xf>
    <xf numFmtId="44" fontId="0" fillId="0" borderId="1" xfId="6" applyFont="1" applyFill="1" applyBorder="1" applyAlignment="1">
      <alignment horizontal="center" vertical="center" wrapText="1"/>
    </xf>
    <xf numFmtId="10" fontId="2" fillId="0" borderId="1" xfId="6" applyNumberFormat="1" applyFont="1" applyBorder="1" applyAlignment="1">
      <alignment horizontal="center" vertical="center" wrapText="1"/>
    </xf>
    <xf numFmtId="9" fontId="2" fillId="0" borderId="1" xfId="6" applyNumberFormat="1" applyFont="1" applyBorder="1" applyAlignment="1">
      <alignment horizontal="center" vertical="center" wrapText="1"/>
    </xf>
    <xf numFmtId="44" fontId="0" fillId="0" borderId="0" xfId="0" applyNumberFormat="1" applyAlignment="1">
      <alignment horizontal="center" vertical="center" wrapText="1"/>
    </xf>
    <xf numFmtId="9" fontId="0" fillId="0" borderId="1" xfId="6" applyNumberFormat="1" applyFont="1" applyBorder="1" applyAlignment="1">
      <alignment horizontal="center" vertical="center" wrapText="1"/>
    </xf>
    <xf numFmtId="176" fontId="0" fillId="0" borderId="0" xfId="2" applyNumberFormat="1" applyFont="1" applyAlignment="1">
      <alignment wrapText="1"/>
    </xf>
    <xf numFmtId="176" fontId="0" fillId="0" borderId="0" xfId="0" applyNumberFormat="1" applyAlignment="1">
      <alignment wrapText="1"/>
    </xf>
    <xf numFmtId="176" fontId="0" fillId="0" borderId="0" xfId="1" applyNumberFormat="1" applyFont="1" applyAlignment="1">
      <alignment wrapText="1"/>
    </xf>
    <xf numFmtId="176" fontId="0" fillId="0" borderId="0" xfId="0" applyNumberFormat="1" applyAlignment="1">
      <alignment horizontal="center" vertical="center" wrapText="1"/>
    </xf>
    <xf numFmtId="170" fontId="0" fillId="0" borderId="0" xfId="0" applyNumberFormat="1" applyAlignment="1">
      <alignment horizontal="center" vertical="center" wrapText="1"/>
    </xf>
    <xf numFmtId="0" fontId="21" fillId="14" borderId="1" xfId="3" applyFont="1" applyFill="1" applyBorder="1" applyAlignment="1">
      <alignment horizontal="center" vertical="center" wrapText="1"/>
    </xf>
    <xf numFmtId="0" fontId="21" fillId="14" borderId="1" xfId="3" applyFont="1" applyFill="1" applyBorder="1" applyAlignment="1">
      <alignment horizontal="justify" vertical="center" wrapText="1"/>
    </xf>
    <xf numFmtId="0" fontId="32" fillId="16" borderId="1" xfId="3" applyFont="1" applyFill="1" applyBorder="1" applyAlignment="1">
      <alignment horizontal="justify" vertical="center" wrapText="1"/>
    </xf>
    <xf numFmtId="0" fontId="21" fillId="16" borderId="1" xfId="3" applyFont="1" applyFill="1" applyBorder="1" applyAlignment="1">
      <alignment horizontal="center" vertical="center" wrapText="1"/>
    </xf>
    <xf numFmtId="4" fontId="0" fillId="11" borderId="1" xfId="0" applyNumberFormat="1" applyFill="1" applyBorder="1" applyAlignment="1">
      <alignment horizontal="center" vertical="center" wrapText="1"/>
    </xf>
    <xf numFmtId="178" fontId="0" fillId="0" borderId="0" xfId="0" applyNumberFormat="1" applyAlignment="1">
      <alignment wrapText="1"/>
    </xf>
    <xf numFmtId="0" fontId="37" fillId="14" borderId="1" xfId="3" applyFont="1" applyFill="1" applyBorder="1" applyAlignment="1">
      <alignment horizontal="center" vertical="center" wrapText="1"/>
    </xf>
    <xf numFmtId="179" fontId="21" fillId="6" borderId="1" xfId="3" applyNumberFormat="1" applyFont="1" applyFill="1" applyBorder="1" applyAlignment="1">
      <alignment horizontal="justify" vertical="center" wrapText="1"/>
    </xf>
    <xf numFmtId="177" fontId="0" fillId="15" borderId="0" xfId="0" applyNumberFormat="1" applyFill="1" applyAlignment="1">
      <alignment wrapText="1"/>
    </xf>
    <xf numFmtId="44" fontId="4" fillId="17" borderId="1" xfId="3" applyNumberFormat="1" applyFont="1" applyFill="1" applyBorder="1" applyAlignment="1">
      <alignment horizontal="justify" vertical="center" wrapText="1"/>
    </xf>
    <xf numFmtId="44" fontId="21" fillId="6" borderId="1" xfId="3" applyNumberFormat="1" applyFont="1" applyFill="1" applyBorder="1" applyAlignment="1">
      <alignment horizontal="justify" vertical="center" wrapText="1"/>
    </xf>
    <xf numFmtId="44" fontId="3" fillId="17" borderId="1" xfId="3" applyNumberFormat="1" applyFont="1" applyFill="1" applyBorder="1" applyAlignment="1">
      <alignment horizontal="justify" vertical="center" wrapText="1"/>
    </xf>
    <xf numFmtId="170" fontId="21" fillId="9" borderId="1" xfId="6" applyNumberFormat="1" applyFont="1" applyFill="1" applyBorder="1" applyAlignment="1">
      <alignment horizontal="justify" vertical="center" wrapText="1"/>
    </xf>
    <xf numFmtId="1" fontId="36" fillId="15" borderId="1" xfId="12" applyNumberFormat="1" applyFont="1" applyFill="1" applyBorder="1" applyAlignment="1">
      <alignment horizontal="center" vertical="center" wrapText="1"/>
    </xf>
    <xf numFmtId="175" fontId="36" fillId="15" borderId="1" xfId="12" applyNumberFormat="1" applyFont="1" applyFill="1" applyBorder="1" applyAlignment="1">
      <alignment horizontal="right" vertical="center" wrapText="1"/>
    </xf>
    <xf numFmtId="175" fontId="21" fillId="6" borderId="1" xfId="3" applyNumberFormat="1" applyFont="1" applyFill="1" applyBorder="1" applyAlignment="1">
      <alignment horizontal="justify" vertical="center" wrapText="1"/>
    </xf>
    <xf numFmtId="0" fontId="31" fillId="0" borderId="0" xfId="13" applyFont="1"/>
    <xf numFmtId="0" fontId="40" fillId="0" borderId="25" xfId="8" applyFont="1" applyBorder="1" applyAlignment="1" applyProtection="1">
      <alignment vertical="center"/>
      <protection locked="0"/>
    </xf>
    <xf numFmtId="0" fontId="41" fillId="10" borderId="14" xfId="8" applyFont="1" applyFill="1" applyBorder="1" applyAlignment="1" applyProtection="1">
      <alignment horizontal="center" vertical="center" wrapText="1"/>
      <protection locked="0"/>
    </xf>
    <xf numFmtId="0" fontId="41" fillId="10" borderId="1" xfId="8" applyFont="1" applyFill="1" applyBorder="1" applyAlignment="1" applyProtection="1">
      <alignment horizontal="center" vertical="center" wrapText="1"/>
      <protection locked="0"/>
    </xf>
    <xf numFmtId="0" fontId="41" fillId="10" borderId="15" xfId="8" applyFont="1" applyFill="1" applyBorder="1" applyAlignment="1" applyProtection="1">
      <alignment horizontal="center" vertical="center" wrapText="1"/>
      <protection locked="0"/>
    </xf>
    <xf numFmtId="0" fontId="40" fillId="0" borderId="30" xfId="8" applyFont="1" applyBorder="1" applyAlignment="1" applyProtection="1">
      <alignment vertical="center"/>
      <protection locked="0"/>
    </xf>
    <xf numFmtId="0" fontId="40" fillId="0" borderId="31" xfId="8" applyFont="1" applyBorder="1" applyAlignment="1" applyProtection="1">
      <alignment horizontal="center" vertical="center"/>
      <protection locked="0"/>
    </xf>
    <xf numFmtId="174" fontId="40" fillId="0" borderId="31" xfId="15" applyNumberFormat="1" applyFont="1" applyBorder="1" applyAlignment="1" applyProtection="1">
      <alignment vertical="center"/>
      <protection locked="0"/>
    </xf>
    <xf numFmtId="174" fontId="40" fillId="0" borderId="32" xfId="15" applyNumberFormat="1" applyFont="1" applyBorder="1" applyAlignment="1">
      <alignment vertical="center"/>
    </xf>
    <xf numFmtId="0" fontId="40" fillId="0" borderId="33" xfId="8" applyFont="1" applyBorder="1" applyAlignment="1" applyProtection="1">
      <alignment vertical="center"/>
      <protection locked="0"/>
    </xf>
    <xf numFmtId="0" fontId="40" fillId="0" borderId="34" xfId="8" applyFont="1" applyBorder="1" applyAlignment="1" applyProtection="1">
      <alignment horizontal="center" vertical="center"/>
      <protection locked="0"/>
    </xf>
    <xf numFmtId="174" fontId="40" fillId="0" borderId="34" xfId="15" applyNumberFormat="1" applyFont="1" applyBorder="1" applyAlignment="1" applyProtection="1">
      <alignment vertical="center"/>
      <protection locked="0"/>
    </xf>
    <xf numFmtId="174" fontId="40" fillId="0" borderId="35" xfId="15" applyNumberFormat="1" applyFont="1" applyBorder="1" applyAlignment="1">
      <alignment vertical="center"/>
    </xf>
    <xf numFmtId="0" fontId="40" fillId="0" borderId="33" xfId="8" applyFont="1" applyBorder="1" applyAlignment="1" applyProtection="1">
      <alignment horizontal="justify" vertical="center" wrapText="1"/>
      <protection locked="0"/>
    </xf>
    <xf numFmtId="174" fontId="40" fillId="19" borderId="34" xfId="15" applyNumberFormat="1" applyFont="1" applyFill="1" applyBorder="1" applyAlignment="1" applyProtection="1">
      <alignment vertical="center"/>
      <protection locked="0"/>
    </xf>
    <xf numFmtId="0" fontId="40" fillId="0" borderId="36" xfId="8" applyFont="1" applyBorder="1" applyAlignment="1" applyProtection="1">
      <alignment horizontal="justify" vertical="center" wrapText="1"/>
      <protection locked="0"/>
    </xf>
    <xf numFmtId="0" fontId="40" fillId="0" borderId="37" xfId="8" applyFont="1" applyBorder="1" applyAlignment="1" applyProtection="1">
      <alignment horizontal="center" vertical="center"/>
      <protection locked="0"/>
    </xf>
    <xf numFmtId="174" fontId="40" fillId="19" borderId="37" xfId="15" applyNumberFormat="1" applyFont="1" applyFill="1" applyBorder="1" applyAlignment="1" applyProtection="1">
      <alignment vertical="center"/>
      <protection locked="0"/>
    </xf>
    <xf numFmtId="174" fontId="40" fillId="0" borderId="38" xfId="15" applyNumberFormat="1" applyFont="1" applyBorder="1" applyAlignment="1">
      <alignment vertical="center"/>
    </xf>
    <xf numFmtId="3" fontId="40" fillId="0" borderId="34" xfId="8" applyNumberFormat="1" applyFont="1" applyBorder="1" applyAlignment="1" applyProtection="1">
      <alignment horizontal="center" vertical="center"/>
      <protection locked="0"/>
    </xf>
    <xf numFmtId="0" fontId="40" fillId="0" borderId="44" xfId="8" applyFont="1" applyBorder="1" applyAlignment="1" applyProtection="1">
      <alignment horizontal="justify" vertical="center" wrapText="1"/>
      <protection locked="0"/>
    </xf>
    <xf numFmtId="0" fontId="40" fillId="0" borderId="45" xfId="8" applyFont="1" applyBorder="1" applyAlignment="1" applyProtection="1">
      <alignment horizontal="center" vertical="center"/>
      <protection locked="0"/>
    </xf>
    <xf numFmtId="174" fontId="40" fillId="0" borderId="45" xfId="15" applyNumberFormat="1" applyFont="1" applyBorder="1" applyAlignment="1" applyProtection="1">
      <alignment vertical="center"/>
      <protection locked="0"/>
    </xf>
    <xf numFmtId="174" fontId="40" fillId="0" borderId="46" xfId="15" applyNumberFormat="1" applyFont="1" applyBorder="1" applyAlignment="1">
      <alignment vertical="center"/>
    </xf>
    <xf numFmtId="0" fontId="40" fillId="0" borderId="41" xfId="8" applyFont="1" applyBorder="1" applyAlignment="1" applyProtection="1">
      <alignment vertical="center" wrapText="1"/>
      <protection locked="0"/>
    </xf>
    <xf numFmtId="0" fontId="40" fillId="0" borderId="42" xfId="8" applyFont="1" applyBorder="1" applyAlignment="1" applyProtection="1">
      <alignment horizontal="center" vertical="center" wrapText="1"/>
      <protection locked="0"/>
    </xf>
    <xf numFmtId="174" fontId="40" fillId="0" borderId="42" xfId="15" applyNumberFormat="1" applyFont="1" applyBorder="1" applyAlignment="1" applyProtection="1">
      <alignment vertical="center" wrapText="1"/>
      <protection locked="0"/>
    </xf>
    <xf numFmtId="174" fontId="40" fillId="0" borderId="43" xfId="15" applyNumberFormat="1" applyFont="1" applyBorder="1" applyAlignment="1">
      <alignment vertical="center" wrapText="1"/>
    </xf>
    <xf numFmtId="0" fontId="31" fillId="0" borderId="0" xfId="13" applyFont="1" applyAlignment="1">
      <alignment wrapText="1"/>
    </xf>
    <xf numFmtId="0" fontId="40" fillId="0" borderId="33" xfId="8" applyFont="1" applyBorder="1" applyAlignment="1" applyProtection="1">
      <alignment vertical="center" wrapText="1"/>
      <protection locked="0"/>
    </xf>
    <xf numFmtId="0" fontId="40" fillId="0" borderId="34" xfId="8" applyFont="1" applyBorder="1" applyAlignment="1" applyProtection="1">
      <alignment horizontal="center" vertical="center" wrapText="1"/>
      <protection locked="0"/>
    </xf>
    <xf numFmtId="174" fontId="40" fillId="0" borderId="34" xfId="15" applyNumberFormat="1" applyFont="1" applyBorder="1" applyAlignment="1" applyProtection="1">
      <alignment vertical="center" wrapText="1"/>
      <protection locked="0"/>
    </xf>
    <xf numFmtId="174" fontId="40" fillId="0" borderId="35" xfId="15" applyNumberFormat="1" applyFont="1" applyBorder="1" applyAlignment="1">
      <alignment vertical="center" wrapText="1"/>
    </xf>
    <xf numFmtId="174" fontId="40" fillId="0" borderId="46" xfId="15" applyNumberFormat="1" applyFont="1" applyBorder="1" applyAlignment="1">
      <alignment vertical="center" wrapText="1"/>
    </xf>
    <xf numFmtId="0" fontId="40" fillId="0" borderId="24" xfId="8" applyFont="1" applyBorder="1" applyAlignment="1" applyProtection="1">
      <alignment vertical="center" wrapText="1"/>
      <protection locked="0"/>
    </xf>
    <xf numFmtId="0" fontId="40" fillId="0" borderId="0" xfId="8" applyFont="1" applyAlignment="1" applyProtection="1">
      <alignment horizontal="center" vertical="center" wrapText="1"/>
      <protection locked="0"/>
    </xf>
    <xf numFmtId="3" fontId="40" fillId="0" borderId="0" xfId="8" applyNumberFormat="1" applyFont="1" applyAlignment="1" applyProtection="1">
      <alignment horizontal="center" vertical="center" wrapText="1"/>
      <protection locked="0"/>
    </xf>
    <xf numFmtId="174" fontId="40" fillId="0" borderId="0" xfId="15" applyNumberFormat="1" applyFont="1" applyBorder="1" applyAlignment="1" applyProtection="1">
      <alignment vertical="center" wrapText="1"/>
      <protection locked="0"/>
    </xf>
    <xf numFmtId="0" fontId="42" fillId="0" borderId="16" xfId="0" applyFont="1" applyBorder="1" applyAlignment="1">
      <alignment horizontal="center" vertical="center"/>
    </xf>
    <xf numFmtId="10" fontId="43" fillId="0" borderId="18" xfId="2" applyNumberFormat="1" applyFont="1" applyBorder="1" applyAlignment="1">
      <alignment vertical="center"/>
    </xf>
    <xf numFmtId="0" fontId="42" fillId="0" borderId="0" xfId="0" applyFont="1" applyAlignment="1">
      <alignment vertical="center"/>
    </xf>
    <xf numFmtId="174" fontId="44" fillId="0" borderId="0" xfId="0" applyNumberFormat="1" applyFont="1" applyAlignment="1">
      <alignment horizontal="center" vertical="center" wrapText="1"/>
    </xf>
    <xf numFmtId="0" fontId="44" fillId="0" borderId="0" xfId="0" applyFont="1" applyAlignment="1">
      <alignment horizontal="center" vertical="center" wrapText="1"/>
    </xf>
    <xf numFmtId="0" fontId="44" fillId="0" borderId="0" xfId="0" applyFont="1" applyAlignment="1">
      <alignment vertical="center" wrapText="1"/>
    </xf>
    <xf numFmtId="0" fontId="42" fillId="0" borderId="24" xfId="0" applyFont="1" applyBorder="1" applyAlignment="1">
      <alignment horizontal="center" vertical="center"/>
    </xf>
    <xf numFmtId="41" fontId="43" fillId="0" borderId="25" xfId="7" applyFont="1" applyBorder="1" applyAlignment="1">
      <alignment vertical="center"/>
    </xf>
    <xf numFmtId="6" fontId="42" fillId="0" borderId="0" xfId="0" applyNumberFormat="1" applyFont="1" applyAlignment="1">
      <alignment vertical="center"/>
    </xf>
    <xf numFmtId="0" fontId="41" fillId="10" borderId="19" xfId="8" applyFont="1" applyFill="1" applyBorder="1" applyAlignment="1" applyProtection="1">
      <alignment horizontal="center" vertical="center"/>
      <protection locked="0"/>
    </xf>
    <xf numFmtId="174" fontId="41" fillId="10" borderId="20" xfId="15" applyNumberFormat="1" applyFont="1" applyFill="1" applyBorder="1" applyAlignment="1">
      <alignment vertical="center"/>
    </xf>
    <xf numFmtId="174" fontId="42" fillId="0" borderId="0" xfId="0" applyNumberFormat="1" applyFont="1" applyAlignment="1">
      <alignment vertical="center"/>
    </xf>
    <xf numFmtId="173" fontId="44" fillId="0" borderId="0" xfId="0" applyNumberFormat="1" applyFont="1" applyAlignment="1">
      <alignment horizontal="center" vertical="center" wrapText="1"/>
    </xf>
    <xf numFmtId="0" fontId="42" fillId="0" borderId="0" xfId="0" applyFont="1"/>
    <xf numFmtId="41" fontId="44" fillId="0" borderId="0" xfId="7" applyFont="1" applyAlignment="1">
      <alignment vertical="center" wrapText="1"/>
    </xf>
    <xf numFmtId="0" fontId="45" fillId="0" borderId="47" xfId="13" applyFont="1" applyBorder="1" applyAlignment="1">
      <alignment horizontal="center"/>
    </xf>
    <xf numFmtId="170" fontId="2" fillId="0" borderId="1" xfId="6" applyNumberFormat="1" applyFont="1" applyBorder="1" applyAlignment="1">
      <alignment horizontal="center" vertical="center" wrapText="1"/>
    </xf>
    <xf numFmtId="179" fontId="0" fillId="0" borderId="0" xfId="0" applyNumberFormat="1" applyAlignment="1">
      <alignment horizontal="center" vertical="center" wrapText="1"/>
    </xf>
    <xf numFmtId="0" fontId="4" fillId="0" borderId="0" xfId="3" applyFont="1" applyAlignment="1">
      <alignment vertical="center" wrapText="1"/>
    </xf>
    <xf numFmtId="0" fontId="4" fillId="0" borderId="10" xfId="3" applyFont="1" applyBorder="1" applyAlignment="1">
      <alignment vertical="center" wrapText="1"/>
    </xf>
    <xf numFmtId="167" fontId="6" fillId="0" borderId="0" xfId="3" applyNumberFormat="1" applyFont="1" applyAlignment="1">
      <alignment horizontal="right" vertical="center" wrapText="1"/>
    </xf>
    <xf numFmtId="167" fontId="18" fillId="7" borderId="1" xfId="3" applyNumberFormat="1" applyFont="1" applyFill="1" applyBorder="1" applyAlignment="1">
      <alignment horizontal="right" vertical="center" wrapText="1"/>
    </xf>
    <xf numFmtId="167" fontId="18" fillId="8" borderId="1" xfId="3" applyNumberFormat="1" applyFont="1" applyFill="1" applyBorder="1" applyAlignment="1">
      <alignment horizontal="right" vertical="center" wrapText="1"/>
    </xf>
    <xf numFmtId="167" fontId="22" fillId="0" borderId="1" xfId="3" applyNumberFormat="1" applyFont="1" applyBorder="1" applyAlignment="1">
      <alignment horizontal="center" vertical="center" wrapText="1"/>
    </xf>
    <xf numFmtId="9" fontId="22" fillId="6" borderId="1" xfId="3" applyNumberFormat="1" applyFont="1" applyFill="1" applyBorder="1" applyAlignment="1">
      <alignment horizontal="center" vertical="center" wrapText="1"/>
    </xf>
    <xf numFmtId="167" fontId="22" fillId="0" borderId="1" xfId="2" applyNumberFormat="1" applyFont="1" applyFill="1" applyBorder="1" applyAlignment="1">
      <alignment horizontal="right" vertical="center" wrapText="1"/>
    </xf>
    <xf numFmtId="167" fontId="22" fillId="12" borderId="1" xfId="3" applyNumberFormat="1" applyFont="1" applyFill="1" applyBorder="1" applyAlignment="1">
      <alignment horizontal="center" vertical="center" wrapText="1"/>
    </xf>
    <xf numFmtId="9" fontId="22" fillId="12" borderId="1" xfId="3" applyNumberFormat="1" applyFont="1" applyFill="1" applyBorder="1" applyAlignment="1">
      <alignment horizontal="center" vertical="center" wrapText="1"/>
    </xf>
    <xf numFmtId="167" fontId="23" fillId="0" borderId="1" xfId="2" applyNumberFormat="1" applyFont="1" applyFill="1" applyBorder="1" applyAlignment="1">
      <alignment horizontal="right" vertical="center" wrapText="1"/>
    </xf>
    <xf numFmtId="4" fontId="23" fillId="0" borderId="1" xfId="3" applyNumberFormat="1" applyFont="1" applyBorder="1" applyAlignment="1">
      <alignment horizontal="right" vertical="center" wrapText="1"/>
    </xf>
    <xf numFmtId="167" fontId="18" fillId="9" borderId="1" xfId="3" applyNumberFormat="1" applyFont="1" applyFill="1" applyBorder="1" applyAlignment="1">
      <alignment horizontal="right" vertical="center" wrapText="1"/>
    </xf>
    <xf numFmtId="167" fontId="22" fillId="6" borderId="1" xfId="3" applyNumberFormat="1" applyFont="1" applyFill="1" applyBorder="1" applyAlignment="1">
      <alignment horizontal="center" vertical="center" wrapText="1"/>
    </xf>
    <xf numFmtId="0" fontId="18" fillId="13" borderId="1" xfId="3" applyFont="1" applyFill="1" applyBorder="1" applyAlignment="1">
      <alignment horizontal="center" vertical="center" wrapText="1"/>
    </xf>
    <xf numFmtId="167" fontId="18" fillId="13" borderId="1" xfId="3" applyNumberFormat="1" applyFont="1" applyFill="1" applyBorder="1" applyAlignment="1">
      <alignment horizontal="right" vertical="center" wrapText="1"/>
    </xf>
    <xf numFmtId="0" fontId="22" fillId="0" borderId="1" xfId="3" applyFont="1" applyBorder="1" applyAlignment="1">
      <alignment horizontal="center" vertical="center" wrapText="1"/>
    </xf>
    <xf numFmtId="44" fontId="0" fillId="0" borderId="0" xfId="6" applyFont="1" applyAlignment="1">
      <alignment wrapText="1"/>
    </xf>
    <xf numFmtId="167" fontId="23" fillId="8" borderId="1" xfId="3" applyNumberFormat="1" applyFont="1" applyFill="1" applyBorder="1" applyAlignment="1">
      <alignment horizontal="right" vertical="center" wrapText="1"/>
    </xf>
    <xf numFmtId="9" fontId="18" fillId="8" borderId="1" xfId="3" applyNumberFormat="1" applyFont="1" applyFill="1" applyBorder="1" applyAlignment="1">
      <alignment horizontal="center" vertical="center" wrapText="1"/>
    </xf>
    <xf numFmtId="167" fontId="6" fillId="0" borderId="0" xfId="3" applyNumberFormat="1" applyFont="1" applyAlignment="1">
      <alignment horizontal="center" vertical="center" wrapText="1"/>
    </xf>
    <xf numFmtId="0" fontId="21" fillId="0" borderId="48" xfId="3" applyFont="1" applyBorder="1" applyAlignment="1">
      <alignment vertical="center" wrapText="1"/>
    </xf>
    <xf numFmtId="44" fontId="6" fillId="0" borderId="0" xfId="6" applyFont="1" applyAlignment="1">
      <alignment vertical="center" wrapText="1"/>
    </xf>
    <xf numFmtId="0" fontId="21" fillId="0" borderId="0" xfId="3" applyFont="1" applyAlignment="1">
      <alignment horizontal="center" vertical="center" wrapText="1"/>
    </xf>
    <xf numFmtId="0" fontId="21" fillId="0" borderId="0" xfId="3" applyFont="1" applyAlignment="1">
      <alignment vertical="center" wrapText="1"/>
    </xf>
    <xf numFmtId="0" fontId="18" fillId="0" borderId="0" xfId="3" applyFont="1" applyAlignment="1">
      <alignment horizontal="center" vertical="center" wrapText="1"/>
    </xf>
    <xf numFmtId="181" fontId="21" fillId="0" borderId="0" xfId="3" applyNumberFormat="1" applyFont="1" applyAlignment="1">
      <alignment vertical="center" wrapText="1"/>
    </xf>
    <xf numFmtId="4" fontId="21" fillId="0" borderId="0" xfId="3" applyNumberFormat="1" applyFont="1" applyAlignment="1">
      <alignment vertical="center" wrapText="1"/>
    </xf>
    <xf numFmtId="182" fontId="21" fillId="0" borderId="0" xfId="2" applyNumberFormat="1" applyFont="1" applyAlignment="1">
      <alignment vertical="center" wrapText="1"/>
    </xf>
    <xf numFmtId="167" fontId="6" fillId="0" borderId="0" xfId="3" applyNumberFormat="1" applyFont="1" applyAlignment="1">
      <alignment horizontal="right" vertical="center"/>
    </xf>
    <xf numFmtId="10" fontId="22" fillId="6" borderId="1" xfId="2" applyNumberFormat="1" applyFont="1" applyFill="1" applyBorder="1" applyAlignment="1" applyProtection="1">
      <alignment horizontal="right" vertical="center"/>
    </xf>
    <xf numFmtId="0" fontId="27" fillId="9" borderId="1" xfId="0" applyFont="1" applyFill="1" applyBorder="1" applyAlignment="1">
      <alignment horizontal="center" vertical="center" wrapText="1"/>
    </xf>
    <xf numFmtId="9" fontId="22" fillId="6" borderId="1" xfId="2" applyFont="1" applyFill="1" applyBorder="1" applyAlignment="1" applyProtection="1">
      <alignment horizontal="center" vertical="center"/>
    </xf>
    <xf numFmtId="0" fontId="21" fillId="0" borderId="48" xfId="3" applyFont="1" applyBorder="1" applyAlignment="1">
      <alignment vertical="center"/>
    </xf>
    <xf numFmtId="167" fontId="6" fillId="0" borderId="0" xfId="3" applyNumberFormat="1" applyFont="1" applyAlignment="1">
      <alignment horizontal="center" vertical="center"/>
    </xf>
    <xf numFmtId="0" fontId="18" fillId="0" borderId="0" xfId="3" applyFont="1" applyAlignment="1">
      <alignment horizontal="center" vertical="center"/>
    </xf>
    <xf numFmtId="4" fontId="21" fillId="0" borderId="0" xfId="3" applyNumberFormat="1" applyFont="1" applyAlignment="1">
      <alignment vertical="center"/>
    </xf>
    <xf numFmtId="0" fontId="1" fillId="0" borderId="0" xfId="16"/>
    <xf numFmtId="0" fontId="51" fillId="11" borderId="1" xfId="18" applyFont="1" applyFill="1" applyBorder="1" applyAlignment="1">
      <alignment horizontal="left" vertical="center" wrapText="1"/>
    </xf>
    <xf numFmtId="44" fontId="52" fillId="15" borderId="1" xfId="19" applyFont="1" applyFill="1" applyBorder="1" applyAlignment="1">
      <alignment horizontal="center" vertical="center" wrapText="1"/>
    </xf>
    <xf numFmtId="0" fontId="52" fillId="0" borderId="0" xfId="20" applyNumberFormat="1" applyFont="1" applyAlignment="1">
      <alignment vertical="center"/>
    </xf>
    <xf numFmtId="0" fontId="52" fillId="0" borderId="0" xfId="18" applyFont="1" applyAlignment="1">
      <alignment vertical="center"/>
    </xf>
    <xf numFmtId="0" fontId="53" fillId="0" borderId="2" xfId="21" applyFont="1" applyBorder="1" applyAlignment="1">
      <alignment vertical="center" wrapText="1"/>
    </xf>
    <xf numFmtId="183" fontId="34" fillId="22" borderId="1" xfId="22" applyFont="1" applyFill="1" applyBorder="1" applyAlignment="1">
      <alignment horizontal="center" vertical="center"/>
    </xf>
    <xf numFmtId="0" fontId="34" fillId="0" borderId="1" xfId="18" applyBorder="1" applyAlignment="1">
      <alignment horizontal="left" vertical="center" wrapText="1"/>
    </xf>
    <xf numFmtId="170" fontId="22" fillId="6" borderId="1" xfId="3" applyNumberFormat="1" applyFont="1" applyFill="1" applyBorder="1" applyAlignment="1">
      <alignment horizontal="center" vertical="center"/>
    </xf>
    <xf numFmtId="0" fontId="33" fillId="0" borderId="9" xfId="3" applyFont="1" applyBorder="1" applyAlignment="1">
      <alignment horizontal="left" vertical="center" wrapText="1"/>
    </xf>
    <xf numFmtId="0" fontId="53" fillId="0" borderId="2" xfId="23" applyFont="1" applyBorder="1" applyAlignment="1">
      <alignment vertical="center" wrapText="1"/>
    </xf>
    <xf numFmtId="0" fontId="34" fillId="0" borderId="1" xfId="18" applyBorder="1" applyAlignment="1">
      <alignment vertical="center" wrapText="1"/>
    </xf>
    <xf numFmtId="10" fontId="52" fillId="0" borderId="1" xfId="20" applyNumberFormat="1" applyFont="1" applyBorder="1" applyAlignment="1">
      <alignment vertical="center"/>
    </xf>
    <xf numFmtId="0" fontId="34" fillId="0" borderId="0" xfId="18" applyAlignment="1">
      <alignment vertical="center" wrapText="1"/>
    </xf>
    <xf numFmtId="10" fontId="52" fillId="0" borderId="0" xfId="20" applyNumberFormat="1" applyFont="1" applyBorder="1" applyAlignment="1">
      <alignment vertical="center"/>
    </xf>
    <xf numFmtId="0" fontId="33" fillId="0" borderId="0" xfId="3" applyFont="1" applyAlignment="1">
      <alignment horizontal="left" vertical="center" wrapText="1"/>
    </xf>
    <xf numFmtId="0" fontId="2" fillId="0" borderId="1" xfId="0" applyFont="1" applyBorder="1" applyAlignment="1">
      <alignment horizontal="center" vertical="center" wrapText="1"/>
    </xf>
    <xf numFmtId="167" fontId="54" fillId="0" borderId="9" xfId="8" applyNumberFormat="1" applyFont="1" applyBorder="1" applyAlignment="1">
      <alignment vertical="center" wrapText="1"/>
    </xf>
    <xf numFmtId="167" fontId="54" fillId="0" borderId="0" xfId="8" applyNumberFormat="1" applyFont="1" applyAlignment="1">
      <alignment vertical="center" wrapText="1"/>
    </xf>
    <xf numFmtId="4" fontId="22" fillId="6" borderId="1" xfId="3" applyNumberFormat="1" applyFont="1" applyFill="1" applyBorder="1" applyAlignment="1">
      <alignment horizontal="left" vertical="center" wrapText="1" indent="2"/>
    </xf>
    <xf numFmtId="10" fontId="22" fillId="6" borderId="1" xfId="3" applyNumberFormat="1" applyFont="1" applyFill="1" applyBorder="1" applyAlignment="1">
      <alignment horizontal="center" vertical="center"/>
    </xf>
    <xf numFmtId="173" fontId="55" fillId="0" borderId="1" xfId="24" applyNumberFormat="1" applyFont="1" applyBorder="1" applyAlignment="1">
      <alignment vertical="center"/>
    </xf>
    <xf numFmtId="10" fontId="55" fillId="0" borderId="1" xfId="25" applyNumberFormat="1" applyFont="1" applyBorder="1" applyAlignment="1">
      <alignment vertical="center"/>
    </xf>
    <xf numFmtId="167" fontId="54" fillId="0" borderId="0" xfId="8" applyNumberFormat="1" applyFont="1" applyAlignment="1">
      <alignment vertical="center"/>
    </xf>
    <xf numFmtId="0" fontId="2" fillId="0" borderId="1" xfId="3" applyFont="1" applyBorder="1" applyAlignment="1">
      <alignment vertical="center"/>
    </xf>
    <xf numFmtId="10" fontId="6" fillId="0" borderId="1" xfId="2" applyNumberFormat="1" applyFont="1" applyBorder="1" applyAlignment="1">
      <alignment vertical="center"/>
    </xf>
    <xf numFmtId="0" fontId="7" fillId="0" borderId="0" xfId="3" applyFont="1" applyAlignment="1">
      <alignment horizontal="center" vertical="center" wrapText="1"/>
    </xf>
    <xf numFmtId="169" fontId="6" fillId="0" borderId="1" xfId="3" applyNumberFormat="1" applyFont="1" applyBorder="1" applyAlignment="1">
      <alignment horizontal="center" vertical="center"/>
    </xf>
    <xf numFmtId="167" fontId="6" fillId="0" borderId="1" xfId="3" applyNumberFormat="1" applyFont="1" applyBorder="1" applyAlignment="1">
      <alignment vertical="center"/>
    </xf>
    <xf numFmtId="5" fontId="6" fillId="0" borderId="1" xfId="3" applyNumberFormat="1" applyFont="1" applyBorder="1" applyAlignment="1">
      <alignment horizontal="center" vertical="center" wrapText="1"/>
    </xf>
    <xf numFmtId="165" fontId="6" fillId="0" borderId="1" xfId="3" applyNumberFormat="1" applyFont="1" applyBorder="1" applyAlignment="1">
      <alignment horizontal="center" vertical="center"/>
    </xf>
    <xf numFmtId="10" fontId="6" fillId="0" borderId="1" xfId="3" applyNumberFormat="1" applyFont="1" applyBorder="1" applyAlignment="1">
      <alignment horizontal="center" vertical="center"/>
    </xf>
    <xf numFmtId="182" fontId="2" fillId="0" borderId="1" xfId="0" applyNumberFormat="1" applyFont="1" applyBorder="1" applyAlignment="1">
      <alignment horizontal="center" vertical="center" wrapText="1"/>
    </xf>
    <xf numFmtId="170" fontId="2" fillId="0" borderId="1" xfId="0" applyNumberFormat="1" applyFont="1" applyBorder="1" applyAlignment="1">
      <alignment horizontal="center" vertical="center" wrapText="1"/>
    </xf>
    <xf numFmtId="170" fontId="2" fillId="0" borderId="1" xfId="6" applyNumberFormat="1" applyFont="1" applyFill="1" applyBorder="1" applyAlignment="1">
      <alignment horizontal="center" vertical="center" wrapText="1"/>
    </xf>
    <xf numFmtId="10" fontId="0" fillId="0" borderId="1" xfId="2" applyNumberFormat="1" applyFont="1" applyBorder="1" applyAlignment="1">
      <alignment horizontal="center" vertical="center" wrapText="1"/>
    </xf>
    <xf numFmtId="176" fontId="0" fillId="0" borderId="1" xfId="0" applyNumberFormat="1" applyBorder="1" applyAlignment="1">
      <alignment horizontal="center" vertical="center" wrapText="1"/>
    </xf>
    <xf numFmtId="176" fontId="0" fillId="0" borderId="1" xfId="2" applyNumberFormat="1" applyFont="1" applyBorder="1" applyAlignment="1">
      <alignment horizontal="center" vertical="center" wrapText="1"/>
    </xf>
    <xf numFmtId="0" fontId="0" fillId="0" borderId="1" xfId="0" applyBorder="1" applyAlignment="1">
      <alignment horizontal="right" vertical="center" wrapText="1"/>
    </xf>
    <xf numFmtId="167" fontId="18" fillId="7" borderId="1" xfId="3" applyNumberFormat="1" applyFont="1" applyFill="1"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0" xfId="0"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18" fillId="7"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0" fontId="3" fillId="2" borderId="3" xfId="3" applyFont="1" applyFill="1" applyBorder="1" applyAlignment="1">
      <alignment horizontal="center" vertical="center" wrapText="1"/>
    </xf>
    <xf numFmtId="0" fontId="4" fillId="3" borderId="2" xfId="3" applyFont="1" applyFill="1" applyBorder="1" applyAlignment="1">
      <alignment horizontal="center" vertical="center" wrapText="1"/>
    </xf>
    <xf numFmtId="0" fontId="4" fillId="3" borderId="3" xfId="3" applyFont="1" applyFill="1" applyBorder="1" applyAlignment="1">
      <alignment horizontal="center" vertical="center" wrapText="1"/>
    </xf>
    <xf numFmtId="0" fontId="5" fillId="4" borderId="2" xfId="3" applyFont="1" applyFill="1" applyBorder="1" applyAlignment="1">
      <alignment horizontal="center" vertical="center" wrapText="1"/>
    </xf>
    <xf numFmtId="0" fontId="5" fillId="4" borderId="3" xfId="3" applyFont="1" applyFill="1" applyBorder="1" applyAlignment="1">
      <alignment horizontal="center" vertical="center" wrapText="1"/>
    </xf>
    <xf numFmtId="0" fontId="17" fillId="5" borderId="2" xfId="3" applyFont="1" applyFill="1" applyBorder="1" applyAlignment="1">
      <alignment horizontal="center" vertical="center" wrapText="1"/>
    </xf>
    <xf numFmtId="0" fontId="17" fillId="5" borderId="3" xfId="3" applyFont="1" applyFill="1" applyBorder="1" applyAlignment="1">
      <alignment horizontal="center" vertical="center" wrapText="1"/>
    </xf>
    <xf numFmtId="0" fontId="2" fillId="0" borderId="1" xfId="0" applyFont="1" applyBorder="1" applyAlignment="1">
      <alignment horizontal="right" vertical="center" wrapText="1"/>
    </xf>
    <xf numFmtId="44" fontId="18" fillId="7" borderId="1" xfId="6" applyFont="1" applyFill="1" applyBorder="1" applyAlignment="1">
      <alignment horizontal="center" vertical="center" wrapText="1"/>
    </xf>
    <xf numFmtId="0" fontId="2" fillId="0" borderId="2" xfId="0" applyFont="1" applyBorder="1" applyAlignment="1">
      <alignment horizontal="right" vertical="center" wrapText="1"/>
    </xf>
    <xf numFmtId="0" fontId="2" fillId="0" borderId="3" xfId="0" applyFont="1" applyBorder="1" applyAlignment="1">
      <alignment horizontal="right" vertical="center" wrapText="1"/>
    </xf>
    <xf numFmtId="0" fontId="2" fillId="0" borderId="4" xfId="0" applyFont="1" applyBorder="1" applyAlignment="1">
      <alignment horizontal="right" vertical="center" wrapText="1"/>
    </xf>
    <xf numFmtId="0" fontId="12" fillId="0" borderId="0" xfId="4" applyFont="1" applyFill="1" applyAlignment="1">
      <alignment horizontal="justify" wrapText="1"/>
    </xf>
    <xf numFmtId="0" fontId="18" fillId="8" borderId="2" xfId="3" applyFont="1" applyFill="1" applyBorder="1" applyAlignment="1">
      <alignment horizontal="left" vertical="center" wrapText="1"/>
    </xf>
    <xf numFmtId="0" fontId="18" fillId="8" borderId="3" xfId="3" applyFont="1" applyFill="1" applyBorder="1" applyAlignment="1">
      <alignment horizontal="left" vertical="center" wrapText="1"/>
    </xf>
    <xf numFmtId="0" fontId="18" fillId="8" borderId="4" xfId="3" applyFont="1" applyFill="1" applyBorder="1" applyAlignment="1">
      <alignment horizontal="left" vertical="center" wrapText="1"/>
    </xf>
    <xf numFmtId="0" fontId="18" fillId="8" borderId="1" xfId="3" applyFont="1" applyFill="1" applyBorder="1" applyAlignment="1">
      <alignment horizontal="left" vertical="center" wrapText="1"/>
    </xf>
    <xf numFmtId="0" fontId="27" fillId="8" borderId="1" xfId="0" applyFont="1" applyFill="1" applyBorder="1" applyAlignment="1">
      <alignment horizontal="left" vertical="center" wrapText="1"/>
    </xf>
    <xf numFmtId="0" fontId="27" fillId="0" borderId="1" xfId="0" applyFont="1" applyBorder="1" applyAlignment="1">
      <alignment horizontal="left" vertical="center" wrapText="1"/>
    </xf>
    <xf numFmtId="0" fontId="18" fillId="9" borderId="2" xfId="3" applyFont="1" applyFill="1" applyBorder="1" applyAlignment="1">
      <alignment horizontal="left" vertical="center" wrapText="1"/>
    </xf>
    <xf numFmtId="0" fontId="18" fillId="9" borderId="3" xfId="3" applyFont="1" applyFill="1" applyBorder="1" applyAlignment="1">
      <alignment horizontal="left" vertical="center" wrapText="1"/>
    </xf>
    <xf numFmtId="0" fontId="18" fillId="9" borderId="4" xfId="3" applyFont="1" applyFill="1" applyBorder="1" applyAlignment="1">
      <alignment horizontal="left" vertical="center" wrapText="1"/>
    </xf>
    <xf numFmtId="0" fontId="18" fillId="9" borderId="1" xfId="3" applyFont="1" applyFill="1" applyBorder="1" applyAlignment="1">
      <alignment horizontal="left" vertical="center" wrapText="1"/>
    </xf>
    <xf numFmtId="0" fontId="27" fillId="9" borderId="1" xfId="0" applyFont="1" applyFill="1" applyBorder="1" applyAlignment="1">
      <alignment horizontal="left" vertical="center" wrapText="1"/>
    </xf>
    <xf numFmtId="0" fontId="18" fillId="13" borderId="1" xfId="3" applyFont="1" applyFill="1" applyBorder="1" applyAlignment="1">
      <alignment horizontal="left" vertical="center" wrapText="1"/>
    </xf>
    <xf numFmtId="0" fontId="27" fillId="13" borderId="1" xfId="0" applyFont="1" applyFill="1" applyBorder="1" applyAlignment="1">
      <alignment horizontal="left" vertical="center" wrapText="1"/>
    </xf>
    <xf numFmtId="0" fontId="3" fillId="2" borderId="1" xfId="3" applyFont="1" applyFill="1" applyBorder="1" applyAlignment="1">
      <alignment horizontal="center" vertical="center" wrapText="1"/>
    </xf>
    <xf numFmtId="0" fontId="4" fillId="0" borderId="1" xfId="3" applyFont="1" applyBorder="1" applyAlignment="1">
      <alignment horizontal="center" vertical="center" wrapText="1"/>
    </xf>
    <xf numFmtId="0" fontId="4" fillId="3" borderId="1" xfId="3" applyFont="1" applyFill="1" applyBorder="1" applyAlignment="1">
      <alignment horizontal="center" vertical="center" wrapText="1"/>
    </xf>
    <xf numFmtId="0" fontId="5" fillId="4" borderId="1" xfId="3" applyFont="1" applyFill="1" applyBorder="1" applyAlignment="1">
      <alignment horizontal="center" vertical="center" wrapText="1"/>
    </xf>
    <xf numFmtId="0" fontId="46" fillId="0" borderId="1" xfId="3" applyFont="1" applyBorder="1" applyAlignment="1">
      <alignment horizontal="center" vertical="center" wrapText="1"/>
    </xf>
    <xf numFmtId="0" fontId="17" fillId="5" borderId="1" xfId="3" applyFont="1" applyFill="1" applyBorder="1" applyAlignment="1">
      <alignment horizontal="center" vertical="center" wrapText="1"/>
    </xf>
    <xf numFmtId="0" fontId="18" fillId="0" borderId="2" xfId="3" applyFont="1" applyBorder="1" applyAlignment="1">
      <alignment horizontal="left" vertical="center"/>
    </xf>
    <xf numFmtId="0" fontId="18" fillId="0" borderId="3" xfId="3" applyFont="1" applyBorder="1" applyAlignment="1">
      <alignment horizontal="left" vertical="center"/>
    </xf>
    <xf numFmtId="0" fontId="3" fillId="2" borderId="1" xfId="3" applyFont="1" applyFill="1" applyBorder="1" applyAlignment="1">
      <alignment horizontal="center" vertical="center"/>
    </xf>
    <xf numFmtId="0" fontId="3" fillId="0" borderId="1" xfId="3" applyFont="1" applyBorder="1" applyAlignment="1">
      <alignment horizontal="center" vertical="center"/>
    </xf>
    <xf numFmtId="0" fontId="48" fillId="0" borderId="1" xfId="3" applyFont="1" applyBorder="1" applyAlignment="1">
      <alignment horizontal="center" vertical="center"/>
    </xf>
    <xf numFmtId="0" fontId="17" fillId="5" borderId="1" xfId="3" applyFont="1" applyFill="1" applyBorder="1" applyAlignment="1">
      <alignment horizontal="center" vertical="center"/>
    </xf>
    <xf numFmtId="0" fontId="7" fillId="0" borderId="1" xfId="3" applyFont="1" applyBorder="1" applyAlignment="1">
      <alignment horizontal="right" vertical="center" wrapText="1"/>
    </xf>
    <xf numFmtId="0" fontId="7" fillId="10" borderId="1" xfId="3" applyFont="1" applyFill="1" applyBorder="1" applyAlignment="1">
      <alignment horizontal="center" vertical="center" wrapText="1"/>
    </xf>
    <xf numFmtId="167" fontId="7" fillId="10" borderId="1" xfId="3" applyNumberFormat="1" applyFont="1" applyFill="1" applyBorder="1" applyAlignment="1">
      <alignment horizontal="center" vertical="center"/>
    </xf>
    <xf numFmtId="0" fontId="7" fillId="9" borderId="2" xfId="3" applyFont="1" applyFill="1" applyBorder="1" applyAlignment="1">
      <alignment horizontal="center" vertical="center" wrapText="1"/>
    </xf>
    <xf numFmtId="0" fontId="7" fillId="9" borderId="4" xfId="3" applyFont="1" applyFill="1" applyBorder="1" applyAlignment="1">
      <alignment horizontal="center" vertical="center" wrapText="1"/>
    </xf>
    <xf numFmtId="167" fontId="6" fillId="0" borderId="2" xfId="3" applyNumberFormat="1" applyFont="1" applyBorder="1" applyAlignment="1">
      <alignment horizontal="center" vertical="center" wrapText="1"/>
    </xf>
    <xf numFmtId="167" fontId="6" fillId="0" borderId="4" xfId="3" applyNumberFormat="1" applyFont="1" applyBorder="1" applyAlignment="1">
      <alignment horizontal="center" vertical="center" wrapText="1"/>
    </xf>
    <xf numFmtId="168" fontId="6" fillId="0" borderId="2" xfId="3" applyNumberFormat="1" applyFont="1" applyBorder="1" applyAlignment="1">
      <alignment horizontal="center" vertical="center" wrapText="1"/>
    </xf>
    <xf numFmtId="168" fontId="6" fillId="0" borderId="4" xfId="3" applyNumberFormat="1" applyFont="1" applyBorder="1" applyAlignment="1">
      <alignment horizontal="center" vertical="center" wrapText="1"/>
    </xf>
    <xf numFmtId="169" fontId="9" fillId="0" borderId="1" xfId="2" applyNumberFormat="1" applyFont="1" applyFill="1" applyBorder="1" applyAlignment="1">
      <alignment horizontal="center" vertical="center"/>
    </xf>
    <xf numFmtId="167" fontId="6" fillId="0" borderId="1" xfId="3" applyNumberFormat="1" applyFont="1" applyBorder="1" applyAlignment="1">
      <alignment horizontal="center" vertical="center" wrapText="1"/>
    </xf>
    <xf numFmtId="0" fontId="7" fillId="10" borderId="1" xfId="3" applyFont="1" applyFill="1" applyBorder="1" applyAlignment="1">
      <alignment horizontal="center" vertical="center"/>
    </xf>
    <xf numFmtId="0" fontId="19" fillId="2" borderId="1" xfId="3" applyFont="1" applyFill="1" applyBorder="1" applyAlignment="1">
      <alignment horizontal="center" vertical="center"/>
    </xf>
    <xf numFmtId="0" fontId="19" fillId="2" borderId="2" xfId="3" applyFont="1" applyFill="1" applyBorder="1" applyAlignment="1">
      <alignment horizontal="center" vertical="center"/>
    </xf>
    <xf numFmtId="0" fontId="4" fillId="0" borderId="6" xfId="3" applyFont="1" applyBorder="1" applyAlignment="1">
      <alignment horizontal="center" vertical="center"/>
    </xf>
    <xf numFmtId="0" fontId="4" fillId="0" borderId="8" xfId="3" applyFont="1" applyBorder="1" applyAlignment="1">
      <alignment horizontal="center" vertical="center"/>
    </xf>
    <xf numFmtId="0" fontId="4" fillId="0" borderId="11" xfId="3" applyFont="1" applyBorder="1" applyAlignment="1">
      <alignment horizontal="center" vertical="center"/>
    </xf>
    <xf numFmtId="0" fontId="4" fillId="0" borderId="13" xfId="3" applyFont="1" applyBorder="1" applyAlignment="1">
      <alignment horizontal="center" vertical="center"/>
    </xf>
    <xf numFmtId="0" fontId="5" fillId="3" borderId="1" xfId="3" applyFont="1" applyFill="1" applyBorder="1" applyAlignment="1">
      <alignment horizontal="center" vertical="center" wrapText="1"/>
    </xf>
    <xf numFmtId="0" fontId="5" fillId="3" borderId="2" xfId="3" applyFont="1" applyFill="1" applyBorder="1" applyAlignment="1">
      <alignment horizontal="center" vertical="center" wrapText="1"/>
    </xf>
    <xf numFmtId="0" fontId="17" fillId="4" borderId="1" xfId="3" applyFont="1" applyFill="1" applyBorder="1" applyAlignment="1">
      <alignment horizontal="center" vertical="center" wrapText="1"/>
    </xf>
    <xf numFmtId="0" fontId="17" fillId="4" borderId="2" xfId="3" applyFont="1" applyFill="1" applyBorder="1" applyAlignment="1">
      <alignment horizontal="center" vertical="center" wrapText="1"/>
    </xf>
    <xf numFmtId="0" fontId="46" fillId="0" borderId="1" xfId="3" applyFont="1" applyBorder="1" applyAlignment="1">
      <alignment horizontal="center" vertical="center"/>
    </xf>
    <xf numFmtId="0" fontId="7" fillId="5" borderId="1" xfId="3" applyFont="1" applyFill="1" applyBorder="1" applyAlignment="1">
      <alignment horizontal="center" vertical="center"/>
    </xf>
    <xf numFmtId="167" fontId="54" fillId="0" borderId="9" xfId="8" applyNumberFormat="1" applyFont="1" applyBorder="1" applyAlignment="1">
      <alignment horizontal="left" vertical="center" wrapText="1"/>
    </xf>
    <xf numFmtId="167" fontId="54" fillId="0" borderId="0" xfId="8" applyNumberFormat="1" applyFont="1" applyAlignment="1">
      <alignment horizontal="left" vertical="center" wrapText="1"/>
    </xf>
    <xf numFmtId="0" fontId="2" fillId="0" borderId="2" xfId="16" applyFont="1" applyBorder="1" applyAlignment="1">
      <alignment horizontal="center" vertical="center"/>
    </xf>
    <xf numFmtId="0" fontId="2" fillId="0" borderId="3" xfId="16" applyFont="1" applyBorder="1" applyAlignment="1">
      <alignment horizontal="center" vertical="center"/>
    </xf>
    <xf numFmtId="0" fontId="49" fillId="2" borderId="21" xfId="0" applyFont="1" applyFill="1" applyBorder="1" applyAlignment="1">
      <alignment horizontal="center" vertical="center"/>
    </xf>
    <xf numFmtId="0" fontId="49" fillId="2" borderId="23" xfId="0" applyFont="1" applyFill="1" applyBorder="1" applyAlignment="1">
      <alignment horizontal="center" vertical="center"/>
    </xf>
    <xf numFmtId="0" fontId="0" fillId="0" borderId="23" xfId="0" applyBorder="1" applyAlignment="1">
      <alignment horizontal="center"/>
    </xf>
    <xf numFmtId="0" fontId="0" fillId="0" borderId="22" xfId="0" applyBorder="1" applyAlignment="1">
      <alignment horizontal="center"/>
    </xf>
    <xf numFmtId="0" fontId="50" fillId="20" borderId="1" xfId="17" applyFont="1" applyFill="1" applyBorder="1" applyAlignment="1">
      <alignment horizontal="center" vertical="center" wrapText="1"/>
    </xf>
    <xf numFmtId="0" fontId="50" fillId="0" borderId="0" xfId="18" applyFont="1" applyAlignment="1">
      <alignment horizontal="center" vertical="center" wrapText="1"/>
    </xf>
    <xf numFmtId="0" fontId="0" fillId="21" borderId="1" xfId="16" applyFont="1" applyFill="1" applyBorder="1" applyAlignment="1">
      <alignment horizontal="center" vertical="center"/>
    </xf>
    <xf numFmtId="0" fontId="1" fillId="21" borderId="1" xfId="16" applyFill="1" applyBorder="1" applyAlignment="1">
      <alignment horizontal="center" vertical="center"/>
    </xf>
    <xf numFmtId="0" fontId="42" fillId="0" borderId="0" xfId="0" applyFont="1" applyAlignment="1">
      <alignment horizontal="center"/>
    </xf>
    <xf numFmtId="0" fontId="42" fillId="0" borderId="25" xfId="0" applyFont="1" applyBorder="1" applyAlignment="1">
      <alignment horizontal="center"/>
    </xf>
    <xf numFmtId="0" fontId="42" fillId="0" borderId="48" xfId="0" applyFont="1" applyBorder="1" applyAlignment="1">
      <alignment horizontal="center"/>
    </xf>
    <xf numFmtId="0" fontId="42" fillId="0" borderId="49" xfId="0" applyFont="1" applyBorder="1" applyAlignment="1">
      <alignment horizontal="center"/>
    </xf>
    <xf numFmtId="0" fontId="41" fillId="9" borderId="28" xfId="8" applyFont="1" applyFill="1" applyBorder="1" applyAlignment="1" applyProtection="1">
      <alignment horizontal="center" vertical="center"/>
      <protection locked="0"/>
    </xf>
    <xf numFmtId="0" fontId="41" fillId="9" borderId="3" xfId="8" applyFont="1" applyFill="1" applyBorder="1" applyAlignment="1" applyProtection="1">
      <alignment horizontal="center" vertical="center"/>
      <protection locked="0"/>
    </xf>
    <xf numFmtId="0" fontId="41" fillId="9" borderId="29" xfId="8" applyFont="1" applyFill="1" applyBorder="1" applyAlignment="1" applyProtection="1">
      <alignment horizontal="center" vertical="center"/>
      <protection locked="0"/>
    </xf>
    <xf numFmtId="0" fontId="41" fillId="9" borderId="39" xfId="8" applyFont="1" applyFill="1" applyBorder="1" applyAlignment="1" applyProtection="1">
      <alignment horizontal="center" vertical="center"/>
      <protection locked="0"/>
    </xf>
    <xf numFmtId="0" fontId="41" fillId="9" borderId="7" xfId="8" applyFont="1" applyFill="1" applyBorder="1" applyAlignment="1" applyProtection="1">
      <alignment horizontal="center" vertical="center"/>
      <protection locked="0"/>
    </xf>
    <xf numFmtId="0" fontId="41" fillId="9" borderId="40" xfId="8" applyFont="1" applyFill="1" applyBorder="1" applyAlignment="1" applyProtection="1">
      <alignment horizontal="center" vertical="center"/>
      <protection locked="0"/>
    </xf>
    <xf numFmtId="0" fontId="41" fillId="9" borderId="24" xfId="8" applyFont="1" applyFill="1" applyBorder="1" applyAlignment="1" applyProtection="1">
      <alignment horizontal="center" vertical="center"/>
      <protection locked="0"/>
    </xf>
    <xf numFmtId="0" fontId="41" fillId="9" borderId="0" xfId="8" applyFont="1" applyFill="1" applyAlignment="1" applyProtection="1">
      <alignment horizontal="center" vertical="center"/>
      <protection locked="0"/>
    </xf>
    <xf numFmtId="0" fontId="41" fillId="9" borderId="25" xfId="8" applyFont="1" applyFill="1" applyBorder="1" applyAlignment="1" applyProtection="1">
      <alignment horizontal="center" vertical="center"/>
      <protection locked="0"/>
    </xf>
    <xf numFmtId="0" fontId="41" fillId="9" borderId="39" xfId="8" applyFont="1" applyFill="1" applyBorder="1" applyAlignment="1" applyProtection="1">
      <alignment horizontal="center" vertical="center" wrapText="1"/>
      <protection locked="0"/>
    </xf>
    <xf numFmtId="0" fontId="41" fillId="9" borderId="7" xfId="8" applyFont="1" applyFill="1" applyBorder="1" applyAlignment="1" applyProtection="1">
      <alignment horizontal="center" vertical="center" wrapText="1"/>
      <protection locked="0"/>
    </xf>
    <xf numFmtId="0" fontId="41" fillId="9" borderId="40" xfId="8" applyFont="1" applyFill="1" applyBorder="1" applyAlignment="1" applyProtection="1">
      <alignment horizontal="center" vertical="center" wrapText="1"/>
      <protection locked="0"/>
    </xf>
    <xf numFmtId="0" fontId="41" fillId="9" borderId="21" xfId="8" applyFont="1" applyFill="1" applyBorder="1" applyAlignment="1" applyProtection="1">
      <alignment horizontal="center" vertical="center" wrapText="1"/>
      <protection locked="0"/>
    </xf>
    <xf numFmtId="0" fontId="41" fillId="9" borderId="23" xfId="8" applyFont="1" applyFill="1" applyBorder="1" applyAlignment="1" applyProtection="1">
      <alignment horizontal="center" vertical="center" wrapText="1"/>
      <protection locked="0"/>
    </xf>
    <xf numFmtId="0" fontId="41" fillId="9" borderId="22" xfId="8" applyFont="1" applyFill="1" applyBorder="1" applyAlignment="1" applyProtection="1">
      <alignment horizontal="center" vertical="center" wrapText="1"/>
      <protection locked="0"/>
    </xf>
    <xf numFmtId="0" fontId="42" fillId="0" borderId="16" xfId="0" applyFont="1" applyBorder="1" applyAlignment="1">
      <alignment horizontal="center" vertical="center"/>
    </xf>
    <xf numFmtId="0" fontId="42" fillId="0" borderId="17" xfId="0" applyFont="1" applyBorder="1" applyAlignment="1">
      <alignment horizontal="center" vertical="center"/>
    </xf>
    <xf numFmtId="0" fontId="42" fillId="0" borderId="24" xfId="0" applyFont="1" applyBorder="1" applyAlignment="1">
      <alignment horizontal="center" vertical="center"/>
    </xf>
    <xf numFmtId="0" fontId="42" fillId="0" borderId="0" xfId="0" applyFont="1" applyAlignment="1">
      <alignment horizontal="center" vertical="center"/>
    </xf>
    <xf numFmtId="0" fontId="41" fillId="11" borderId="17" xfId="8" applyFont="1" applyFill="1" applyBorder="1" applyAlignment="1" applyProtection="1">
      <alignment horizontal="center" vertical="center"/>
      <protection locked="0"/>
    </xf>
    <xf numFmtId="0" fontId="41" fillId="11" borderId="18" xfId="8" applyFont="1" applyFill="1" applyBorder="1" applyAlignment="1" applyProtection="1">
      <alignment horizontal="center" vertical="center"/>
      <protection locked="0"/>
    </xf>
    <xf numFmtId="0" fontId="41" fillId="11" borderId="0" xfId="8" applyFont="1" applyFill="1" applyAlignment="1" applyProtection="1">
      <alignment horizontal="center" vertical="center"/>
      <protection locked="0"/>
    </xf>
    <xf numFmtId="0" fontId="41" fillId="11" borderId="25" xfId="8" applyFont="1" applyFill="1" applyBorder="1" applyAlignment="1" applyProtection="1">
      <alignment horizontal="center" vertical="center"/>
      <protection locked="0"/>
    </xf>
    <xf numFmtId="42" fontId="0" fillId="0" borderId="0" xfId="1" applyFont="1" applyAlignment="1">
      <alignment horizontal="center" vertical="center"/>
    </xf>
    <xf numFmtId="0" fontId="31" fillId="0" borderId="16" xfId="13" applyFont="1" applyBorder="1" applyAlignment="1">
      <alignment horizontal="center"/>
    </xf>
    <xf numFmtId="0" fontId="31" fillId="0" borderId="17" xfId="13" applyFont="1" applyBorder="1" applyAlignment="1">
      <alignment horizontal="center"/>
    </xf>
    <xf numFmtId="0" fontId="31" fillId="0" borderId="18" xfId="13" applyFont="1" applyBorder="1" applyAlignment="1">
      <alignment horizontal="center"/>
    </xf>
    <xf numFmtId="0" fontId="31" fillId="0" borderId="24" xfId="13" applyFont="1" applyBorder="1" applyAlignment="1">
      <alignment horizontal="center"/>
    </xf>
    <xf numFmtId="0" fontId="31" fillId="0" borderId="0" xfId="13" applyFont="1" applyAlignment="1">
      <alignment horizontal="center"/>
    </xf>
    <xf numFmtId="0" fontId="31" fillId="0" borderId="25" xfId="13" applyFont="1" applyBorder="1" applyAlignment="1">
      <alignment horizontal="center"/>
    </xf>
    <xf numFmtId="0" fontId="38" fillId="0" borderId="26" xfId="13" applyFont="1" applyBorder="1" applyAlignment="1">
      <alignment horizontal="center"/>
    </xf>
    <xf numFmtId="0" fontId="38" fillId="0" borderId="12" xfId="13" applyFont="1" applyBorder="1" applyAlignment="1">
      <alignment horizontal="center"/>
    </xf>
    <xf numFmtId="0" fontId="38" fillId="0" borderId="27" xfId="13" applyFont="1" applyBorder="1" applyAlignment="1">
      <alignment horizontal="center"/>
    </xf>
    <xf numFmtId="0" fontId="39" fillId="18" borderId="14" xfId="13" applyFont="1" applyFill="1" applyBorder="1" applyAlignment="1">
      <alignment horizontal="center" vertical="center" wrapText="1"/>
    </xf>
    <xf numFmtId="0" fontId="39" fillId="18" borderId="1" xfId="13" applyFont="1" applyFill="1" applyBorder="1" applyAlignment="1">
      <alignment horizontal="center" vertical="center" wrapText="1"/>
    </xf>
    <xf numFmtId="0" fontId="39" fillId="18" borderId="15" xfId="13" applyFont="1" applyFill="1" applyBorder="1" applyAlignment="1">
      <alignment horizontal="center" vertical="center" wrapText="1"/>
    </xf>
    <xf numFmtId="0" fontId="39" fillId="0" borderId="24" xfId="14" applyFont="1" applyBorder="1" applyAlignment="1" applyProtection="1">
      <alignment horizontal="center" vertical="center" wrapText="1"/>
      <protection locked="0"/>
    </xf>
    <xf numFmtId="0" fontId="39" fillId="0" borderId="0" xfId="14" applyFont="1" applyAlignment="1" applyProtection="1">
      <alignment horizontal="center" vertical="center" wrapText="1"/>
      <protection locked="0"/>
    </xf>
    <xf numFmtId="0" fontId="39" fillId="0" borderId="25" xfId="14" applyFont="1" applyBorder="1" applyAlignment="1" applyProtection="1">
      <alignment horizontal="center" vertical="center" wrapText="1"/>
      <protection locked="0"/>
    </xf>
    <xf numFmtId="0" fontId="35" fillId="18" borderId="28" xfId="8" applyFont="1" applyFill="1" applyBorder="1" applyAlignment="1" applyProtection="1">
      <alignment horizontal="center" vertical="center"/>
      <protection locked="0"/>
    </xf>
    <xf numFmtId="0" fontId="35" fillId="18" borderId="3" xfId="8" applyFont="1" applyFill="1" applyBorder="1" applyAlignment="1" applyProtection="1">
      <alignment horizontal="center" vertical="center"/>
      <protection locked="0"/>
    </xf>
    <xf numFmtId="0" fontId="35" fillId="18" borderId="29" xfId="8" applyFont="1" applyFill="1" applyBorder="1" applyAlignment="1" applyProtection="1">
      <alignment horizontal="center" vertical="center"/>
      <protection locked="0"/>
    </xf>
    <xf numFmtId="0" fontId="40" fillId="0" borderId="26" xfId="8" applyFont="1" applyBorder="1" applyAlignment="1" applyProtection="1">
      <alignment horizontal="center" vertical="center"/>
      <protection locked="0"/>
    </xf>
    <xf numFmtId="0" fontId="40" fillId="0" borderId="12" xfId="8" applyFont="1" applyBorder="1" applyAlignment="1" applyProtection="1">
      <alignment horizontal="center" vertical="center"/>
      <protection locked="0"/>
    </xf>
    <xf numFmtId="0" fontId="18" fillId="8" borderId="1" xfId="3" applyFont="1" applyFill="1" applyBorder="1" applyAlignment="1">
      <alignment horizontal="left" vertical="center"/>
    </xf>
    <xf numFmtId="0" fontId="18" fillId="0" borderId="1" xfId="3" applyFont="1" applyBorder="1" applyAlignment="1">
      <alignment horizontal="left" vertical="center"/>
    </xf>
    <xf numFmtId="0" fontId="4" fillId="0" borderId="7" xfId="3" applyFont="1" applyBorder="1" applyAlignment="1">
      <alignment horizontal="center" vertical="center"/>
    </xf>
    <xf numFmtId="0" fontId="4" fillId="0" borderId="0" xfId="3" applyFont="1" applyAlignment="1">
      <alignment horizontal="center" vertical="center"/>
    </xf>
    <xf numFmtId="0" fontId="4" fillId="0" borderId="10" xfId="3" applyFont="1" applyBorder="1" applyAlignment="1">
      <alignment horizontal="center" vertical="center"/>
    </xf>
    <xf numFmtId="0" fontId="4" fillId="0" borderId="12" xfId="3" applyFont="1" applyBorder="1" applyAlignment="1">
      <alignment horizontal="center" vertical="center"/>
    </xf>
    <xf numFmtId="0" fontId="24" fillId="0" borderId="1" xfId="0" applyFont="1" applyBorder="1" applyAlignment="1">
      <alignment horizontal="right"/>
    </xf>
    <xf numFmtId="0" fontId="18" fillId="0" borderId="2" xfId="3" applyFont="1" applyBorder="1" applyAlignment="1">
      <alignment horizontal="right" vertical="center"/>
    </xf>
    <xf numFmtId="0" fontId="18" fillId="0" borderId="3" xfId="3" applyFont="1" applyBorder="1" applyAlignment="1">
      <alignment horizontal="right" vertical="center"/>
    </xf>
    <xf numFmtId="0" fontId="18" fillId="0" borderId="4" xfId="3" applyFont="1" applyBorder="1" applyAlignment="1">
      <alignment horizontal="right" vertical="center"/>
    </xf>
    <xf numFmtId="0" fontId="3" fillId="2" borderId="2" xfId="3" applyFont="1" applyFill="1" applyBorder="1" applyAlignment="1">
      <alignment horizontal="center" vertical="center"/>
    </xf>
    <xf numFmtId="0" fontId="3" fillId="2" borderId="4" xfId="3" applyFont="1" applyFill="1" applyBorder="1" applyAlignment="1">
      <alignment horizontal="center" vertical="center"/>
    </xf>
    <xf numFmtId="0" fontId="4" fillId="3" borderId="4" xfId="3" applyFont="1" applyFill="1" applyBorder="1" applyAlignment="1">
      <alignment horizontal="center" vertical="center" wrapText="1"/>
    </xf>
    <xf numFmtId="0" fontId="5" fillId="4" borderId="4" xfId="3" applyFont="1" applyFill="1" applyBorder="1" applyAlignment="1">
      <alignment horizontal="center" vertical="center" wrapText="1"/>
    </xf>
    <xf numFmtId="0" fontId="17" fillId="5" borderId="2" xfId="3" applyFont="1" applyFill="1" applyBorder="1" applyAlignment="1">
      <alignment horizontal="center" vertical="center"/>
    </xf>
    <xf numFmtId="0" fontId="17" fillId="5" borderId="4" xfId="3" applyFont="1" applyFill="1" applyBorder="1" applyAlignment="1">
      <alignment horizontal="center" vertical="center"/>
    </xf>
    <xf numFmtId="0" fontId="5" fillId="0" borderId="0" xfId="3" applyFont="1" applyAlignment="1">
      <alignment horizontal="center" vertical="center"/>
    </xf>
    <xf numFmtId="0" fontId="4" fillId="0" borderId="1" xfId="3" applyFont="1" applyBorder="1" applyAlignment="1">
      <alignment horizontal="center" vertical="center"/>
    </xf>
    <xf numFmtId="0" fontId="19" fillId="4" borderId="1" xfId="3" applyFont="1" applyFill="1" applyBorder="1" applyAlignment="1">
      <alignment horizontal="center" vertical="center" wrapText="1"/>
    </xf>
    <xf numFmtId="0" fontId="5" fillId="5" borderId="1" xfId="3" applyFont="1" applyFill="1" applyBorder="1" applyAlignment="1">
      <alignment horizontal="center" vertical="center"/>
    </xf>
    <xf numFmtId="0" fontId="19" fillId="4" borderId="2" xfId="3" applyFont="1" applyFill="1" applyBorder="1" applyAlignment="1">
      <alignment horizontal="center" vertical="center" wrapText="1"/>
    </xf>
    <xf numFmtId="0" fontId="5" fillId="5" borderId="2" xfId="3" applyFont="1" applyFill="1" applyBorder="1" applyAlignment="1">
      <alignment horizontal="center" vertical="center"/>
    </xf>
    <xf numFmtId="0" fontId="26" fillId="2" borderId="1" xfId="3" applyFont="1" applyFill="1" applyBorder="1" applyAlignment="1">
      <alignment horizontal="center" vertical="center"/>
    </xf>
    <xf numFmtId="0" fontId="26" fillId="2" borderId="2" xfId="3" applyFont="1" applyFill="1" applyBorder="1" applyAlignment="1">
      <alignment horizontal="center" vertical="center"/>
    </xf>
    <xf numFmtId="0" fontId="7" fillId="4" borderId="1" xfId="3" applyFont="1" applyFill="1" applyBorder="1" applyAlignment="1">
      <alignment horizontal="center" vertical="center" wrapText="1"/>
    </xf>
    <xf numFmtId="0" fontId="7" fillId="4" borderId="2" xfId="3" applyFont="1" applyFill="1" applyBorder="1" applyAlignment="1">
      <alignment horizontal="center" vertical="center" wrapText="1"/>
    </xf>
    <xf numFmtId="0" fontId="7" fillId="5" borderId="2" xfId="3" applyFont="1" applyFill="1" applyBorder="1" applyAlignment="1">
      <alignment horizontal="center" vertical="center"/>
    </xf>
    <xf numFmtId="0" fontId="2" fillId="0" borderId="1" xfId="0" applyFont="1" applyBorder="1" applyAlignment="1">
      <alignment horizontal="right"/>
    </xf>
    <xf numFmtId="0" fontId="7" fillId="9" borderId="1" xfId="3" applyFont="1" applyFill="1" applyBorder="1" applyAlignment="1">
      <alignment horizontal="center" vertical="center" wrapText="1"/>
    </xf>
    <xf numFmtId="44" fontId="0" fillId="0" borderId="1" xfId="6" applyFont="1" applyBorder="1" applyAlignment="1">
      <alignment wrapText="1"/>
    </xf>
    <xf numFmtId="44" fontId="26" fillId="0" borderId="1" xfId="6" applyFont="1" applyBorder="1" applyAlignment="1">
      <alignment horizontal="center" vertical="center"/>
    </xf>
    <xf numFmtId="0" fontId="6" fillId="0" borderId="1" xfId="3" applyFont="1" applyBorder="1" applyAlignment="1">
      <alignment horizontal="center" vertical="center" wrapText="1"/>
    </xf>
    <xf numFmtId="0" fontId="24" fillId="0" borderId="1" xfId="0" applyFont="1" applyBorder="1" applyAlignment="1">
      <alignment horizontal="center"/>
    </xf>
    <xf numFmtId="0" fontId="28" fillId="0" borderId="1" xfId="0" applyFont="1" applyBorder="1" applyAlignment="1">
      <alignment horizontal="center"/>
    </xf>
    <xf numFmtId="0" fontId="21" fillId="0" borderId="3" xfId="3" applyFont="1" applyBorder="1" applyAlignment="1">
      <alignment horizontal="left" vertical="center" wrapText="1"/>
    </xf>
    <xf numFmtId="0" fontId="21" fillId="0" borderId="4" xfId="3" applyFont="1" applyBorder="1" applyAlignment="1">
      <alignment horizontal="left" vertical="center" wrapText="1"/>
    </xf>
    <xf numFmtId="4" fontId="23" fillId="10" borderId="1" xfId="3" applyNumberFormat="1" applyFont="1" applyFill="1" applyBorder="1" applyAlignment="1">
      <alignment horizontal="center" vertical="center"/>
    </xf>
    <xf numFmtId="4" fontId="23" fillId="9" borderId="1" xfId="3" applyNumberFormat="1" applyFont="1" applyFill="1" applyBorder="1" applyAlignment="1">
      <alignment horizontal="center" vertical="center"/>
    </xf>
    <xf numFmtId="0" fontId="18" fillId="9" borderId="1" xfId="3" applyFont="1" applyFill="1" applyBorder="1" applyAlignment="1">
      <alignment horizontal="center" vertical="center"/>
    </xf>
    <xf numFmtId="4" fontId="23" fillId="0" borderId="2" xfId="3" applyNumberFormat="1" applyFont="1" applyBorder="1" applyAlignment="1">
      <alignment horizontal="center" vertical="center" wrapText="1"/>
    </xf>
    <xf numFmtId="4" fontId="23" fillId="0" borderId="4" xfId="3" applyNumberFormat="1" applyFont="1" applyBorder="1" applyAlignment="1">
      <alignment horizontal="center" vertical="center" wrapText="1"/>
    </xf>
    <xf numFmtId="0" fontId="21" fillId="0" borderId="2" xfId="3" applyFont="1" applyBorder="1" applyAlignment="1">
      <alignment horizontal="left" vertical="center" wrapText="1"/>
    </xf>
    <xf numFmtId="0" fontId="18" fillId="0" borderId="2" xfId="3" applyFont="1" applyBorder="1" applyAlignment="1">
      <alignment horizontal="center" vertical="center" wrapText="1"/>
    </xf>
    <xf numFmtId="0" fontId="18" fillId="0" borderId="4" xfId="3" applyFont="1" applyBorder="1" applyAlignment="1">
      <alignment horizontal="center" vertical="center" wrapText="1"/>
    </xf>
    <xf numFmtId="0" fontId="18" fillId="10" borderId="1" xfId="3" applyFont="1" applyFill="1" applyBorder="1" applyAlignment="1">
      <alignment horizontal="center" vertical="center" wrapText="1"/>
    </xf>
  </cellXfs>
  <cellStyles count="26">
    <cellStyle name="Hipervínculo" xfId="4" builtinId="8"/>
    <cellStyle name="Millares [0]" xfId="7" builtinId="6"/>
    <cellStyle name="Moneda" xfId="6" builtinId="4"/>
    <cellStyle name="Moneda [0]" xfId="1" builtinId="7"/>
    <cellStyle name="Moneda 11" xfId="9" xr:uid="{00000000-0005-0000-0000-000005000000}"/>
    <cellStyle name="Moneda 2" xfId="11" xr:uid="{00000000-0005-0000-0000-000006000000}"/>
    <cellStyle name="Moneda 2 2 2" xfId="22" xr:uid="{134C8B4D-A60A-47BE-9154-575D1861BE0C}"/>
    <cellStyle name="Moneda 3 2 2" xfId="15" xr:uid="{2F8F464C-B9B5-4E03-A967-DBC2DB48EE69}"/>
    <cellStyle name="Moneda 6 2" xfId="10" xr:uid="{00000000-0005-0000-0000-000007000000}"/>
    <cellStyle name="Moneda 8" xfId="19" xr:uid="{6F6BC0BC-9606-43B5-8237-F899900A5945}"/>
    <cellStyle name="Normal" xfId="0" builtinId="0"/>
    <cellStyle name="Normal 12" xfId="13" xr:uid="{28C21FBD-7D89-4F94-874C-F67AAD3CE476}"/>
    <cellStyle name="Normal 14" xfId="16" xr:uid="{140A570C-593A-429E-84D2-A2080FDB3A5F}"/>
    <cellStyle name="Normal 2 2 2 2 2" xfId="8" xr:uid="{00000000-0005-0000-0000-000009000000}"/>
    <cellStyle name="Normal 2 3 2 3" xfId="14" xr:uid="{166F6E26-690A-4BCF-A26D-C17E75844689}"/>
    <cellStyle name="Normal 2 52 2 2 2" xfId="18" xr:uid="{0CB78754-4978-4CFA-94DC-6673696A6733}"/>
    <cellStyle name="Normal 2_FORMATOS_PARA_ENTREGAR 2 2" xfId="21" xr:uid="{0D6E509B-2286-401E-83AC-05C574B755A0}"/>
    <cellStyle name="Normal 2_FORMATOS_PARA_ENTREGAR 2 2 2" xfId="23" xr:uid="{FD2AF52F-24A4-4133-9FBB-B7E14D034B8F}"/>
    <cellStyle name="Normal 3" xfId="5" xr:uid="{00000000-0005-0000-0000-00000A000000}"/>
    <cellStyle name="Normal 3_ADM-INGENIEROS 2 2" xfId="24" xr:uid="{AB156A85-87F6-4B7E-8925-46DA76E69462}"/>
    <cellStyle name="Normal 4" xfId="12" xr:uid="{00000000-0005-0000-0000-00000B000000}"/>
    <cellStyle name="Normal 6 2" xfId="3" xr:uid="{00000000-0005-0000-0000-00000C000000}"/>
    <cellStyle name="Normal 67" xfId="17" xr:uid="{5982597A-EE33-4CCE-A13E-23A9BFD48C7F}"/>
    <cellStyle name="Porcentaje" xfId="2" builtinId="5"/>
    <cellStyle name="Porcentaje 2 2 2" xfId="25" xr:uid="{55EE6060-97A2-4D6E-BF68-2936A063D2D5}"/>
    <cellStyle name="Porcentual 2 2 5 2 2 2" xfId="20" xr:uid="{FA80908D-F5FA-4B5C-8979-C6EF9C8EE96A}"/>
  </cellStyles>
  <dxfs count="46">
    <dxf>
      <fill>
        <patternFill>
          <bgColor theme="7" tint="0.39994506668294322"/>
        </patternFill>
      </fill>
    </dxf>
    <dxf>
      <fill>
        <patternFill>
          <bgColor indexed="60"/>
        </patternFill>
      </fill>
    </dxf>
    <dxf>
      <font>
        <color auto="1"/>
      </font>
      <fill>
        <patternFill patternType="none">
          <bgColor auto="1"/>
        </patternFill>
      </fill>
    </dxf>
    <dxf>
      <font>
        <b/>
        <i val="0"/>
      </font>
      <fill>
        <patternFill>
          <bgColor theme="0" tint="-0.14996795556505021"/>
        </patternFill>
      </fill>
    </dxf>
    <dxf>
      <font>
        <b/>
        <i val="0"/>
      </font>
      <fill>
        <patternFill>
          <bgColor theme="0" tint="-0.14996795556505021"/>
        </patternFill>
      </fill>
    </dxf>
    <dxf>
      <font>
        <color auto="1"/>
      </font>
      <fill>
        <patternFill patternType="none">
          <bgColor auto="1"/>
        </patternFill>
      </fill>
    </dxf>
    <dxf>
      <font>
        <b/>
        <i val="0"/>
      </font>
      <fill>
        <patternFill>
          <bgColor theme="0" tint="-0.14996795556505021"/>
        </patternFill>
      </fill>
    </dxf>
    <dxf>
      <font>
        <color auto="1"/>
      </font>
      <fill>
        <patternFill patternType="none">
          <bgColor auto="1"/>
        </patternFill>
      </fill>
    </dxf>
    <dxf>
      <font>
        <b/>
        <i val="0"/>
      </font>
      <fill>
        <patternFill>
          <bgColor theme="0" tint="-0.14996795556505021"/>
        </patternFill>
      </fill>
    </dxf>
    <dxf>
      <font>
        <color auto="1"/>
      </font>
      <fill>
        <patternFill patternType="none">
          <bgColor auto="1"/>
        </patternFill>
      </fill>
    </dxf>
    <dxf>
      <font>
        <color auto="1"/>
      </font>
      <fill>
        <patternFill patternType="none">
          <bgColor auto="1"/>
        </patternFill>
      </fill>
    </dxf>
    <dxf>
      <font>
        <b/>
        <i val="0"/>
      </font>
      <fill>
        <patternFill>
          <bgColor theme="0" tint="-0.14996795556505021"/>
        </patternFill>
      </fill>
    </dxf>
    <dxf>
      <font>
        <b/>
        <i val="0"/>
      </font>
      <fill>
        <patternFill>
          <bgColor theme="0" tint="-0.14996795556505021"/>
        </patternFill>
      </fill>
    </dxf>
    <dxf>
      <font>
        <color auto="1"/>
      </font>
      <fill>
        <patternFill patternType="none">
          <bgColor auto="1"/>
        </patternFill>
      </fill>
    </dxf>
    <dxf>
      <font>
        <b/>
        <i val="0"/>
      </font>
      <fill>
        <patternFill>
          <bgColor theme="0" tint="-0.14996795556505021"/>
        </patternFill>
      </fill>
    </dxf>
    <dxf>
      <font>
        <color auto="1"/>
      </font>
      <fill>
        <patternFill patternType="none">
          <bgColor auto="1"/>
        </patternFill>
      </fill>
    </dxf>
    <dxf>
      <font>
        <color auto="1"/>
      </font>
      <fill>
        <patternFill patternType="none">
          <bgColor auto="1"/>
        </patternFill>
      </fill>
    </dxf>
    <dxf>
      <font>
        <b/>
        <i val="0"/>
      </font>
      <fill>
        <patternFill>
          <bgColor theme="0" tint="-0.14996795556505021"/>
        </patternFill>
      </fill>
    </dxf>
    <dxf>
      <font>
        <b/>
        <i val="0"/>
      </font>
      <fill>
        <patternFill>
          <bgColor theme="0" tint="-0.14996795556505021"/>
        </patternFill>
      </fill>
    </dxf>
    <dxf>
      <font>
        <color auto="1"/>
      </font>
      <fill>
        <patternFill patternType="none">
          <bgColor auto="1"/>
        </patternFill>
      </fill>
    </dxf>
    <dxf>
      <font>
        <color auto="1"/>
      </font>
      <fill>
        <patternFill patternType="none">
          <bgColor auto="1"/>
        </patternFill>
      </fill>
    </dxf>
    <dxf>
      <font>
        <b/>
        <i val="0"/>
      </font>
      <fill>
        <patternFill>
          <bgColor theme="0" tint="-0.14996795556505021"/>
        </patternFill>
      </fill>
    </dxf>
    <dxf>
      <font>
        <b/>
        <i val="0"/>
      </font>
      <fill>
        <patternFill>
          <bgColor theme="0" tint="-0.14996795556505021"/>
        </patternFill>
      </fill>
    </dxf>
    <dxf>
      <font>
        <color auto="1"/>
      </font>
      <fill>
        <patternFill patternType="none">
          <bgColor auto="1"/>
        </patternFill>
      </fill>
    </dxf>
    <dxf>
      <font>
        <b/>
        <i val="0"/>
      </font>
      <fill>
        <patternFill>
          <bgColor theme="0" tint="-0.14996795556505021"/>
        </patternFill>
      </fill>
    </dxf>
    <dxf>
      <font>
        <color auto="1"/>
      </font>
      <fill>
        <patternFill patternType="none">
          <bgColor auto="1"/>
        </patternFill>
      </fill>
    </dxf>
    <dxf>
      <fill>
        <patternFill patternType="none">
          <bgColor auto="1"/>
        </patternFill>
      </fill>
    </dxf>
    <dxf>
      <font>
        <color auto="1"/>
      </font>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ont>
        <color auto="1"/>
      </font>
      <fill>
        <patternFill patternType="none">
          <bgColor auto="1"/>
        </patternFill>
      </fill>
    </dxf>
    <dxf>
      <font>
        <b/>
        <i val="0"/>
      </font>
      <fill>
        <patternFill>
          <bgColor theme="0" tint="-0.14996795556505021"/>
        </patternFill>
      </fill>
    </dxf>
    <dxf>
      <font>
        <color auto="1"/>
      </font>
      <fill>
        <patternFill patternType="none">
          <bgColor auto="1"/>
        </patternFill>
      </fill>
    </dxf>
    <dxf>
      <font>
        <b/>
        <i val="0"/>
      </font>
      <fill>
        <patternFill>
          <bgColor theme="0" tint="-0.14996795556505021"/>
        </patternFill>
      </fill>
    </dxf>
    <dxf>
      <font>
        <color auto="1"/>
      </font>
      <fill>
        <patternFill patternType="none">
          <bgColor auto="1"/>
        </patternFill>
      </fill>
    </dxf>
    <dxf>
      <font>
        <b/>
        <i val="0"/>
      </font>
      <fill>
        <patternFill>
          <bgColor theme="0" tint="-0.14996795556505021"/>
        </patternFill>
      </fill>
    </dxf>
    <dxf>
      <font>
        <color auto="1"/>
      </font>
      <fill>
        <patternFill patternType="none">
          <bgColor auto="1"/>
        </patternFill>
      </fill>
    </dxf>
    <dxf>
      <font>
        <b/>
        <i val="0"/>
      </font>
      <fill>
        <patternFill>
          <bgColor theme="0" tint="-0.14996795556505021"/>
        </patternFill>
      </fill>
    </dxf>
    <dxf>
      <font>
        <color auto="1"/>
      </font>
      <fill>
        <patternFill patternType="none">
          <bgColor auto="1"/>
        </patternFill>
      </fill>
    </dxf>
    <dxf>
      <font>
        <b/>
        <i val="0"/>
      </font>
      <fill>
        <patternFill>
          <bgColor theme="0" tint="-0.14996795556505021"/>
        </patternFill>
      </fill>
    </dxf>
    <dxf>
      <font>
        <color auto="1"/>
      </font>
      <fill>
        <patternFill patternType="none">
          <bgColor auto="1"/>
        </patternFill>
      </fill>
    </dxf>
    <dxf>
      <font>
        <color auto="1"/>
      </font>
      <fill>
        <patternFill patternType="none">
          <bgColor auto="1"/>
        </patternFill>
      </fill>
    </dxf>
    <dxf>
      <font>
        <b/>
        <i val="0"/>
      </font>
      <fill>
        <patternFill>
          <bgColor theme="0" tint="-0.14996795556505021"/>
        </patternFill>
      </fill>
    </dxf>
    <dxf>
      <font>
        <color auto="1"/>
      </font>
      <fill>
        <patternFill patternType="none">
          <bgColor auto="1"/>
        </patternFill>
      </fill>
    </dxf>
    <dxf>
      <font>
        <color auto="1"/>
      </font>
      <fill>
        <patternFill patternType="none">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2.xml"/><Relationship Id="rId26" Type="http://schemas.openxmlformats.org/officeDocument/2006/relationships/externalLink" Target="externalLinks/externalLink10.xml"/><Relationship Id="rId3" Type="http://schemas.openxmlformats.org/officeDocument/2006/relationships/worksheet" Target="worksheets/sheet3.xml"/><Relationship Id="rId21" Type="http://schemas.openxmlformats.org/officeDocument/2006/relationships/externalLink" Target="externalLinks/externalLink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externalLink" Target="externalLinks/externalLink9.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4.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8.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7.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externalLink" Target="externalLinks/externalLink3.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6.xml"/><Relationship Id="rId27" Type="http://schemas.openxmlformats.org/officeDocument/2006/relationships/externalLink" Target="externalLinks/externalLink11.xml"/><Relationship Id="rId30"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5.png"/></Relationships>
</file>

<file path=xl/drawings/_rels/drawing7.x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7</xdr:col>
      <xdr:colOff>6628</xdr:colOff>
      <xdr:row>2</xdr:row>
      <xdr:rowOff>46384</xdr:rowOff>
    </xdr:from>
    <xdr:to>
      <xdr:col>7</xdr:col>
      <xdr:colOff>487680</xdr:colOff>
      <xdr:row>2</xdr:row>
      <xdr:rowOff>520496</xdr:rowOff>
    </xdr:to>
    <xdr:pic>
      <xdr:nvPicPr>
        <xdr:cNvPr id="2" name="Imagen 1">
          <a:extLst>
            <a:ext uri="{FF2B5EF4-FFF2-40B4-BE49-F238E27FC236}">
              <a16:creationId xmlns:a16="http://schemas.microsoft.com/office/drawing/2014/main" id="{BB0A3226-190F-4932-BDC0-7CFE8D3427DE}"/>
            </a:ext>
          </a:extLst>
        </xdr:cNvPr>
        <xdr:cNvPicPr>
          <a:picLocks noChangeAspect="1"/>
        </xdr:cNvPicPr>
      </xdr:nvPicPr>
      <xdr:blipFill>
        <a:blip xmlns:r="http://schemas.openxmlformats.org/officeDocument/2006/relationships" r:embed="rId1"/>
        <a:stretch>
          <a:fillRect/>
        </a:stretch>
      </xdr:blipFill>
      <xdr:spPr>
        <a:xfrm>
          <a:off x="6902728" y="827434"/>
          <a:ext cx="481052" cy="474112"/>
        </a:xfrm>
        <a:prstGeom prst="rect">
          <a:avLst/>
        </a:prstGeom>
      </xdr:spPr>
    </xdr:pic>
    <xdr:clientData/>
  </xdr:twoCellAnchor>
  <xdr:twoCellAnchor editAs="oneCell">
    <xdr:from>
      <xdr:col>6</xdr:col>
      <xdr:colOff>35719</xdr:colOff>
      <xdr:row>0</xdr:row>
      <xdr:rowOff>130969</xdr:rowOff>
    </xdr:from>
    <xdr:to>
      <xdr:col>7</xdr:col>
      <xdr:colOff>642938</xdr:colOff>
      <xdr:row>1</xdr:row>
      <xdr:rowOff>387601</xdr:rowOff>
    </xdr:to>
    <xdr:pic>
      <xdr:nvPicPr>
        <xdr:cNvPr id="3" name="Imagen 2">
          <a:extLst>
            <a:ext uri="{FF2B5EF4-FFF2-40B4-BE49-F238E27FC236}">
              <a16:creationId xmlns:a16="http://schemas.microsoft.com/office/drawing/2014/main" id="{8E084395-F3CB-0C6E-54E9-BDD8ABE07BA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167438" y="130969"/>
          <a:ext cx="1381125" cy="590007"/>
        </a:xfrm>
        <a:prstGeom prst="rect">
          <a:avLst/>
        </a:prstGeom>
        <a:ln>
          <a:noFill/>
        </a:ln>
        <a:effectLst>
          <a:glow rad="139700">
            <a:schemeClr val="accent6">
              <a:satMod val="175000"/>
              <a:alpha val="40000"/>
            </a:schemeClr>
          </a:glow>
          <a:outerShdw blurRad="292100" dist="139700" dir="2700000" algn="tl" rotWithShape="0">
            <a:srgbClr val="333333">
              <a:alpha val="65000"/>
            </a:srgbClr>
          </a:outerShdw>
        </a:effec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542925</xdr:colOff>
      <xdr:row>0</xdr:row>
      <xdr:rowOff>190500</xdr:rowOff>
    </xdr:from>
    <xdr:to>
      <xdr:col>6</xdr:col>
      <xdr:colOff>1121229</xdr:colOff>
      <xdr:row>4</xdr:row>
      <xdr:rowOff>34925</xdr:rowOff>
    </xdr:to>
    <xdr:pic>
      <xdr:nvPicPr>
        <xdr:cNvPr id="2" name="Imagen 1">
          <a:extLst>
            <a:ext uri="{FF2B5EF4-FFF2-40B4-BE49-F238E27FC236}">
              <a16:creationId xmlns:a16="http://schemas.microsoft.com/office/drawing/2014/main" id="{454F7D48-3E55-FCD0-1426-4C78364E060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315325" y="190500"/>
          <a:ext cx="1809750" cy="12065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6628</xdr:colOff>
      <xdr:row>2</xdr:row>
      <xdr:rowOff>46384</xdr:rowOff>
    </xdr:from>
    <xdr:to>
      <xdr:col>7</xdr:col>
      <xdr:colOff>487680</xdr:colOff>
      <xdr:row>2</xdr:row>
      <xdr:rowOff>520496</xdr:rowOff>
    </xdr:to>
    <xdr:pic>
      <xdr:nvPicPr>
        <xdr:cNvPr id="2" name="Imagen 1">
          <a:extLst>
            <a:ext uri="{FF2B5EF4-FFF2-40B4-BE49-F238E27FC236}">
              <a16:creationId xmlns:a16="http://schemas.microsoft.com/office/drawing/2014/main" id="{B443FEFE-7B13-4EBF-A394-65455F7DE271}"/>
            </a:ext>
          </a:extLst>
        </xdr:cNvPr>
        <xdr:cNvPicPr>
          <a:picLocks noChangeAspect="1"/>
        </xdr:cNvPicPr>
      </xdr:nvPicPr>
      <xdr:blipFill>
        <a:blip xmlns:r="http://schemas.openxmlformats.org/officeDocument/2006/relationships" r:embed="rId1"/>
        <a:stretch>
          <a:fillRect/>
        </a:stretch>
      </xdr:blipFill>
      <xdr:spPr>
        <a:xfrm>
          <a:off x="7093228" y="823624"/>
          <a:ext cx="481052" cy="47411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3</xdr:col>
      <xdr:colOff>228600</xdr:colOff>
      <xdr:row>0</xdr:row>
      <xdr:rowOff>205740</xdr:rowOff>
    </xdr:from>
    <xdr:to>
      <xdr:col>5</xdr:col>
      <xdr:colOff>348733</xdr:colOff>
      <xdr:row>1</xdr:row>
      <xdr:rowOff>514184</xdr:rowOff>
    </xdr:to>
    <xdr:pic>
      <xdr:nvPicPr>
        <xdr:cNvPr id="3" name="Imagen 2">
          <a:extLst>
            <a:ext uri="{FF2B5EF4-FFF2-40B4-BE49-F238E27FC236}">
              <a16:creationId xmlns:a16="http://schemas.microsoft.com/office/drawing/2014/main" id="{C5DBE6C6-8E29-46B9-96B2-C3DFC6D9820B}"/>
            </a:ext>
          </a:extLst>
        </xdr:cNvPr>
        <xdr:cNvPicPr>
          <a:picLocks noChangeAspect="1"/>
        </xdr:cNvPicPr>
      </xdr:nvPicPr>
      <xdr:blipFill rotWithShape="1">
        <a:blip xmlns:r="http://schemas.openxmlformats.org/officeDocument/2006/relationships" r:embed="rId1"/>
        <a:srcRect l="785" t="2924" r="362" b="5483"/>
        <a:stretch/>
      </xdr:blipFill>
      <xdr:spPr>
        <a:xfrm>
          <a:off x="5821680" y="205740"/>
          <a:ext cx="1705093" cy="39226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5</xdr:col>
      <xdr:colOff>25879</xdr:colOff>
      <xdr:row>0</xdr:row>
      <xdr:rowOff>0</xdr:rowOff>
    </xdr:from>
    <xdr:to>
      <xdr:col>6</xdr:col>
      <xdr:colOff>924074</xdr:colOff>
      <xdr:row>2</xdr:row>
      <xdr:rowOff>51758</xdr:rowOff>
    </xdr:to>
    <xdr:pic>
      <xdr:nvPicPr>
        <xdr:cNvPr id="2" name="Imagen 1">
          <a:extLst>
            <a:ext uri="{FF2B5EF4-FFF2-40B4-BE49-F238E27FC236}">
              <a16:creationId xmlns:a16="http://schemas.microsoft.com/office/drawing/2014/main" id="{AFC14C16-94AB-4D2F-B86F-3A8C29D3BB6B}"/>
            </a:ext>
          </a:extLst>
        </xdr:cNvPr>
        <xdr:cNvPicPr>
          <a:picLocks noChangeAspect="1"/>
        </xdr:cNvPicPr>
      </xdr:nvPicPr>
      <xdr:blipFill rotWithShape="1">
        <a:blip xmlns:r="http://schemas.openxmlformats.org/officeDocument/2006/relationships" r:embed="rId1"/>
        <a:srcRect l="785" t="-11929" r="362" b="-10608"/>
        <a:stretch/>
      </xdr:blipFill>
      <xdr:spPr>
        <a:xfrm>
          <a:off x="8110699" y="0"/>
          <a:ext cx="1561135" cy="47847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246529</xdr:colOff>
      <xdr:row>3</xdr:row>
      <xdr:rowOff>123264</xdr:rowOff>
    </xdr:from>
    <xdr:to>
      <xdr:col>6</xdr:col>
      <xdr:colOff>687667</xdr:colOff>
      <xdr:row>5</xdr:row>
      <xdr:rowOff>5123</xdr:rowOff>
    </xdr:to>
    <xdr:pic macro="[11]!Hoja36.Indice">
      <xdr:nvPicPr>
        <xdr:cNvPr id="2" name="Imagen 1">
          <a:extLst>
            <a:ext uri="{FF2B5EF4-FFF2-40B4-BE49-F238E27FC236}">
              <a16:creationId xmlns:a16="http://schemas.microsoft.com/office/drawing/2014/main" id="{1BFB9E06-DBDE-4605-A2AA-505DEA601785}"/>
            </a:ext>
          </a:extLst>
        </xdr:cNvPr>
        <xdr:cNvPicPr>
          <a:picLocks noChangeAspect="1"/>
        </xdr:cNvPicPr>
      </xdr:nvPicPr>
      <xdr:blipFill>
        <a:blip xmlns:r="http://schemas.openxmlformats.org/officeDocument/2006/relationships" r:embed="rId1"/>
        <a:stretch>
          <a:fillRect/>
        </a:stretch>
      </xdr:blipFill>
      <xdr:spPr>
        <a:xfrm>
          <a:off x="10106809" y="1555824"/>
          <a:ext cx="1233618" cy="293339"/>
        </a:xfrm>
        <a:prstGeom prst="rect">
          <a:avLst/>
        </a:prstGeom>
      </xdr:spPr>
    </xdr:pic>
    <xdr:clientData/>
  </xdr:twoCellAnchor>
  <xdr:twoCellAnchor>
    <xdr:from>
      <xdr:col>2</xdr:col>
      <xdr:colOff>516367</xdr:colOff>
      <xdr:row>0</xdr:row>
      <xdr:rowOff>106681</xdr:rowOff>
    </xdr:from>
    <xdr:to>
      <xdr:col>2</xdr:col>
      <xdr:colOff>2011680</xdr:colOff>
      <xdr:row>0</xdr:row>
      <xdr:rowOff>891541</xdr:rowOff>
    </xdr:to>
    <xdr:pic>
      <xdr:nvPicPr>
        <xdr:cNvPr id="3" name="Imagen 2">
          <a:extLst>
            <a:ext uri="{FF2B5EF4-FFF2-40B4-BE49-F238E27FC236}">
              <a16:creationId xmlns:a16="http://schemas.microsoft.com/office/drawing/2014/main" id="{A33F3182-8D67-4135-9BFD-7C7C125DCABB}"/>
            </a:ext>
          </a:extLst>
        </xdr:cNvPr>
        <xdr:cNvPicPr>
          <a:picLocks noChangeAspect="1"/>
        </xdr:cNvPicPr>
      </xdr:nvPicPr>
      <xdr:blipFill rotWithShape="1">
        <a:blip xmlns:r="http://schemas.openxmlformats.org/officeDocument/2006/relationships" r:embed="rId2"/>
        <a:srcRect l="785" t="2924" r="362" b="5483"/>
        <a:stretch/>
      </xdr:blipFill>
      <xdr:spPr>
        <a:xfrm>
          <a:off x="6048487" y="106681"/>
          <a:ext cx="1495313" cy="78486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258536</xdr:colOff>
      <xdr:row>0</xdr:row>
      <xdr:rowOff>104543</xdr:rowOff>
    </xdr:from>
    <xdr:to>
      <xdr:col>0</xdr:col>
      <xdr:colOff>1092998</xdr:colOff>
      <xdr:row>5</xdr:row>
      <xdr:rowOff>149678</xdr:rowOff>
    </xdr:to>
    <xdr:pic>
      <xdr:nvPicPr>
        <xdr:cNvPr id="3" name="Imagen 2">
          <a:extLst>
            <a:ext uri="{FF2B5EF4-FFF2-40B4-BE49-F238E27FC236}">
              <a16:creationId xmlns:a16="http://schemas.microsoft.com/office/drawing/2014/main" id="{B792BCDF-C2BC-43C6-A6AC-CC16A9435C6D}"/>
            </a:ext>
          </a:extLst>
        </xdr:cNvPr>
        <xdr:cNvPicPr>
          <a:picLocks noChangeAspect="1"/>
        </xdr:cNvPicPr>
      </xdr:nvPicPr>
      <xdr:blipFill>
        <a:blip xmlns:r="http://schemas.openxmlformats.org/officeDocument/2006/relationships" r:embed="rId1"/>
        <a:stretch>
          <a:fillRect/>
        </a:stretch>
      </xdr:blipFill>
      <xdr:spPr>
        <a:xfrm>
          <a:off x="258536" y="104543"/>
          <a:ext cx="834462" cy="92905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Y:\D:\Y:\H:\D:\vqicpysvr\VQ2008\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Y:\D:\Y:\H:\D:\10.6.75.177\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Y:\D:\Y:\H:\D:\Vqicpysvr\VQ2008\SHARE\ESTIMA\P7020\PROYECTO\730\CAMBIOS\Z20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Y:\D:\Y:\H:\D:\L:\OFERTAS\7422\DPTO\CIVIL\7422CWXL.XLS" TargetMode="External"/></Relationships>
</file>

<file path=xl/externalLinks/_rels/externalLink7.xml.rels><?xml version="1.0" encoding="UTF-8" standalone="yes"?>
<Relationships xmlns="http://schemas.openxmlformats.org/package/2006/relationships"><Relationship Id="rId3" Type="http://schemas.openxmlformats.org/officeDocument/2006/relationships/externalLinkPath" Target="../../../../../../../../User/Downloads/PRESUPUESTO%20SAN%20ANTONIO%20-%20DABEIBA%20F3%20(31-07-2025)%20final.xlsx" TargetMode="External"/><Relationship Id="rId2" Type="http://schemas.openxmlformats.org/officeDocument/2006/relationships/externalLinkPath" Target="file:///C:\Users\User\Downloads\PRESUPUESTO%20SAN%20ANTONIO%20-%20DABEIBA%20F3%20(31-07-2025)%20final.xlsx" TargetMode="External"/><Relationship Id="rId1" Type="http://schemas.openxmlformats.org/officeDocument/2006/relationships/externalLinkPath" Target="/Users/User/Downloads/PRESUPUESTO%20SAN%20ANTONIO%20-%20DABEIBA%20F3%20(31-07-2025)%20final.xlsx" TargetMode="External"/></Relationships>
</file>

<file path=xl/externalLinks/_rels/externalLink8.xml.rels><?xml version="1.0" encoding="UTF-8" standalone="yes"?>
<Relationships xmlns="http://schemas.openxmlformats.org/package/2006/relationships"><Relationship Id="rId3" Type="http://schemas.openxmlformats.org/officeDocument/2006/relationships/externalLinkPath" Target="../../../../../../../../USUARIO/Documents/ING%20MARLON%20PEREZ/01%20PRIMERO%20DABEIBA/02%20PROYECTOS/45%20PUENTE%20COLGANTE%20LA%20FLORIDA/Presupuesto_PuenteFlorida.xlsm" TargetMode="External"/><Relationship Id="rId2" Type="http://schemas.openxmlformats.org/officeDocument/2006/relationships/externalLinkPath" Target="file:///C:\Users\USUARIO\Documents\ING%20MARLON%20PEREZ\01%20PRIMERO%20DABEIBA\02%20PROYECTOS\45%20PUENTE%20COLGANTE%20LA%20FLORIDA\Presupuesto_PuenteFlorida.xlsm" TargetMode="External"/><Relationship Id="rId1" Type="http://schemas.openxmlformats.org/officeDocument/2006/relationships/externalLinkPath" Target="/Users/USUARIO/Documents/ING%20MARLON%20PEREZ/01%20PRIMERO%20DABEIBA/02%20PROYECTOS/45%20PUENTE%20COLGANTE%20LA%20FLORIDA/Presupuesto_PuenteFlorida.xlsm"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Biblioteca%20no%20tocar\Documentos\SECRETARIA%20DE%20PLANEACION%20PUERTO%20NARE\02%20DCTOS%20AYUDA\FORMATOS%20GOBERNACION\Plantilla_Estructuraci&#243;n_Presupuestos_Municipios_v1.2.xlsx" TargetMode="External"/></Relationships>
</file>

<file path=xl/externalLinks/_rels/externalLink10.xml.rels><?xml version="1.0" encoding="UTF-8" standalone="yes"?>
<Relationships xmlns="http://schemas.openxmlformats.org/package/2006/relationships"><Relationship Id="rId3" Type="http://schemas.openxmlformats.org/officeDocument/2006/relationships/externalLinkPath" Target="../../../../../../../../User/Downloads/PRESUPUESTO_INTERV_E.xlsx" TargetMode="External"/><Relationship Id="rId2" Type="http://schemas.openxmlformats.org/officeDocument/2006/relationships/externalLinkPath" Target="file:///C:\Users\User\Downloads\PRESUPUESTO_INTERV_E.xlsx" TargetMode="External"/><Relationship Id="rId1" Type="http://schemas.openxmlformats.org/officeDocument/2006/relationships/externalLinkPath" Target="/Users/User/Downloads/PRESUPUESTO_INTERV_E.xlsx" TargetMode="External"/></Relationships>
</file>

<file path=xl/externalLinks/_rels/externalLink11.xml.rels><?xml version="1.0" encoding="UTF-8" standalone="yes"?>
<Relationships xmlns="http://schemas.openxmlformats.org/package/2006/relationships"><Relationship Id="rId3" Type="http://schemas.openxmlformats.org/officeDocument/2006/relationships/externalLinkPath" Target="../../../../../../../../USUARIO/Documents/ING%20MARLON%20PEREZ/01%20PRIMERO%20DABEIBA/02%20PROYECTOS/15%20CONSTRUCCION%203%20KM%20DE%20PLACA%20HUELLA/ANTADO/13%20Presupuesto%20de%20obra/Copia%20de%2023_Ppto_Placa_Huella_Pital_V3.xlsm" TargetMode="External"/><Relationship Id="rId2" Type="http://schemas.openxmlformats.org/officeDocument/2006/relationships/externalLinkPath" Target="file:///C:\Users\USUARIO\Documents\ING%20MARLON%20PEREZ\01%20PRIMERO%20DABEIBA\02%20PROYECTOS\15%20CONSTRUCCION%203%20KM%20DE%20PLACA%20HUELLA\ANTADO\13%20Presupuesto%20de%20obra\Copia%20de%2023_Ppto_Placa_Huella_Pital_V3.xlsm" TargetMode="External"/><Relationship Id="rId1" Type="http://schemas.openxmlformats.org/officeDocument/2006/relationships/externalLinkPath" Target="/Users/USUARIO/Documents/ING%20MARLON%20PEREZ/01%20PRIMERO%20DABEIBA/02%20PROYECTOS/15%20CONSTRUCCION%203%20KM%20DE%20PLACA%20HUELLA/ANTADO/13%20Presupuesto%20de%20obra/Copia%20de%2023_Ppto_Placa_Huella_Pital_V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PC3I2"/>
      <sheetName val="MPC3I3"/>
      <sheetName val="MPC3I4"/>
      <sheetName val="MPC3I5"/>
      <sheetName val="MPC3I1"/>
      <sheetName val="Hoja1"/>
      <sheetName val="Hoja2"/>
      <sheetName val="Hoja3"/>
    </sheetNames>
    <sheetDataSet>
      <sheetData sheetId="0"/>
      <sheetData sheetId="1"/>
      <sheetData sheetId="2"/>
      <sheetData sheetId="3"/>
      <sheetData sheetId="4"/>
      <sheetData sheetId="5"/>
      <sheetData sheetId="6"/>
      <sheetData sheetId="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DATOS INICIALES"/>
      <sheetName val="PRESUPUESTO"/>
      <sheetName val="APU"/>
      <sheetName val="MEMORIAS"/>
      <sheetName val="AIU"/>
      <sheetName val="CRONOGRAMA "/>
      <sheetName val="PGIO"/>
      <sheetName val="PMT "/>
      <sheetName val="PAPSO "/>
      <sheetName val="INTERVENTORIA"/>
      <sheetName val="FM INTERVENTORIA"/>
      <sheetName val="POLIZAS INTERVENTORIA"/>
      <sheetName val="PAPSO INTERVENTORIA"/>
      <sheetName val="INSUMOS MATERIALES"/>
      <sheetName val="APU AUXILIARES"/>
      <sheetName val="INSUMOS EQUIPOS"/>
      <sheetName val="POLIZAS OBRA"/>
      <sheetName val="INSUMOS MANO DE OBRA"/>
      <sheetName val="FACTOR PRESTACIONAL"/>
      <sheetName val="INSUMOS TRANSPORTES"/>
      <sheetName val="INSUMOS SERVICIOS"/>
    </sheetNames>
    <sheetDataSet>
      <sheetData sheetId="0">
        <row r="7">
          <cell r="B7" t="str">
            <v>MEJORAMIENTO DE LA RED VIAL URBANA EN EL BARRIO SAN ANTONIO DEL MUNICIPIO DE DABEIBA</v>
          </cell>
        </row>
      </sheetData>
      <sheetData sheetId="1">
        <row r="7">
          <cell r="A7" t="str">
            <v>ITEM</v>
          </cell>
          <cell r="B7" t="str">
            <v>ESPECIFICACIONES</v>
          </cell>
          <cell r="D7" t="str">
            <v>DESCRIPCIÓN</v>
          </cell>
          <cell r="E7" t="str">
            <v>UNIDAD</v>
          </cell>
          <cell r="F7" t="str">
            <v>CANTIDAD</v>
          </cell>
          <cell r="G7" t="str">
            <v>VR.UNITARIO</v>
          </cell>
          <cell r="H7" t="str">
            <v>VALOR TOTAL</v>
          </cell>
        </row>
        <row r="8">
          <cell r="B8" t="str">
            <v>GENERAL</v>
          </cell>
          <cell r="C8" t="str">
            <v>PARTICULAR</v>
          </cell>
        </row>
        <row r="9">
          <cell r="A9">
            <v>1</v>
          </cell>
          <cell r="D9" t="str">
            <v>PRELIMINARES</v>
          </cell>
        </row>
        <row r="10">
          <cell r="A10" t="str">
            <v>1.1</v>
          </cell>
          <cell r="D10" t="str">
            <v>Localización, trazado y replanteo por m2 (Incluye equipo de precisión)</v>
          </cell>
          <cell r="E10" t="str">
            <v>m2</v>
          </cell>
          <cell r="F10">
            <v>2291</v>
          </cell>
          <cell r="G10">
            <v>2050</v>
          </cell>
          <cell r="H10">
            <v>4696550</v>
          </cell>
        </row>
        <row r="11">
          <cell r="A11">
            <v>2</v>
          </cell>
          <cell r="D11" t="str">
            <v>DEMOLICIONES, CORTE Y RETIROS</v>
          </cell>
        </row>
        <row r="12">
          <cell r="A12" t="str">
            <v>2.1</v>
          </cell>
          <cell r="D12" t="str">
            <v>Demolición de pavimento rígido, de cualquier resistencia y espesor. Incluye retiro de entresuelo adherido, de acero de refuerzo, de cordones, el cargue y disposición final. Se debe realizar recuperación de los materiales aprovechables o su transporte hasta el sitio que indique la interventoría.  No incluye transporte.</v>
          </cell>
          <cell r="E12" t="str">
            <v>m3</v>
          </cell>
          <cell r="F12">
            <v>60</v>
          </cell>
          <cell r="G12">
            <v>174623</v>
          </cell>
          <cell r="H12">
            <v>10477380</v>
          </cell>
        </row>
        <row r="13">
          <cell r="A13" t="str">
            <v>2.2</v>
          </cell>
          <cell r="D13" t="str">
            <v>Corte de pavimento hidraulico</v>
          </cell>
          <cell r="E13" t="str">
            <v>ml</v>
          </cell>
          <cell r="F13">
            <v>20</v>
          </cell>
          <cell r="H13">
            <v>0</v>
          </cell>
        </row>
        <row r="14">
          <cell r="A14" t="str">
            <v>2.3</v>
          </cell>
          <cell r="D14" t="str">
            <v>Demolición de muros en mampostería de cualquier espesor, incluye cargue y disposición final. No incluye transporte.</v>
          </cell>
          <cell r="E14" t="str">
            <v>m3</v>
          </cell>
          <cell r="F14">
            <v>3</v>
          </cell>
          <cell r="G14">
            <v>88487</v>
          </cell>
          <cell r="H14">
            <v>265461</v>
          </cell>
        </row>
        <row r="15">
          <cell r="A15" t="str">
            <v>2.4</v>
          </cell>
          <cell r="D15" t="str">
            <v>Demolición de anden en concreto de cualquier resistencia y espesor max=0,10m. Incluye retiro de entresuelo adherido, de acero de refuerzo, el cargue y disposición final. No incluye transporte</v>
          </cell>
          <cell r="E15" t="str">
            <v>m3</v>
          </cell>
          <cell r="F15">
            <v>9</v>
          </cell>
          <cell r="G15">
            <v>58991</v>
          </cell>
          <cell r="H15">
            <v>530919</v>
          </cell>
        </row>
        <row r="16">
          <cell r="A16">
            <v>3</v>
          </cell>
          <cell r="D16" t="str">
            <v>EXCAVACIONES</v>
          </cell>
        </row>
        <row r="17">
          <cell r="A17" t="str">
            <v>3.1</v>
          </cell>
          <cell r="D17" t="str">
            <v>Excavación en material común de la explanación, canales y prestamos. Incluye cargue y disposición final del material sobrante. No incluye transporte.</v>
          </cell>
          <cell r="E17" t="str">
            <v>m3</v>
          </cell>
          <cell r="F17">
            <v>583</v>
          </cell>
          <cell r="G17">
            <v>28587</v>
          </cell>
          <cell r="H17">
            <v>16666221</v>
          </cell>
        </row>
        <row r="18">
          <cell r="A18" t="str">
            <v>3.2</v>
          </cell>
          <cell r="D18" t="str">
            <v>Excavación mecanica en brecha en  material heterogeneo de 0 -2m  bajo cualquier grado de humedad. Incluye cargue y disposición final de los materiales. No incluye transporte</v>
          </cell>
          <cell r="E18" t="str">
            <v>m3</v>
          </cell>
          <cell r="F18">
            <v>462</v>
          </cell>
          <cell r="G18">
            <v>31352</v>
          </cell>
          <cell r="H18">
            <v>14484624</v>
          </cell>
        </row>
        <row r="19">
          <cell r="A19" t="str">
            <v>3.3</v>
          </cell>
          <cell r="D19" t="str">
            <v xml:space="preserve">Excavación mecanica en brecha en material heterogeneo de 2 -4m  bajo cualquier grado de humedad. Incluye  cargue y disposición final de los materiales. No incluye transporte </v>
          </cell>
          <cell r="E19" t="str">
            <v>m3</v>
          </cell>
          <cell r="F19">
            <v>9</v>
          </cell>
          <cell r="G19">
            <v>37565</v>
          </cell>
          <cell r="H19">
            <v>338085</v>
          </cell>
        </row>
        <row r="20">
          <cell r="A20" t="str">
            <v>3.4</v>
          </cell>
          <cell r="D20" t="str">
            <v xml:space="preserve">Entibados temporal en tablón de madera para excavaciones bajo cualquier altura y grado de humedad. Incluye suminstro, transporte y colocación. </v>
          </cell>
          <cell r="E20" t="str">
            <v>m2</v>
          </cell>
          <cell r="F20">
            <v>385</v>
          </cell>
          <cell r="G20">
            <v>53481</v>
          </cell>
          <cell r="H20">
            <v>20590185</v>
          </cell>
        </row>
        <row r="21">
          <cell r="A21">
            <v>4</v>
          </cell>
          <cell r="D21" t="str">
            <v>LLENOS Y SUB BASE GRANULAR</v>
          </cell>
        </row>
        <row r="22">
          <cell r="A22" t="str">
            <v>4.1</v>
          </cell>
          <cell r="D22" t="str">
            <v>Suministro, transporte y colocación de Entresuelo en piedra rodada de rio Tamaño maximo 1" para cimentación de tubería.</v>
          </cell>
          <cell r="E22" t="str">
            <v>m3</v>
          </cell>
          <cell r="F22">
            <v>76</v>
          </cell>
          <cell r="G22">
            <v>89321</v>
          </cell>
          <cell r="H22">
            <v>6788396</v>
          </cell>
        </row>
        <row r="23">
          <cell r="A23" t="str">
            <v>4.2</v>
          </cell>
          <cell r="D23" t="str">
            <v>Suministro y colocación de llenos con material de préstamo, compactados mecánicamente hasta obtener una densidad del 90% de la máxima obtenida en el ensayo del próctor modificado. No incluye transporte</v>
          </cell>
          <cell r="E23" t="str">
            <v>m3</v>
          </cell>
          <cell r="F23">
            <v>113</v>
          </cell>
          <cell r="G23">
            <v>45442</v>
          </cell>
          <cell r="H23">
            <v>5134946</v>
          </cell>
        </row>
        <row r="24">
          <cell r="A24" t="str">
            <v>4.3</v>
          </cell>
          <cell r="D24" t="str">
            <v>Suministro, colocación, conformación y compactación de Sub-base granular . Compactación hasta obtener una densidad mínima del 95%, de la obtenida en el ensayo del Proctor modificado. No incluye transporte</v>
          </cell>
          <cell r="E24" t="str">
            <v>m3</v>
          </cell>
          <cell r="F24">
            <v>583</v>
          </cell>
          <cell r="G24">
            <v>84208</v>
          </cell>
          <cell r="H24">
            <v>49093264</v>
          </cell>
        </row>
        <row r="25">
          <cell r="A25" t="str">
            <v>4.4</v>
          </cell>
          <cell r="D25" t="str">
            <v>Suministro, transporte y colocación de cama de arenilla para apoyo de andenes y material de lleno en tubería alcantarillado</v>
          </cell>
          <cell r="E25" t="str">
            <v>m3</v>
          </cell>
          <cell r="F25">
            <v>105</v>
          </cell>
          <cell r="G25">
            <v>77925</v>
          </cell>
          <cell r="H25">
            <v>8182125</v>
          </cell>
        </row>
        <row r="26">
          <cell r="A26">
            <v>5</v>
          </cell>
          <cell r="D26" t="str">
            <v>CONFORMACIÓN DEL TERRENO</v>
          </cell>
        </row>
        <row r="27">
          <cell r="A27" t="str">
            <v>5.1</v>
          </cell>
          <cell r="D27" t="str">
            <v>Mejoramiento de la subrasante involucrando suelo existente.  Incluye la disgregación del material de la subrasante existente, el retiro o adición de materiales, la compactación y perfilado final, de acuerdo a las dimensiones, alineamientos y pendientes de la vía.</v>
          </cell>
          <cell r="E27" t="str">
            <v>m2</v>
          </cell>
          <cell r="F27">
            <v>2436</v>
          </cell>
          <cell r="G27">
            <v>1384</v>
          </cell>
          <cell r="H27">
            <v>3371424</v>
          </cell>
        </row>
        <row r="28">
          <cell r="A28">
            <v>6</v>
          </cell>
          <cell r="D28" t="str">
            <v>ANDENES Y CONCRETO PARA ESTRUCTURAS</v>
          </cell>
        </row>
        <row r="29">
          <cell r="A29" t="str">
            <v>6.1</v>
          </cell>
          <cell r="D29" t="str">
            <v xml:space="preserve">Concreto Clase D (21 MPa). Andenes E=0.10 m y llaves de confinamiento de 0,20*0,15. No incluye estructura de soporte. La actividad consiste en el suministro, transporte y colocación de concreto pendientado y llaneado, vaciado alternado (en cuadros no superiores de 1.5 x 1.5 m), para la construcción nuevos andenes y resane de los existentes, comprende el curado y todo lo necesario para su correcta construcción y funcionamiento. El acero de refuerzo se pagará en su respectivo item </v>
          </cell>
          <cell r="E29" t="str">
            <v>m3</v>
          </cell>
          <cell r="F29">
            <v>97</v>
          </cell>
          <cell r="G29">
            <v>732905</v>
          </cell>
          <cell r="H29">
            <v>71091785</v>
          </cell>
        </row>
        <row r="30">
          <cell r="A30" t="str">
            <v>6.2</v>
          </cell>
          <cell r="D30" t="str">
            <v>Suministro, transporte e instalación de loseta de cemento guia tactil, formato 40 x 40.</v>
          </cell>
          <cell r="E30" t="str">
            <v>m2</v>
          </cell>
          <cell r="F30">
            <v>580</v>
          </cell>
          <cell r="G30">
            <v>70254</v>
          </cell>
          <cell r="H30">
            <v>40747320</v>
          </cell>
        </row>
        <row r="31">
          <cell r="A31">
            <v>7</v>
          </cell>
          <cell r="D31" t="str">
            <v>PAVIMENTO</v>
          </cell>
        </row>
        <row r="32">
          <cell r="A32" t="str">
            <v>7.1</v>
          </cell>
          <cell r="D32" t="str">
            <v>Pavimento en concreto hidráulico para pavimento, de 4000 psi (Compresión de 28 Mpa), MR 4.0Mpa; Incluye Tratamiento de juntas y dilataciones (corte y sello de dilataciones)</v>
          </cell>
          <cell r="E32" t="str">
            <v>m3</v>
          </cell>
          <cell r="F32">
            <v>302</v>
          </cell>
          <cell r="G32">
            <v>976018</v>
          </cell>
          <cell r="H32">
            <v>294757436</v>
          </cell>
        </row>
        <row r="33">
          <cell r="A33" t="str">
            <v>7.2</v>
          </cell>
          <cell r="D33" t="str">
            <v>Resaltos en concreto hidraulico de 3000psi (compresión de 21 Mpa)  de 7m de longitud, 2m de ancho  y 0.10 m de altura en el centro. Incluye pintura, llaves de cimentación según diseño, Tratamiento de juntas y dilataciones.</v>
          </cell>
          <cell r="E33" t="str">
            <v>ml</v>
          </cell>
          <cell r="F33">
            <v>28</v>
          </cell>
          <cell r="G33">
            <v>138984</v>
          </cell>
          <cell r="H33">
            <v>3891552</v>
          </cell>
        </row>
        <row r="34">
          <cell r="A34" t="str">
            <v>7.3</v>
          </cell>
          <cell r="D34" t="str">
            <v>Bordillo prefabricado  0,45 x 0,15 x 0,8 m, incluye concreto de nivelación y mortero de pega</v>
          </cell>
          <cell r="E34" t="str">
            <v>ml</v>
          </cell>
          <cell r="F34">
            <v>580</v>
          </cell>
          <cell r="G34">
            <v>87042</v>
          </cell>
          <cell r="H34">
            <v>50484360</v>
          </cell>
        </row>
        <row r="35">
          <cell r="A35">
            <v>8</v>
          </cell>
          <cell r="D35" t="str">
            <v>ACERO</v>
          </cell>
        </row>
        <row r="36">
          <cell r="A36" t="str">
            <v>8.1</v>
          </cell>
          <cell r="D36" t="str">
            <v>Suministro, transporte e instalación de acero Fy=420Mpa (60.000PSI) grado 60</v>
          </cell>
          <cell r="E36" t="str">
            <v>Kg</v>
          </cell>
          <cell r="F36">
            <v>4129</v>
          </cell>
          <cell r="G36">
            <v>9152</v>
          </cell>
          <cell r="H36">
            <v>37788608</v>
          </cell>
        </row>
        <row r="37">
          <cell r="A37" t="str">
            <v>8.2</v>
          </cell>
          <cell r="D37" t="str">
            <v>Suministro, transporte y colocación de Malla Electrosoldada 15x15cm Diametro 4.0mm (D-084)</v>
          </cell>
          <cell r="E37" t="str">
            <v>m2</v>
          </cell>
          <cell r="F37">
            <v>896</v>
          </cell>
          <cell r="G37">
            <v>9585</v>
          </cell>
          <cell r="H37">
            <v>8588160</v>
          </cell>
        </row>
        <row r="38">
          <cell r="A38">
            <v>9</v>
          </cell>
          <cell r="D38" t="str">
            <v>SEÑALIZACIÓN</v>
          </cell>
        </row>
        <row r="39">
          <cell r="A39" t="str">
            <v>9.1</v>
          </cell>
          <cell r="D39" t="str">
            <v>Suministro, transporte e instalación de señal vertical de 75 cm x 75 cm más lámina inferior, en lámina galvanizada calibre 16, reflectivo tipo IX amarillo limón, estructura metálica tipo pedestal compuesto por un paral en ángulo de 2"x2"x1/4" y brazos en ángulo 2"x2"x1/8".</v>
          </cell>
          <cell r="E39" t="str">
            <v>Unidad</v>
          </cell>
          <cell r="F39">
            <v>19</v>
          </cell>
          <cell r="G39">
            <v>298859</v>
          </cell>
          <cell r="H39">
            <v>5678321</v>
          </cell>
        </row>
        <row r="40">
          <cell r="A40" t="str">
            <v>9.2</v>
          </cell>
          <cell r="D40" t="str">
            <v>Suministro, transporte e instalación de pintura acrílica sobre vía en pavimento, incluye todo lo necesario para su correcta instalación</v>
          </cell>
          <cell r="E40" t="str">
            <v>m2</v>
          </cell>
          <cell r="F40">
            <v>77</v>
          </cell>
          <cell r="G40">
            <v>50550</v>
          </cell>
          <cell r="H40">
            <v>3892350</v>
          </cell>
        </row>
        <row r="41">
          <cell r="A41">
            <v>10</v>
          </cell>
          <cell r="D41" t="str">
            <v>POZOS  / CAJAS / SUMIDEROS Y REJILLAS</v>
          </cell>
        </row>
        <row r="42">
          <cell r="A42" t="str">
            <v>10.1</v>
          </cell>
          <cell r="D42" t="str">
            <v>Caja tipo sumidero en concreto de 2500 psi, 80x80 cm, incluye Rejilla tipo basculante compuesta por un marco, ala, bisagra o punto de pivote, No incluye refuerzo.</v>
          </cell>
          <cell r="E42" t="str">
            <v>Unidad</v>
          </cell>
          <cell r="G42">
            <v>665546</v>
          </cell>
          <cell r="H42">
            <v>0</v>
          </cell>
        </row>
        <row r="43">
          <cell r="A43" t="str">
            <v>10.2</v>
          </cell>
          <cell r="D43" t="str">
            <v>Base y cañuela para cámara de inspección d = 1,20 m en concreto de 280Kg/cm2 no reforzado</v>
          </cell>
          <cell r="E43" t="str">
            <v>Unidad</v>
          </cell>
          <cell r="G43">
            <v>692789</v>
          </cell>
          <cell r="H43">
            <v>0</v>
          </cell>
        </row>
        <row r="44">
          <cell r="A44" t="str">
            <v>10.3</v>
          </cell>
          <cell r="D44" t="str">
            <v>Cuerpo para cámara de inspección d = 1,20 m, en concreto no reforzado de 280Kg/cm2, incluye suministro e instalación de peldaños en ganchos de acero ø=5/8".</v>
          </cell>
          <cell r="E44" t="str">
            <v>ml</v>
          </cell>
          <cell r="G44">
            <v>1078799</v>
          </cell>
          <cell r="H44">
            <v>0</v>
          </cell>
        </row>
        <row r="45">
          <cell r="A45" t="str">
            <v>10.4</v>
          </cell>
          <cell r="D45" t="str">
            <v>Cono para cámara de inspección d = 1,20 m, en concreto reforzado de 280Kg/cm2, incluye suministro e instalación de peldaños en ganchos de acero ø=5/8". El acero de refuerzo se pagara en su respectivo item</v>
          </cell>
          <cell r="E45" t="str">
            <v>Unidad</v>
          </cell>
          <cell r="G45">
            <v>465616</v>
          </cell>
          <cell r="H45">
            <v>0</v>
          </cell>
        </row>
        <row r="46">
          <cell r="A46" t="str">
            <v>10.5</v>
          </cell>
          <cell r="D46" t="str">
            <v>Tapa en concreto reforzado de 280Kg/cm2 para cámara de inspección d = 0,60 m, incluye aro base y aro tapa. El acero de refuerzo se pagara en su respectivo item</v>
          </cell>
          <cell r="E46" t="str">
            <v>Unidad</v>
          </cell>
          <cell r="G46">
            <v>577648</v>
          </cell>
          <cell r="H46">
            <v>0</v>
          </cell>
        </row>
        <row r="47">
          <cell r="A47">
            <v>11</v>
          </cell>
          <cell r="D47" t="str">
            <v>TUBERÍA</v>
          </cell>
        </row>
        <row r="48">
          <cell r="A48" t="str">
            <v>11.1</v>
          </cell>
          <cell r="D48" t="str">
            <v>Suministro, transporte y colocación de tubería novafort de Ø 20" alcantarillado lluvias. Incluye accesorios de empalme, Topografía  y todo lo necesario para su correcta instalación.  la excavación y los llenos se pagaran en su ítem respectivo.</v>
          </cell>
          <cell r="G48">
            <v>403331</v>
          </cell>
          <cell r="H48">
            <v>0</v>
          </cell>
        </row>
        <row r="49">
          <cell r="A49" t="str">
            <v>11.2</v>
          </cell>
          <cell r="D49" t="str">
            <v>Suministro, transporte y colocación de tubería novafort de Ø 12" para salida de sumideros. Incluye accesorios de empalme, Topografía y todo lo necesario para su correcta instalación.  La excavación y los llenos se pagaran en su ítem respectivo.</v>
          </cell>
          <cell r="E49" t="str">
            <v>ml</v>
          </cell>
          <cell r="F49">
            <v>734</v>
          </cell>
          <cell r="G49">
            <v>113495</v>
          </cell>
          <cell r="H49">
            <v>83305330</v>
          </cell>
        </row>
        <row r="50">
          <cell r="A50" t="str">
            <v>11.3</v>
          </cell>
          <cell r="D50" t="str">
            <v>Suministro, transporte y colocación de tubería PVC D=4" RDE 21  para reposición de red acueducto. Incluye accesorios de empalme, Topografía y todo lo necesario para su correcta instalación.  La excavación y los llenos se pagaran en su ítem respectivo.</v>
          </cell>
          <cell r="G50">
            <v>62333</v>
          </cell>
          <cell r="H50">
            <v>0</v>
          </cell>
        </row>
        <row r="51">
          <cell r="A51" t="str">
            <v>11.4</v>
          </cell>
          <cell r="D51" t="str">
            <v>Suministro, transporte y colocación de tubería PVC D=2" RDE 21  para reposición de red acueducto. Incluye accesorios de empalme, Topografía y todo lo necesario para su correcta instalación.  La excavación y los llenos se pagaran en su ítem respectivo.</v>
          </cell>
          <cell r="G51">
            <v>29813</v>
          </cell>
          <cell r="H51">
            <v>0</v>
          </cell>
        </row>
        <row r="52">
          <cell r="A52" t="str">
            <v>11.5</v>
          </cell>
          <cell r="D52" t="str">
            <v>Suministro, transporte y colocación de acometida de acueducto de 4" a 1/2" . Incluye collarin de 4" a 1/2", registro de incorporación y tuberia PVC 1/2" desde la tuberia de distribucción hasta el registro. y los demas accesorios de empalme</v>
          </cell>
          <cell r="G52">
            <v>72642</v>
          </cell>
          <cell r="H52">
            <v>0</v>
          </cell>
        </row>
        <row r="53">
          <cell r="A53" t="str">
            <v>11.6</v>
          </cell>
          <cell r="D53" t="str">
            <v>Suministro, transporte y colocación de acometida de acueducto de 2" a 1/2" . Incluye collarin de 4" a 1/2", registro de incorporación y tuberia PVC 1/2" desde la tuberia de distribucción hasta el registro. y los demas accesorios de empalme</v>
          </cell>
          <cell r="G53">
            <v>61642</v>
          </cell>
          <cell r="H53">
            <v>0</v>
          </cell>
        </row>
        <row r="54">
          <cell r="A54" t="str">
            <v>11.7</v>
          </cell>
          <cell r="D54" t="str">
            <v>Suministro, transporte y colocación de tubería novafort de Ø 24" alcantarillado lluvias. Incluye accesorios de empalme, Topografía  y todo lo necesario para su correcta instalación.  la excavación y los llenos se pagaran en su ítem respectivo.</v>
          </cell>
          <cell r="G54">
            <v>495129</v>
          </cell>
          <cell r="H54">
            <v>0</v>
          </cell>
        </row>
        <row r="55">
          <cell r="A55">
            <v>12</v>
          </cell>
          <cell r="D55" t="str">
            <v>TRANSPORTE DE MATERIAL</v>
          </cell>
          <cell r="G55" t="str">
            <v/>
          </cell>
        </row>
        <row r="56">
          <cell r="A56" t="str">
            <v>12.1</v>
          </cell>
          <cell r="D56" t="str">
            <v xml:space="preserve">Transporte de material suelto (prestamo, sub-base) para distancias entre 0 km y 17km medidos a partir de 100 m. </v>
          </cell>
          <cell r="E56" t="str">
            <v>m3-km</v>
          </cell>
          <cell r="F56">
            <v>17643.600000000002</v>
          </cell>
          <cell r="G56">
            <v>2333</v>
          </cell>
          <cell r="H56">
            <v>41162518.800000004</v>
          </cell>
        </row>
        <row r="57">
          <cell r="A57" t="str">
            <v>12.2</v>
          </cell>
          <cell r="D57" t="str">
            <v>Transporte de sobrantes provenientes de la excavación de la explanación, canales, préstamos para distancias entre 1km y 15km medidos a partir de 100 m. Material suelto</v>
          </cell>
          <cell r="E57" t="str">
            <v>m3-km</v>
          </cell>
          <cell r="F57">
            <v>12648</v>
          </cell>
          <cell r="G57">
            <v>2333</v>
          </cell>
          <cell r="H57">
            <v>29507784</v>
          </cell>
        </row>
        <row r="58">
          <cell r="A58" t="str">
            <v>12.3</v>
          </cell>
          <cell r="D58" t="str">
            <v>Transporte de sobrantes de demoliciones. Medido suelto para distancias entre 1km y 15km medidos a partir de 100 m</v>
          </cell>
          <cell r="E58" t="str">
            <v>m3-km</v>
          </cell>
          <cell r="F58">
            <v>1080</v>
          </cell>
          <cell r="G58">
            <v>2333</v>
          </cell>
          <cell r="H58">
            <v>2519640</v>
          </cell>
        </row>
        <row r="59">
          <cell r="A59">
            <v>13</v>
          </cell>
          <cell r="D59" t="str">
            <v>MURO DE CONTENCION</v>
          </cell>
          <cell r="G59" t="str">
            <v/>
          </cell>
        </row>
        <row r="60">
          <cell r="A60">
            <v>13.1</v>
          </cell>
          <cell r="D60" t="str">
            <v>Construccion de muro de concreto reforado de 3000 psi (Incluye acero)</v>
          </cell>
          <cell r="E60" t="str">
            <v>m3</v>
          </cell>
          <cell r="F60">
            <v>15</v>
          </cell>
          <cell r="G60">
            <v>2032723</v>
          </cell>
          <cell r="H60">
            <v>30490845</v>
          </cell>
        </row>
        <row r="61">
          <cell r="A61">
            <v>14</v>
          </cell>
          <cell r="D61" t="str">
            <v>OBRAS HIDRAULICAS</v>
          </cell>
          <cell r="G61" t="str">
            <v/>
          </cell>
        </row>
        <row r="62">
          <cell r="A62">
            <v>14.1</v>
          </cell>
          <cell r="D62" t="str">
            <v>Obra de descarga. Incluye disipador de energia. (Seccion ancho 1.5m, alto 1m)</v>
          </cell>
          <cell r="E62" t="str">
            <v>ml</v>
          </cell>
          <cell r="F62">
            <v>20</v>
          </cell>
          <cell r="G62">
            <v>249323</v>
          </cell>
          <cell r="H62">
            <v>4986460</v>
          </cell>
        </row>
        <row r="63">
          <cell r="A63">
            <v>14.2</v>
          </cell>
          <cell r="D63" t="str">
            <v>Sumidero transversal en concreto (seccion 0.60m x 0.6m x 0.10m)</v>
          </cell>
          <cell r="E63" t="str">
            <v>ml</v>
          </cell>
          <cell r="F63">
            <v>16</v>
          </cell>
          <cell r="G63">
            <v>530604</v>
          </cell>
          <cell r="H63">
            <v>8489664</v>
          </cell>
        </row>
        <row r="65">
          <cell r="A65" t="str">
            <v>SUBTOTAL COSTOS DIRECTOS</v>
          </cell>
          <cell r="H65">
            <v>849512049.79999995</v>
          </cell>
        </row>
        <row r="66">
          <cell r="A66" t="str">
            <v>%ADMINISTRACIÓN</v>
          </cell>
          <cell r="G66">
            <v>0.33389999999999997</v>
          </cell>
          <cell r="H66">
            <v>283652073.42821997</v>
          </cell>
        </row>
        <row r="67">
          <cell r="A67" t="str">
            <v>%IMPREVISTOS</v>
          </cell>
          <cell r="G67">
            <v>0</v>
          </cell>
          <cell r="H67">
            <v>0</v>
          </cell>
        </row>
        <row r="68">
          <cell r="A68" t="str">
            <v>%UTILIDADES</v>
          </cell>
          <cell r="G68">
            <v>0.05</v>
          </cell>
          <cell r="H68">
            <v>42475602.490000002</v>
          </cell>
        </row>
        <row r="69">
          <cell r="A69" t="str">
            <v>PLAN DE GESTIÓN INTEGRAL DE OBRA (PGIO)</v>
          </cell>
          <cell r="H69">
            <v>14942500</v>
          </cell>
        </row>
        <row r="70">
          <cell r="A70" t="str">
            <v>PLAN DE MANEJO DE TRÁNSITO (PMT)</v>
          </cell>
          <cell r="H70">
            <v>20561656</v>
          </cell>
        </row>
        <row r="71">
          <cell r="A71" t="str">
            <v>PLAN DE APLICACIÓN DEL PROTOCOLO DE SEGURIDAD EN LA OBRA (PAPSO)</v>
          </cell>
        </row>
        <row r="72">
          <cell r="A72" t="str">
            <v>VALOR TOTAL DE LA OBRA</v>
          </cell>
          <cell r="H72">
            <v>1211143881.71822</v>
          </cell>
        </row>
        <row r="73">
          <cell r="A73" t="str">
            <v>INTERVENTORÍA</v>
          </cell>
          <cell r="G73">
            <v>0.18880899846910396</v>
          </cell>
          <cell r="H73">
            <v>228674863.30920002</v>
          </cell>
        </row>
        <row r="74">
          <cell r="A74" t="str">
            <v>VALOR TOTAL DEL PROYECTO</v>
          </cell>
          <cell r="H74">
            <v>1439818745.02742</v>
          </cell>
        </row>
      </sheetData>
      <sheetData sheetId="2">
        <row r="1">
          <cell r="A1" t="str">
            <v>DEPARTAMENTO DE ANTIOQUIA</v>
          </cell>
          <cell r="F1" t="str">
            <v/>
          </cell>
        </row>
        <row r="2">
          <cell r="A2" t="str">
            <v>MUNICIPIO DE DABEIBA</v>
          </cell>
        </row>
        <row r="3">
          <cell r="A3" t="str">
            <v>MEJORAMIENTO DE LA RED VIAL URBANA EN EL BARRIO SAN ANTONIO DEL MUNICIPIO DE DABEIBA</v>
          </cell>
        </row>
        <row r="5">
          <cell r="A5" t="str">
            <v>ANÁLISIS DE PRECIOS UNITARIOS</v>
          </cell>
        </row>
        <row r="7">
          <cell r="A7" t="str">
            <v>ITEM</v>
          </cell>
          <cell r="B7" t="str">
            <v>DESCRIPCIÓN</v>
          </cell>
          <cell r="E7" t="str">
            <v>UNIDAD</v>
          </cell>
          <cell r="F7" t="str">
            <v>CANTIDAD</v>
          </cell>
          <cell r="G7" t="str">
            <v>COSTO DIRECTO</v>
          </cell>
        </row>
        <row r="8">
          <cell r="A8" t="str">
            <v>1.1</v>
          </cell>
          <cell r="B8" t="str">
            <v>Localización, trazado y replanteo por m2 (Incluye equipo de precisión)</v>
          </cell>
          <cell r="E8" t="str">
            <v>m2</v>
          </cell>
          <cell r="F8">
            <v>2291</v>
          </cell>
          <cell r="G8">
            <v>2050</v>
          </cell>
        </row>
        <row r="10">
          <cell r="A10" t="str">
            <v>1. COSTOS DIRECTOS</v>
          </cell>
        </row>
        <row r="12">
          <cell r="A12" t="str">
            <v>I. EQUIPO</v>
          </cell>
        </row>
        <row r="13">
          <cell r="A13" t="str">
            <v>CÓDIGO</v>
          </cell>
          <cell r="B13" t="str">
            <v>DESCRIPCIÓN</v>
          </cell>
          <cell r="D13" t="str">
            <v>UNIDAD</v>
          </cell>
          <cell r="E13" t="str">
            <v>TARIFA</v>
          </cell>
          <cell r="F13" t="str">
            <v>RENDIMIENTO</v>
          </cell>
          <cell r="G13" t="str">
            <v>VR. UNITARIO</v>
          </cell>
        </row>
        <row r="14">
          <cell r="A14" t="str">
            <v>EQ002</v>
          </cell>
          <cell r="B14" t="str">
            <v>ESTACIÓN TOTAL</v>
          </cell>
          <cell r="D14" t="str">
            <v>DÍA</v>
          </cell>
          <cell r="E14">
            <v>85000</v>
          </cell>
          <cell r="F14">
            <v>400</v>
          </cell>
          <cell r="G14">
            <v>212.5</v>
          </cell>
        </row>
        <row r="15">
          <cell r="A15" t="str">
            <v>EQ003</v>
          </cell>
          <cell r="B15" t="str">
            <v>NIVEL DE PRECISIÓN</v>
          </cell>
          <cell r="D15" t="str">
            <v>DÍA</v>
          </cell>
          <cell r="E15">
            <v>65000</v>
          </cell>
          <cell r="F15">
            <v>400</v>
          </cell>
          <cell r="G15">
            <v>162.5</v>
          </cell>
        </row>
        <row r="16">
          <cell r="A16" t="str">
            <v/>
          </cell>
          <cell r="D16" t="str">
            <v/>
          </cell>
          <cell r="E16" t="str">
            <v/>
          </cell>
          <cell r="G16" t="str">
            <v/>
          </cell>
        </row>
        <row r="17">
          <cell r="A17" t="str">
            <v/>
          </cell>
          <cell r="D17" t="str">
            <v/>
          </cell>
          <cell r="E17" t="str">
            <v/>
          </cell>
          <cell r="G17" t="str">
            <v/>
          </cell>
        </row>
        <row r="18">
          <cell r="A18" t="str">
            <v>EQ001</v>
          </cell>
          <cell r="B18" t="str">
            <v>HERRAMIENTA MENOR (5% DE LA MANO DE OBRA)</v>
          </cell>
          <cell r="D18" t="str">
            <v>%</v>
          </cell>
          <cell r="E18">
            <v>0.05</v>
          </cell>
          <cell r="F18">
            <v>1534.9025000000001</v>
          </cell>
          <cell r="G18">
            <v>76.745125000000016</v>
          </cell>
        </row>
        <row r="19">
          <cell r="F19" t="str">
            <v>SUBTOTAL</v>
          </cell>
          <cell r="G19">
            <v>451.74512500000003</v>
          </cell>
        </row>
        <row r="21">
          <cell r="A21" t="str">
            <v>II. MATERIALES</v>
          </cell>
        </row>
        <row r="22">
          <cell r="A22" t="str">
            <v>CÓDIGO</v>
          </cell>
          <cell r="B22" t="str">
            <v>DESCRIPCIÓN</v>
          </cell>
          <cell r="C22" t="str">
            <v>UNIDAD</v>
          </cell>
          <cell r="D22" t="str">
            <v>CANTIDAD</v>
          </cell>
          <cell r="E22" t="str">
            <v>DESP.</v>
          </cell>
          <cell r="F22" t="str">
            <v>PRECIO UNIT.</v>
          </cell>
          <cell r="G22" t="str">
            <v>VR. UNITARIO</v>
          </cell>
        </row>
        <row r="23">
          <cell r="A23" t="str">
            <v>MA032</v>
          </cell>
          <cell r="B23" t="str">
            <v>CLAVOS COMUNES 1½ A 3½"</v>
          </cell>
          <cell r="C23" t="str">
            <v>LB</v>
          </cell>
          <cell r="D23">
            <v>5.0000000000000001E-3</v>
          </cell>
          <cell r="E23">
            <v>0.05</v>
          </cell>
          <cell r="F23">
            <v>2500</v>
          </cell>
          <cell r="G23">
            <v>13.125</v>
          </cell>
        </row>
        <row r="24">
          <cell r="A24" t="str">
            <v>MA043</v>
          </cell>
          <cell r="B24" t="str">
            <v>Estacas de topografía</v>
          </cell>
          <cell r="C24" t="str">
            <v>UN</v>
          </cell>
          <cell r="D24">
            <v>0.02</v>
          </cell>
          <cell r="F24">
            <v>2500</v>
          </cell>
          <cell r="G24">
            <v>50</v>
          </cell>
        </row>
        <row r="25">
          <cell r="A25" t="str">
            <v/>
          </cell>
          <cell r="C25" t="str">
            <v/>
          </cell>
          <cell r="F25" t="str">
            <v/>
          </cell>
          <cell r="G25" t="str">
            <v/>
          </cell>
        </row>
        <row r="26">
          <cell r="A26" t="str">
            <v/>
          </cell>
          <cell r="C26" t="str">
            <v/>
          </cell>
          <cell r="F26" t="str">
            <v/>
          </cell>
          <cell r="G26" t="str">
            <v/>
          </cell>
        </row>
        <row r="27">
          <cell r="A27" t="str">
            <v/>
          </cell>
          <cell r="C27" t="str">
            <v/>
          </cell>
          <cell r="F27" t="str">
            <v/>
          </cell>
          <cell r="G27" t="str">
            <v/>
          </cell>
        </row>
        <row r="28">
          <cell r="A28" t="str">
            <v/>
          </cell>
          <cell r="C28" t="str">
            <v/>
          </cell>
          <cell r="F28" t="str">
            <v/>
          </cell>
          <cell r="G28" t="str">
            <v/>
          </cell>
        </row>
        <row r="29">
          <cell r="F29" t="str">
            <v>SUBTOTAL</v>
          </cell>
          <cell r="G29">
            <v>63.125</v>
          </cell>
        </row>
        <row r="31">
          <cell r="A31" t="str">
            <v>III. TRANSPORTES</v>
          </cell>
        </row>
        <row r="32">
          <cell r="A32" t="str">
            <v>CÓDIGO</v>
          </cell>
          <cell r="B32" t="str">
            <v>DESCRIPCIÓN</v>
          </cell>
          <cell r="C32" t="str">
            <v>TIPO</v>
          </cell>
          <cell r="D32" t="str">
            <v>VOLUMEN/PESO</v>
          </cell>
          <cell r="E32" t="str">
            <v>DISTANCIA</v>
          </cell>
          <cell r="F32" t="str">
            <v>TARIFA</v>
          </cell>
          <cell r="G32" t="str">
            <v>VR. UNITARIO</v>
          </cell>
        </row>
        <row r="33">
          <cell r="A33" t="str">
            <v/>
          </cell>
          <cell r="E33" t="str">
            <v/>
          </cell>
          <cell r="F33" t="str">
            <v/>
          </cell>
          <cell r="G33" t="str">
            <v/>
          </cell>
        </row>
        <row r="34">
          <cell r="A34" t="str">
            <v/>
          </cell>
          <cell r="E34" t="str">
            <v/>
          </cell>
          <cell r="F34" t="str">
            <v/>
          </cell>
          <cell r="G34" t="str">
            <v/>
          </cell>
        </row>
        <row r="35">
          <cell r="A35" t="str">
            <v/>
          </cell>
          <cell r="E35" t="str">
            <v/>
          </cell>
          <cell r="F35" t="str">
            <v/>
          </cell>
          <cell r="G35" t="str">
            <v/>
          </cell>
        </row>
        <row r="36">
          <cell r="F36" t="str">
            <v>SUBTOTAL</v>
          </cell>
          <cell r="G36" t="str">
            <v/>
          </cell>
        </row>
        <row r="38">
          <cell r="A38" t="str">
            <v>IV. MANO DE OBRA</v>
          </cell>
        </row>
        <row r="39">
          <cell r="A39" t="str">
            <v>CÓDIGO</v>
          </cell>
          <cell r="B39" t="str">
            <v>CARGOS PERSONAL</v>
          </cell>
          <cell r="D39" t="str">
            <v>CANTIDAD</v>
          </cell>
          <cell r="E39" t="str">
            <v>JORNAL TOTAL</v>
          </cell>
          <cell r="F39" t="str">
            <v>RENDIMIENTO</v>
          </cell>
          <cell r="G39" t="str">
            <v>VR. UNITARIO</v>
          </cell>
        </row>
        <row r="40">
          <cell r="A40" t="str">
            <v>MO016</v>
          </cell>
          <cell r="B40" t="str">
            <v>TOPÓGRAFO</v>
          </cell>
          <cell r="D40">
            <v>1</v>
          </cell>
          <cell r="E40">
            <v>337747</v>
          </cell>
          <cell r="F40">
            <v>400</v>
          </cell>
          <cell r="G40">
            <v>844.36749999999995</v>
          </cell>
        </row>
        <row r="41">
          <cell r="A41" t="str">
            <v>MO017</v>
          </cell>
          <cell r="B41" t="str">
            <v>CADENERO 1</v>
          </cell>
          <cell r="D41">
            <v>1</v>
          </cell>
          <cell r="E41">
            <v>168054</v>
          </cell>
          <cell r="F41">
            <v>400</v>
          </cell>
          <cell r="G41">
            <v>420.13499999999999</v>
          </cell>
        </row>
        <row r="42">
          <cell r="A42" t="str">
            <v>MO018</v>
          </cell>
          <cell r="B42" t="str">
            <v>CADENERO 2</v>
          </cell>
          <cell r="D42">
            <v>1</v>
          </cell>
          <cell r="E42">
            <v>108160</v>
          </cell>
          <cell r="F42">
            <v>400</v>
          </cell>
          <cell r="G42">
            <v>270.39999999999998</v>
          </cell>
        </row>
        <row r="43">
          <cell r="A43" t="str">
            <v/>
          </cell>
          <cell r="E43" t="str">
            <v/>
          </cell>
          <cell r="F43" t="str">
            <v/>
          </cell>
          <cell r="G43" t="str">
            <v/>
          </cell>
        </row>
        <row r="44">
          <cell r="F44" t="str">
            <v>SUBTOTAL</v>
          </cell>
          <cell r="G44">
            <v>1534.9025000000001</v>
          </cell>
        </row>
        <row r="46">
          <cell r="A46" t="str">
            <v>V. SERVICIOS</v>
          </cell>
        </row>
        <row r="47">
          <cell r="A47" t="str">
            <v>CÓDIGO</v>
          </cell>
          <cell r="B47" t="str">
            <v>DESCRIPCIÓN</v>
          </cell>
          <cell r="D47" t="str">
            <v>UNIDAD</v>
          </cell>
          <cell r="E47" t="str">
            <v>CANTIDAD</v>
          </cell>
          <cell r="F47" t="str">
            <v>PRECIO UNIT.</v>
          </cell>
          <cell r="G47" t="str">
            <v>VR. UNITARIO</v>
          </cell>
        </row>
        <row r="48">
          <cell r="A48" t="str">
            <v/>
          </cell>
          <cell r="D48" t="str">
            <v/>
          </cell>
          <cell r="F48" t="str">
            <v/>
          </cell>
          <cell r="G48" t="str">
            <v/>
          </cell>
        </row>
        <row r="49">
          <cell r="A49" t="str">
            <v/>
          </cell>
          <cell r="D49" t="str">
            <v/>
          </cell>
          <cell r="F49" t="str">
            <v/>
          </cell>
          <cell r="G49" t="str">
            <v/>
          </cell>
        </row>
        <row r="50">
          <cell r="A50" t="str">
            <v/>
          </cell>
          <cell r="D50" t="str">
            <v/>
          </cell>
          <cell r="F50" t="str">
            <v/>
          </cell>
          <cell r="G50" t="str">
            <v/>
          </cell>
        </row>
        <row r="51">
          <cell r="F51" t="str">
            <v>SUBTOTAL</v>
          </cell>
          <cell r="G51" t="str">
            <v/>
          </cell>
        </row>
        <row r="53">
          <cell r="A53" t="str">
            <v>TOTAL COSTO DIRECTO</v>
          </cell>
          <cell r="G53">
            <v>2050</v>
          </cell>
        </row>
        <row r="55">
          <cell r="A55" t="str">
            <v>2. COSTOS INDIRECTOS</v>
          </cell>
        </row>
        <row r="57">
          <cell r="A57" t="str">
            <v>DESCRIPCIÓN</v>
          </cell>
          <cell r="F57" t="str">
            <v>PORCENTAJE</v>
          </cell>
          <cell r="G57" t="str">
            <v>VALOR TOTAL</v>
          </cell>
        </row>
        <row r="58">
          <cell r="A58" t="str">
            <v>ADMINISTRACION</v>
          </cell>
          <cell r="F58">
            <v>0.33389999999999997</v>
          </cell>
          <cell r="G58">
            <v>684.495</v>
          </cell>
        </row>
        <row r="59">
          <cell r="A59" t="str">
            <v>IMPREVISTOS</v>
          </cell>
          <cell r="F59" t="str">
            <v/>
          </cell>
          <cell r="G59" t="str">
            <v/>
          </cell>
        </row>
        <row r="60">
          <cell r="A60" t="str">
            <v>UTILIDADES</v>
          </cell>
          <cell r="F60">
            <v>0.05</v>
          </cell>
          <cell r="G60">
            <v>102.5</v>
          </cell>
        </row>
        <row r="61">
          <cell r="A61" t="str">
            <v>TOTAL COSTO INDIRECTO</v>
          </cell>
          <cell r="F61">
            <v>0.38389999999999996</v>
          </cell>
          <cell r="G61">
            <v>787</v>
          </cell>
        </row>
        <row r="63">
          <cell r="A63" t="str">
            <v>PRECIO UNITARIO TOTAL APROXIMADO AL PESO</v>
          </cell>
          <cell r="G63">
            <v>2837</v>
          </cell>
        </row>
        <row r="66">
          <cell r="B66" t="str">
            <v>SECRETARIA DE PLANEACIÓN E INFRAESTRUCTURA</v>
          </cell>
        </row>
        <row r="68">
          <cell r="D68" t="str">
            <v>FIRMA RESPONSABLE</v>
          </cell>
        </row>
        <row r="70">
          <cell r="A70" t="str">
            <v>DEPARTAMENTO DE ANTIOQUIA</v>
          </cell>
          <cell r="F70" t="str">
            <v/>
          </cell>
        </row>
        <row r="71">
          <cell r="A71" t="str">
            <v>MUNICIPIO DE DABEIBA</v>
          </cell>
        </row>
        <row r="72">
          <cell r="A72" t="str">
            <v>MEJORAMIENTO DE LA RED VIAL URBANA EN EL BARRIO SAN ANTONIO DEL MUNICIPIO DE DABEIBA</v>
          </cell>
        </row>
        <row r="74">
          <cell r="A74" t="str">
            <v>ANÁLISIS DE PRECIOS UNITARIOS</v>
          </cell>
        </row>
        <row r="76">
          <cell r="A76" t="str">
            <v>ITEM</v>
          </cell>
          <cell r="B76" t="str">
            <v>DESCRIPCIÓN</v>
          </cell>
          <cell r="E76" t="str">
            <v>UNIDAD</v>
          </cell>
          <cell r="F76" t="str">
            <v>CANTIDAD</v>
          </cell>
          <cell r="G76" t="str">
            <v>COSTO DIRECTO</v>
          </cell>
        </row>
        <row r="77">
          <cell r="A77" t="str">
            <v>2.1</v>
          </cell>
          <cell r="B77" t="str">
            <v>Demolición de pavimento rígido, de cualquier resistencia y espesor. Incluye retiro de entresuelo adherido, de acero de refuerzo, de cordones, el cargue y disposición final. Se debe realizar recuperación de los materiales aprovechables o su transporte hasta el sitio que indique la interventoría.  No incluye transporte.</v>
          </cell>
          <cell r="E77" t="str">
            <v>m3</v>
          </cell>
          <cell r="F77">
            <v>60</v>
          </cell>
          <cell r="G77">
            <v>174623</v>
          </cell>
        </row>
        <row r="79">
          <cell r="A79" t="str">
            <v>1. COSTOS DIRECTOS</v>
          </cell>
        </row>
        <row r="81">
          <cell r="A81" t="str">
            <v>I. EQUIPO</v>
          </cell>
        </row>
        <row r="82">
          <cell r="A82" t="str">
            <v>CÓDIGO</v>
          </cell>
          <cell r="B82" t="str">
            <v>DESCRIPCIÓN</v>
          </cell>
          <cell r="D82" t="str">
            <v>UNIDAD</v>
          </cell>
          <cell r="E82" t="str">
            <v>TARIFA</v>
          </cell>
          <cell r="F82" t="str">
            <v>RENDIMIENTO</v>
          </cell>
          <cell r="G82" t="str">
            <v>VR. UNITARIO</v>
          </cell>
        </row>
        <row r="83">
          <cell r="A83" t="str">
            <v>EQ020</v>
          </cell>
          <cell r="B83" t="str">
            <v>RETROEXCAVADORA LLANTA</v>
          </cell>
          <cell r="D83" t="str">
            <v>HORA</v>
          </cell>
          <cell r="E83">
            <v>160000</v>
          </cell>
          <cell r="F83">
            <v>1.4</v>
          </cell>
          <cell r="G83">
            <v>114285.71428571429</v>
          </cell>
        </row>
        <row r="84">
          <cell r="A84" t="str">
            <v>EQ029</v>
          </cell>
          <cell r="B84" t="str">
            <v>COMPRESOR NEUMATICO 1 MARTILLO</v>
          </cell>
          <cell r="D84" t="str">
            <v>HORA</v>
          </cell>
          <cell r="E84">
            <v>46000</v>
          </cell>
          <cell r="F84">
            <v>1.4</v>
          </cell>
          <cell r="G84">
            <v>32857.142857142862</v>
          </cell>
        </row>
        <row r="85">
          <cell r="A85" t="str">
            <v/>
          </cell>
          <cell r="D85" t="str">
            <v/>
          </cell>
          <cell r="E85" t="str">
            <v/>
          </cell>
          <cell r="G85" t="str">
            <v/>
          </cell>
        </row>
        <row r="86">
          <cell r="A86" t="str">
            <v/>
          </cell>
          <cell r="D86" t="str">
            <v/>
          </cell>
          <cell r="E86" t="str">
            <v/>
          </cell>
          <cell r="G86" t="str">
            <v/>
          </cell>
        </row>
        <row r="87">
          <cell r="A87" t="str">
            <v>EQ001</v>
          </cell>
          <cell r="B87" t="str">
            <v>HERRAMIENTA MENOR (5% DE LA MANO DE OBRA)</v>
          </cell>
          <cell r="D87" t="str">
            <v>%</v>
          </cell>
          <cell r="E87">
            <v>0.05</v>
          </cell>
          <cell r="F87">
            <v>26171.428571428572</v>
          </cell>
          <cell r="G87">
            <v>1308.5714285714287</v>
          </cell>
        </row>
        <row r="88">
          <cell r="F88" t="str">
            <v>SUBTOTAL</v>
          </cell>
          <cell r="G88">
            <v>148451.42857142858</v>
          </cell>
        </row>
        <row r="90">
          <cell r="A90" t="str">
            <v>II. MATERIALES</v>
          </cell>
        </row>
        <row r="91">
          <cell r="A91" t="str">
            <v>CÓDIGO</v>
          </cell>
          <cell r="B91" t="str">
            <v>DESCRIPCIÓN</v>
          </cell>
          <cell r="C91" t="str">
            <v>UNIDAD</v>
          </cell>
          <cell r="D91" t="str">
            <v>CANTIDAD</v>
          </cell>
          <cell r="E91" t="str">
            <v>DESP.</v>
          </cell>
          <cell r="F91" t="str">
            <v>PRECIO UNIT.</v>
          </cell>
          <cell r="G91" t="str">
            <v>VR. UNITARIO</v>
          </cell>
        </row>
        <row r="92">
          <cell r="A92" t="str">
            <v/>
          </cell>
          <cell r="C92" t="str">
            <v/>
          </cell>
          <cell r="F92" t="str">
            <v/>
          </cell>
          <cell r="G92" t="str">
            <v/>
          </cell>
        </row>
        <row r="93">
          <cell r="A93" t="str">
            <v/>
          </cell>
          <cell r="C93" t="str">
            <v/>
          </cell>
          <cell r="F93" t="str">
            <v/>
          </cell>
          <cell r="G93" t="str">
            <v/>
          </cell>
        </row>
        <row r="94">
          <cell r="A94" t="str">
            <v/>
          </cell>
          <cell r="C94" t="str">
            <v/>
          </cell>
          <cell r="F94" t="str">
            <v/>
          </cell>
          <cell r="G94" t="str">
            <v/>
          </cell>
        </row>
        <row r="95">
          <cell r="F95" t="str">
            <v>SUBTOTAL</v>
          </cell>
          <cell r="G95" t="str">
            <v/>
          </cell>
        </row>
        <row r="97">
          <cell r="A97" t="str">
            <v>III. TRANSPORTES</v>
          </cell>
        </row>
        <row r="98">
          <cell r="A98" t="str">
            <v>CÓDIGO</v>
          </cell>
          <cell r="B98" t="str">
            <v>DESCRIPCIÓN</v>
          </cell>
          <cell r="C98" t="str">
            <v>TIPO</v>
          </cell>
          <cell r="D98" t="str">
            <v>VOLUMEN/PESO</v>
          </cell>
          <cell r="E98" t="str">
            <v>DISTANCIA</v>
          </cell>
          <cell r="F98" t="str">
            <v>TARIFA</v>
          </cell>
          <cell r="G98" t="str">
            <v>VR. UNITARIO</v>
          </cell>
        </row>
        <row r="99">
          <cell r="A99" t="str">
            <v/>
          </cell>
          <cell r="E99" t="str">
            <v/>
          </cell>
          <cell r="F99" t="str">
            <v/>
          </cell>
          <cell r="G99" t="str">
            <v/>
          </cell>
        </row>
        <row r="100">
          <cell r="A100" t="str">
            <v/>
          </cell>
          <cell r="E100" t="str">
            <v/>
          </cell>
          <cell r="F100" t="str">
            <v/>
          </cell>
          <cell r="G100" t="str">
            <v/>
          </cell>
        </row>
        <row r="101">
          <cell r="A101" t="str">
            <v/>
          </cell>
          <cell r="E101" t="str">
            <v/>
          </cell>
          <cell r="F101" t="str">
            <v/>
          </cell>
          <cell r="G101" t="str">
            <v/>
          </cell>
        </row>
        <row r="102">
          <cell r="F102" t="str">
            <v>SUBTOTAL</v>
          </cell>
          <cell r="G102" t="str">
            <v/>
          </cell>
        </row>
        <row r="104">
          <cell r="A104" t="str">
            <v>IV. MANO DE OBRA</v>
          </cell>
        </row>
        <row r="105">
          <cell r="A105" t="str">
            <v>CÓDIGO</v>
          </cell>
          <cell r="B105" t="str">
            <v>CARGOS PERSONAL</v>
          </cell>
          <cell r="D105" t="str">
            <v>CANTIDAD</v>
          </cell>
          <cell r="E105" t="str">
            <v>JORNAL TOTAL</v>
          </cell>
          <cell r="F105" t="str">
            <v>RENDIMIENTO</v>
          </cell>
          <cell r="G105" t="str">
            <v>VR. UNITARIO</v>
          </cell>
        </row>
        <row r="106">
          <cell r="A106" t="str">
            <v>MO033</v>
          </cell>
          <cell r="B106" t="str">
            <v>OPERADOR EQUIPO LIVIANO</v>
          </cell>
          <cell r="D106">
            <v>1</v>
          </cell>
          <cell r="E106">
            <v>104675</v>
          </cell>
          <cell r="F106">
            <v>11.2</v>
          </cell>
          <cell r="G106">
            <v>9345.9821428571431</v>
          </cell>
        </row>
        <row r="107">
          <cell r="A107" t="str">
            <v>MO031</v>
          </cell>
          <cell r="B107" t="str">
            <v>AYUDANTE ENTENDIDO</v>
          </cell>
          <cell r="D107">
            <v>1</v>
          </cell>
          <cell r="E107">
            <v>104675</v>
          </cell>
          <cell r="F107">
            <v>11.2</v>
          </cell>
          <cell r="G107">
            <v>9345.9821428571431</v>
          </cell>
        </row>
        <row r="108">
          <cell r="A108" t="str">
            <v>MO032</v>
          </cell>
          <cell r="B108" t="str">
            <v>AYUDANTE RASO</v>
          </cell>
          <cell r="D108">
            <v>1</v>
          </cell>
          <cell r="E108">
            <v>83770</v>
          </cell>
          <cell r="F108">
            <v>11.2</v>
          </cell>
          <cell r="G108">
            <v>7479.4642857142862</v>
          </cell>
        </row>
        <row r="109">
          <cell r="A109" t="str">
            <v/>
          </cell>
          <cell r="E109" t="str">
            <v/>
          </cell>
          <cell r="F109" t="str">
            <v/>
          </cell>
          <cell r="G109" t="str">
            <v/>
          </cell>
        </row>
        <row r="110">
          <cell r="F110" t="str">
            <v>SUBTOTAL</v>
          </cell>
          <cell r="G110">
            <v>26171.428571428572</v>
          </cell>
        </row>
        <row r="112">
          <cell r="A112" t="str">
            <v>V. SERVICIOS</v>
          </cell>
        </row>
        <row r="113">
          <cell r="A113" t="str">
            <v>CÓDIGO</v>
          </cell>
          <cell r="B113" t="str">
            <v>DESCRIPCIÓN</v>
          </cell>
          <cell r="D113" t="str">
            <v>UNIDAD</v>
          </cell>
          <cell r="E113" t="str">
            <v>CANTIDAD</v>
          </cell>
          <cell r="F113" t="str">
            <v>PRECIO UNIT.</v>
          </cell>
          <cell r="G113" t="str">
            <v>VR. UNITARIO</v>
          </cell>
        </row>
        <row r="114">
          <cell r="A114" t="str">
            <v/>
          </cell>
          <cell r="D114" t="str">
            <v/>
          </cell>
          <cell r="F114" t="str">
            <v/>
          </cell>
          <cell r="G114" t="str">
            <v/>
          </cell>
        </row>
        <row r="115">
          <cell r="A115" t="str">
            <v/>
          </cell>
          <cell r="D115" t="str">
            <v/>
          </cell>
          <cell r="F115" t="str">
            <v/>
          </cell>
          <cell r="G115" t="str">
            <v/>
          </cell>
        </row>
        <row r="116">
          <cell r="A116" t="str">
            <v/>
          </cell>
          <cell r="D116" t="str">
            <v/>
          </cell>
          <cell r="F116" t="str">
            <v/>
          </cell>
          <cell r="G116" t="str">
            <v/>
          </cell>
        </row>
        <row r="117">
          <cell r="F117" t="str">
            <v>SUBTOTAL</v>
          </cell>
          <cell r="G117" t="str">
            <v/>
          </cell>
        </row>
        <row r="119">
          <cell r="A119" t="str">
            <v>TOTAL COSTO DIRECTO</v>
          </cell>
          <cell r="G119">
            <v>174623</v>
          </cell>
        </row>
        <row r="121">
          <cell r="A121" t="str">
            <v>2. COSTOS INDIRECTOS</v>
          </cell>
        </row>
        <row r="123">
          <cell r="A123" t="str">
            <v>DESCRIPCIÓN</v>
          </cell>
          <cell r="F123" t="str">
            <v>PORCENTAJE</v>
          </cell>
          <cell r="G123" t="str">
            <v>VALOR TOTAL</v>
          </cell>
        </row>
        <row r="124">
          <cell r="A124" t="str">
            <v>ADMINISTRACION</v>
          </cell>
          <cell r="F124">
            <v>0.33389999999999997</v>
          </cell>
          <cell r="G124">
            <v>58306.619699999996</v>
          </cell>
        </row>
        <row r="125">
          <cell r="A125" t="str">
            <v>IMPREVISTOS</v>
          </cell>
          <cell r="F125" t="str">
            <v/>
          </cell>
          <cell r="G125" t="str">
            <v/>
          </cell>
        </row>
        <row r="126">
          <cell r="A126" t="str">
            <v>UTILIDADES</v>
          </cell>
          <cell r="F126">
            <v>0.05</v>
          </cell>
          <cell r="G126">
            <v>8731.15</v>
          </cell>
        </row>
        <row r="127">
          <cell r="A127" t="str">
            <v>TOTAL COSTO INDIRECTO</v>
          </cell>
          <cell r="F127">
            <v>0.38389999999999996</v>
          </cell>
          <cell r="G127">
            <v>67038</v>
          </cell>
        </row>
        <row r="129">
          <cell r="A129" t="str">
            <v>PRECIO UNITARIO TOTAL APROXIMADO AL PESO</v>
          </cell>
          <cell r="G129">
            <v>241661</v>
          </cell>
        </row>
        <row r="132">
          <cell r="B132" t="str">
            <v>SECRETARIA DE PLANEACIÓN E INFRAESTRUCTURA</v>
          </cell>
        </row>
        <row r="134">
          <cell r="D134" t="str">
            <v>FIRMA RESPONSABLE</v>
          </cell>
        </row>
        <row r="136">
          <cell r="A136" t="str">
            <v>DEPARTAMENTO DE ANTIOQUIA</v>
          </cell>
          <cell r="F136" t="str">
            <v/>
          </cell>
        </row>
        <row r="137">
          <cell r="A137" t="str">
            <v>MUNICIPIO DE DABEIBA</v>
          </cell>
        </row>
        <row r="138">
          <cell r="A138" t="str">
            <v>MEJORAMIENTO DE LA RED VIAL URBANA EN EL BARRIO SAN ANTONIO DEL MUNICIPIO DE DABEIBA</v>
          </cell>
        </row>
        <row r="140">
          <cell r="A140" t="str">
            <v>ANÁLISIS DE PRECIOS UNITARIOS</v>
          </cell>
        </row>
        <row r="142">
          <cell r="A142" t="str">
            <v>ITEM</v>
          </cell>
          <cell r="B142" t="str">
            <v>DESCRIPCIÓN</v>
          </cell>
          <cell r="E142" t="str">
            <v>UNIDAD</v>
          </cell>
          <cell r="F142" t="str">
            <v>CANTIDAD</v>
          </cell>
          <cell r="G142" t="str">
            <v>COSTO DIRECTO</v>
          </cell>
        </row>
        <row r="143">
          <cell r="A143" t="str">
            <v>3.2</v>
          </cell>
          <cell r="B143" t="str">
            <v>Excavación mecanica en brecha en  material heterogeneo de 0 -2m  bajo cualquier grado de humedad. Incluye cargue y disposición final de los materiales. No incluye transporte</v>
          </cell>
          <cell r="E143" t="str">
            <v>m3</v>
          </cell>
          <cell r="F143">
            <v>462</v>
          </cell>
          <cell r="G143">
            <v>31352</v>
          </cell>
        </row>
        <row r="145">
          <cell r="A145" t="str">
            <v>1. COSTOS DIRECTOS</v>
          </cell>
        </row>
        <row r="147">
          <cell r="A147" t="str">
            <v>I. EQUIPO</v>
          </cell>
        </row>
        <row r="148">
          <cell r="A148" t="str">
            <v>CÓDIGO</v>
          </cell>
          <cell r="B148" t="str">
            <v>DESCRIPCIÓN</v>
          </cell>
          <cell r="D148" t="str">
            <v>UNIDAD</v>
          </cell>
          <cell r="E148" t="str">
            <v>TARIFA</v>
          </cell>
          <cell r="F148" t="str">
            <v>RENDIMIENTO</v>
          </cell>
          <cell r="G148" t="str">
            <v>VR. UNITARIO</v>
          </cell>
        </row>
        <row r="149">
          <cell r="A149" t="str">
            <v>EQ020</v>
          </cell>
          <cell r="B149" t="str">
            <v>RETROEXCAVADORA LLANTA</v>
          </cell>
          <cell r="D149" t="str">
            <v>HORA</v>
          </cell>
          <cell r="E149">
            <v>160000</v>
          </cell>
          <cell r="F149">
            <v>20</v>
          </cell>
          <cell r="G149">
            <v>8000</v>
          </cell>
        </row>
        <row r="150">
          <cell r="A150" t="str">
            <v/>
          </cell>
          <cell r="D150" t="str">
            <v/>
          </cell>
          <cell r="E150" t="str">
            <v/>
          </cell>
          <cell r="G150" t="str">
            <v/>
          </cell>
        </row>
        <row r="151">
          <cell r="A151" t="str">
            <v>EQ001</v>
          </cell>
          <cell r="B151" t="str">
            <v>HERRAMIENTA MENOR (5% DE LA MANO DE OBRA)</v>
          </cell>
          <cell r="D151" t="str">
            <v>%</v>
          </cell>
          <cell r="E151">
            <v>0.05</v>
          </cell>
          <cell r="F151">
            <v>16049.75</v>
          </cell>
          <cell r="G151">
            <v>802.48750000000007</v>
          </cell>
        </row>
        <row r="152">
          <cell r="F152" t="str">
            <v>SUBTOTAL</v>
          </cell>
          <cell r="G152">
            <v>8802.4874999999993</v>
          </cell>
        </row>
        <row r="154">
          <cell r="A154" t="str">
            <v>II. MATERIALES</v>
          </cell>
        </row>
        <row r="155">
          <cell r="A155" t="str">
            <v>CÓDIGO</v>
          </cell>
          <cell r="B155" t="str">
            <v>DESCRIPCIÓN</v>
          </cell>
          <cell r="C155" t="str">
            <v>UNIDAD</v>
          </cell>
          <cell r="D155" t="str">
            <v>CANTIDAD</v>
          </cell>
          <cell r="E155" t="str">
            <v>DESP.</v>
          </cell>
          <cell r="F155" t="str">
            <v>PRECIO UNIT.</v>
          </cell>
          <cell r="G155" t="str">
            <v>VR. UNITARIO</v>
          </cell>
        </row>
        <row r="156">
          <cell r="A156" t="str">
            <v/>
          </cell>
          <cell r="C156" t="str">
            <v/>
          </cell>
          <cell r="F156" t="str">
            <v/>
          </cell>
          <cell r="G156" t="str">
            <v/>
          </cell>
        </row>
        <row r="157">
          <cell r="A157" t="str">
            <v/>
          </cell>
          <cell r="C157" t="str">
            <v/>
          </cell>
          <cell r="F157" t="str">
            <v/>
          </cell>
          <cell r="G157" t="str">
            <v/>
          </cell>
        </row>
        <row r="158">
          <cell r="A158" t="str">
            <v/>
          </cell>
          <cell r="C158" t="str">
            <v/>
          </cell>
          <cell r="F158" t="str">
            <v/>
          </cell>
          <cell r="G158" t="str">
            <v/>
          </cell>
        </row>
        <row r="159">
          <cell r="F159" t="str">
            <v>SUBTOTAL</v>
          </cell>
          <cell r="G159" t="str">
            <v/>
          </cell>
        </row>
        <row r="161">
          <cell r="A161" t="str">
            <v>III. TRANSPORTES</v>
          </cell>
        </row>
        <row r="162">
          <cell r="A162" t="str">
            <v>CÓDIGO</v>
          </cell>
          <cell r="B162" t="str">
            <v>DESCRIPCIÓN</v>
          </cell>
          <cell r="C162" t="str">
            <v>TIPO</v>
          </cell>
          <cell r="D162" t="str">
            <v>VOLUMEN/PESO</v>
          </cell>
          <cell r="E162" t="str">
            <v>DISTANCIA</v>
          </cell>
          <cell r="F162" t="str">
            <v>TARIFA</v>
          </cell>
          <cell r="G162" t="str">
            <v>VR. UNITARIO</v>
          </cell>
        </row>
        <row r="163">
          <cell r="A163" t="str">
            <v/>
          </cell>
          <cell r="E163" t="str">
            <v/>
          </cell>
          <cell r="F163" t="str">
            <v/>
          </cell>
          <cell r="G163" t="str">
            <v/>
          </cell>
        </row>
        <row r="164">
          <cell r="A164" t="str">
            <v/>
          </cell>
          <cell r="E164" t="str">
            <v/>
          </cell>
          <cell r="F164" t="str">
            <v/>
          </cell>
          <cell r="G164" t="str">
            <v/>
          </cell>
        </row>
        <row r="165">
          <cell r="A165" t="str">
            <v/>
          </cell>
          <cell r="E165" t="str">
            <v/>
          </cell>
          <cell r="F165" t="str">
            <v/>
          </cell>
          <cell r="G165" t="str">
            <v/>
          </cell>
        </row>
        <row r="166">
          <cell r="F166" t="str">
            <v>SUBTOTAL</v>
          </cell>
          <cell r="G166" t="str">
            <v/>
          </cell>
        </row>
        <row r="168">
          <cell r="A168" t="str">
            <v>IV. MANO DE OBRA</v>
          </cell>
        </row>
        <row r="169">
          <cell r="A169" t="str">
            <v>CÓDIGO</v>
          </cell>
          <cell r="B169" t="str">
            <v>CARGOS PERSONAL</v>
          </cell>
          <cell r="D169" t="str">
            <v>CANTIDAD</v>
          </cell>
          <cell r="E169" t="str">
            <v>JORNAL TOTAL</v>
          </cell>
          <cell r="F169" t="str">
            <v>RENDIMIENTO</v>
          </cell>
          <cell r="G169" t="str">
            <v>VR. UNITARIO</v>
          </cell>
        </row>
        <row r="170">
          <cell r="A170" t="str">
            <v>MO029</v>
          </cell>
          <cell r="B170" t="str">
            <v>OFICIAL DE OBRA NEGRA</v>
          </cell>
          <cell r="D170">
            <v>1</v>
          </cell>
          <cell r="E170">
            <v>153455</v>
          </cell>
          <cell r="F170">
            <v>20</v>
          </cell>
          <cell r="G170">
            <v>7672.75</v>
          </cell>
        </row>
        <row r="171">
          <cell r="A171" t="str">
            <v>MO032</v>
          </cell>
          <cell r="B171" t="str">
            <v>AYUDANTE RASO</v>
          </cell>
          <cell r="D171">
            <v>2</v>
          </cell>
          <cell r="E171">
            <v>83770</v>
          </cell>
          <cell r="F171">
            <v>20</v>
          </cell>
          <cell r="G171">
            <v>8377</v>
          </cell>
        </row>
        <row r="172">
          <cell r="A172" t="str">
            <v/>
          </cell>
          <cell r="E172" t="str">
            <v/>
          </cell>
          <cell r="G172" t="str">
            <v/>
          </cell>
        </row>
        <row r="173">
          <cell r="A173" t="str">
            <v/>
          </cell>
          <cell r="E173" t="str">
            <v/>
          </cell>
          <cell r="F173" t="str">
            <v/>
          </cell>
          <cell r="G173" t="str">
            <v/>
          </cell>
        </row>
        <row r="174">
          <cell r="F174" t="str">
            <v>SUBTOTAL</v>
          </cell>
          <cell r="G174">
            <v>16049.75</v>
          </cell>
        </row>
        <row r="176">
          <cell r="A176" t="str">
            <v>V. SERVICIOS</v>
          </cell>
        </row>
        <row r="177">
          <cell r="A177" t="str">
            <v>CÓDIGO</v>
          </cell>
          <cell r="B177" t="str">
            <v>DESCRIPCIÓN</v>
          </cell>
          <cell r="D177" t="str">
            <v>UNIDAD</v>
          </cell>
          <cell r="E177" t="str">
            <v>CANTIDAD</v>
          </cell>
          <cell r="F177" t="str">
            <v>PRECIO UNIT.</v>
          </cell>
          <cell r="G177" t="str">
            <v>VR. UNITARIO</v>
          </cell>
        </row>
        <row r="178">
          <cell r="A178" t="str">
            <v>SE004</v>
          </cell>
          <cell r="B178" t="str">
            <v>DERECHO A BOTADERO</v>
          </cell>
          <cell r="D178" t="str">
            <v>M3</v>
          </cell>
          <cell r="E178">
            <v>1.3</v>
          </cell>
          <cell r="F178">
            <v>5000</v>
          </cell>
          <cell r="G178">
            <v>6500</v>
          </cell>
        </row>
        <row r="179">
          <cell r="A179" t="str">
            <v/>
          </cell>
          <cell r="D179" t="str">
            <v/>
          </cell>
          <cell r="F179" t="str">
            <v/>
          </cell>
          <cell r="G179" t="str">
            <v/>
          </cell>
        </row>
        <row r="180">
          <cell r="A180" t="str">
            <v/>
          </cell>
          <cell r="D180" t="str">
            <v/>
          </cell>
          <cell r="F180" t="str">
            <v/>
          </cell>
          <cell r="G180" t="str">
            <v/>
          </cell>
        </row>
        <row r="181">
          <cell r="F181" t="str">
            <v>SUBTOTAL</v>
          </cell>
          <cell r="G181">
            <v>6500</v>
          </cell>
        </row>
        <row r="183">
          <cell r="A183" t="str">
            <v>TOTAL COSTO DIRECTO</v>
          </cell>
          <cell r="G183">
            <v>31352</v>
          </cell>
        </row>
        <row r="185">
          <cell r="A185" t="str">
            <v>2. COSTOS INDIRECTOS</v>
          </cell>
        </row>
        <row r="187">
          <cell r="A187" t="str">
            <v>DESCRIPCIÓN</v>
          </cell>
          <cell r="F187" t="str">
            <v>PORCENTAJE</v>
          </cell>
          <cell r="G187" t="str">
            <v>VALOR TOTAL</v>
          </cell>
        </row>
        <row r="188">
          <cell r="A188" t="str">
            <v>ADMINISTRACION</v>
          </cell>
          <cell r="F188">
            <v>0.33389999999999997</v>
          </cell>
          <cell r="G188">
            <v>10468.432799999999</v>
          </cell>
        </row>
        <row r="189">
          <cell r="A189" t="str">
            <v>IMPREVISTOS</v>
          </cell>
          <cell r="F189" t="str">
            <v/>
          </cell>
          <cell r="G189" t="str">
            <v/>
          </cell>
        </row>
        <row r="190">
          <cell r="A190" t="str">
            <v>UTILIDADES</v>
          </cell>
          <cell r="F190">
            <v>0.05</v>
          </cell>
          <cell r="G190">
            <v>1567.6000000000001</v>
          </cell>
        </row>
        <row r="191">
          <cell r="A191" t="str">
            <v>TOTAL COSTO INDIRECTO</v>
          </cell>
          <cell r="F191">
            <v>0.38389999999999996</v>
          </cell>
          <cell r="G191">
            <v>12036</v>
          </cell>
        </row>
        <row r="193">
          <cell r="A193" t="str">
            <v>PRECIO UNITARIO TOTAL APROXIMADO AL PESO</v>
          </cell>
          <cell r="G193">
            <v>43388</v>
          </cell>
        </row>
        <row r="196">
          <cell r="B196" t="str">
            <v>SECRETARIA DE PLANEACIÓN E INFRAESTRUCTURA</v>
          </cell>
        </row>
        <row r="198">
          <cell r="D198" t="str">
            <v>FIRMA RESPONSABLE</v>
          </cell>
        </row>
        <row r="200">
          <cell r="A200" t="str">
            <v>DEPARTAMENTO DE ANTIOQUIA</v>
          </cell>
          <cell r="F200" t="str">
            <v/>
          </cell>
        </row>
        <row r="201">
          <cell r="A201" t="str">
            <v>MUNICIPIO DE DABEIBA</v>
          </cell>
        </row>
        <row r="202">
          <cell r="A202" t="str">
            <v>MEJORAMIENTO DE LA RED VIAL URBANA EN EL BARRIO SAN ANTONIO DEL MUNICIPIO DE DABEIBA</v>
          </cell>
        </row>
        <row r="204">
          <cell r="A204" t="str">
            <v>ANÁLISIS DE PRECIOS UNITARIOS</v>
          </cell>
        </row>
        <row r="206">
          <cell r="A206" t="str">
            <v>ITEM</v>
          </cell>
          <cell r="B206" t="str">
            <v>DESCRIPCIÓN</v>
          </cell>
          <cell r="E206" t="str">
            <v>UNIDAD</v>
          </cell>
          <cell r="F206" t="str">
            <v>CANTIDAD</v>
          </cell>
          <cell r="G206" t="str">
            <v>COSTO DIRECTO</v>
          </cell>
        </row>
        <row r="207">
          <cell r="A207" t="str">
            <v>2.2</v>
          </cell>
          <cell r="B207" t="str">
            <v>Corte de pavimento hidraulico</v>
          </cell>
          <cell r="E207" t="str">
            <v>ml</v>
          </cell>
          <cell r="F207">
            <v>20</v>
          </cell>
          <cell r="G207">
            <v>35070</v>
          </cell>
        </row>
        <row r="209">
          <cell r="A209" t="str">
            <v>1. COSTOS DIRECTOS</v>
          </cell>
        </row>
        <row r="211">
          <cell r="A211" t="str">
            <v>I. EQUIPO</v>
          </cell>
        </row>
        <row r="212">
          <cell r="A212" t="str">
            <v>CÓDIGO</v>
          </cell>
          <cell r="B212" t="str">
            <v>DESCRIPCIÓN</v>
          </cell>
          <cell r="D212" t="str">
            <v>UNIDAD</v>
          </cell>
          <cell r="E212" t="str">
            <v>TARIFA</v>
          </cell>
          <cell r="F212" t="str">
            <v>RENDIMIENTO</v>
          </cell>
          <cell r="G212" t="str">
            <v>VR. UNITARIO</v>
          </cell>
        </row>
        <row r="213">
          <cell r="A213" t="str">
            <v>EQ033</v>
          </cell>
          <cell r="B213" t="str">
            <v xml:space="preserve">CORTADORA DE PAVIMENTOS </v>
          </cell>
          <cell r="D213" t="str">
            <v>HORA</v>
          </cell>
          <cell r="E213">
            <v>24000</v>
          </cell>
          <cell r="F213">
            <v>1</v>
          </cell>
          <cell r="G213">
            <v>24000</v>
          </cell>
        </row>
        <row r="214">
          <cell r="A214" t="str">
            <v/>
          </cell>
          <cell r="D214" t="str">
            <v/>
          </cell>
          <cell r="E214" t="str">
            <v/>
          </cell>
          <cell r="G214" t="str">
            <v/>
          </cell>
        </row>
        <row r="215">
          <cell r="A215" t="str">
            <v>EQ001</v>
          </cell>
          <cell r="B215" t="str">
            <v>HERRAMIENTA MENOR (5% DE LA MANO DE OBRA)</v>
          </cell>
          <cell r="D215" t="str">
            <v/>
          </cell>
          <cell r="E215">
            <v>0.05</v>
          </cell>
          <cell r="F215">
            <v>10467.5</v>
          </cell>
          <cell r="G215">
            <v>523.375</v>
          </cell>
        </row>
        <row r="216">
          <cell r="F216" t="str">
            <v>SUBTOTAL</v>
          </cell>
          <cell r="G216">
            <v>24523.375</v>
          </cell>
        </row>
        <row r="218">
          <cell r="A218" t="str">
            <v>II. MATERIALES</v>
          </cell>
        </row>
        <row r="219">
          <cell r="A219" t="str">
            <v>CÓDIGO</v>
          </cell>
          <cell r="B219" t="str">
            <v>DESCRIPCIÓN</v>
          </cell>
          <cell r="C219" t="str">
            <v>UNIDAD</v>
          </cell>
          <cell r="D219" t="str">
            <v>CANTIDAD</v>
          </cell>
          <cell r="E219" t="str">
            <v>DESP.</v>
          </cell>
          <cell r="F219" t="str">
            <v>PRECIO UNIT.</v>
          </cell>
          <cell r="G219" t="str">
            <v>VR. UNITARIO</v>
          </cell>
        </row>
        <row r="220">
          <cell r="A220" t="str">
            <v>MA025</v>
          </cell>
          <cell r="B220" t="str">
            <v>AGUA</v>
          </cell>
          <cell r="C220" t="str">
            <v>LT</v>
          </cell>
          <cell r="D220">
            <v>1.5</v>
          </cell>
          <cell r="E220">
            <v>0.05</v>
          </cell>
          <cell r="F220">
            <v>50</v>
          </cell>
          <cell r="G220">
            <v>78.75</v>
          </cell>
        </row>
        <row r="221">
          <cell r="A221" t="str">
            <v/>
          </cell>
          <cell r="C221" t="str">
            <v/>
          </cell>
          <cell r="F221" t="str">
            <v/>
          </cell>
          <cell r="G221" t="str">
            <v/>
          </cell>
        </row>
        <row r="222">
          <cell r="A222" t="str">
            <v/>
          </cell>
          <cell r="C222" t="str">
            <v/>
          </cell>
          <cell r="F222" t="str">
            <v/>
          </cell>
          <cell r="G222" t="str">
            <v/>
          </cell>
        </row>
        <row r="223">
          <cell r="F223" t="str">
            <v>SUBTOTAL</v>
          </cell>
          <cell r="G223">
            <v>78.75</v>
          </cell>
        </row>
        <row r="225">
          <cell r="A225" t="str">
            <v>III. TRANSPORTES</v>
          </cell>
        </row>
        <row r="226">
          <cell r="A226" t="str">
            <v>CÓDIGO</v>
          </cell>
          <cell r="B226" t="str">
            <v>DESCRIPCIÓN</v>
          </cell>
          <cell r="C226" t="str">
            <v>TIPO</v>
          </cell>
          <cell r="D226" t="str">
            <v>VOLUMEN/PESO</v>
          </cell>
          <cell r="E226" t="str">
            <v>DISTANCIA</v>
          </cell>
          <cell r="F226" t="str">
            <v>TARIFA</v>
          </cell>
          <cell r="G226" t="str">
            <v>VR. UNITARIO</v>
          </cell>
        </row>
        <row r="227">
          <cell r="A227" t="str">
            <v/>
          </cell>
          <cell r="E227" t="str">
            <v/>
          </cell>
          <cell r="F227" t="str">
            <v/>
          </cell>
          <cell r="G227" t="str">
            <v/>
          </cell>
        </row>
        <row r="228">
          <cell r="A228" t="str">
            <v/>
          </cell>
          <cell r="E228" t="str">
            <v/>
          </cell>
          <cell r="F228" t="str">
            <v/>
          </cell>
          <cell r="G228" t="str">
            <v/>
          </cell>
        </row>
        <row r="229">
          <cell r="A229" t="str">
            <v/>
          </cell>
          <cell r="E229" t="str">
            <v/>
          </cell>
          <cell r="F229" t="str">
            <v/>
          </cell>
          <cell r="G229" t="str">
            <v/>
          </cell>
        </row>
        <row r="230">
          <cell r="F230" t="str">
            <v>SUBTOTAL</v>
          </cell>
          <cell r="G230" t="str">
            <v/>
          </cell>
        </row>
        <row r="232">
          <cell r="A232" t="str">
            <v>IV. MANO DE OBRA</v>
          </cell>
        </row>
        <row r="233">
          <cell r="A233" t="str">
            <v>CÓDIGO</v>
          </cell>
          <cell r="B233" t="str">
            <v>CARGOS PERSONAL</v>
          </cell>
          <cell r="D233" t="str">
            <v>CANTIDAD</v>
          </cell>
          <cell r="E233" t="str">
            <v>JORNAL TOTAL</v>
          </cell>
          <cell r="F233" t="str">
            <v>RENDIMIENTO</v>
          </cell>
          <cell r="G233" t="str">
            <v>VR. UNITARIO</v>
          </cell>
        </row>
        <row r="234">
          <cell r="A234" t="str">
            <v>MO033</v>
          </cell>
          <cell r="B234" t="str">
            <v>OPERADOR EQUIPO LIVIANO</v>
          </cell>
          <cell r="D234">
            <v>1</v>
          </cell>
          <cell r="E234">
            <v>104675</v>
          </cell>
          <cell r="F234">
            <v>10</v>
          </cell>
          <cell r="G234">
            <v>10467.5</v>
          </cell>
        </row>
        <row r="235">
          <cell r="A235" t="str">
            <v/>
          </cell>
          <cell r="E235" t="str">
            <v/>
          </cell>
          <cell r="G235" t="str">
            <v/>
          </cell>
        </row>
        <row r="236">
          <cell r="A236" t="str">
            <v/>
          </cell>
          <cell r="E236" t="str">
            <v/>
          </cell>
          <cell r="G236" t="str">
            <v/>
          </cell>
        </row>
        <row r="237">
          <cell r="A237" t="str">
            <v/>
          </cell>
          <cell r="E237" t="str">
            <v/>
          </cell>
          <cell r="F237" t="str">
            <v/>
          </cell>
          <cell r="G237" t="str">
            <v/>
          </cell>
        </row>
        <row r="238">
          <cell r="F238" t="str">
            <v>SUBTOTAL</v>
          </cell>
          <cell r="G238">
            <v>10467.5</v>
          </cell>
        </row>
        <row r="240">
          <cell r="A240" t="str">
            <v>V. SERVICIOS</v>
          </cell>
        </row>
        <row r="241">
          <cell r="A241" t="str">
            <v>CÓDIGO</v>
          </cell>
          <cell r="B241" t="str">
            <v>DESCRIPCIÓN</v>
          </cell>
          <cell r="D241" t="str">
            <v>UNIDAD</v>
          </cell>
          <cell r="E241" t="str">
            <v>CANTIDAD</v>
          </cell>
          <cell r="F241" t="str">
            <v>PRECIO UNIT.</v>
          </cell>
          <cell r="G241" t="str">
            <v>VR. UNITARIO</v>
          </cell>
        </row>
        <row r="242">
          <cell r="A242" t="str">
            <v/>
          </cell>
          <cell r="D242" t="str">
            <v/>
          </cell>
          <cell r="F242" t="str">
            <v/>
          </cell>
          <cell r="G242" t="str">
            <v/>
          </cell>
        </row>
        <row r="243">
          <cell r="A243" t="str">
            <v/>
          </cell>
          <cell r="D243" t="str">
            <v/>
          </cell>
          <cell r="F243" t="str">
            <v/>
          </cell>
          <cell r="G243" t="str">
            <v/>
          </cell>
        </row>
        <row r="244">
          <cell r="A244" t="str">
            <v/>
          </cell>
          <cell r="D244" t="str">
            <v/>
          </cell>
          <cell r="F244" t="str">
            <v/>
          </cell>
          <cell r="G244" t="str">
            <v/>
          </cell>
        </row>
        <row r="245">
          <cell r="F245" t="str">
            <v>SUBTOTAL</v>
          </cell>
          <cell r="G245" t="str">
            <v/>
          </cell>
        </row>
        <row r="247">
          <cell r="A247" t="str">
            <v>TOTAL COSTO DIRECTO</v>
          </cell>
          <cell r="G247">
            <v>35070</v>
          </cell>
        </row>
        <row r="249">
          <cell r="A249" t="str">
            <v>2. COSTOS INDIRECTOS</v>
          </cell>
        </row>
        <row r="251">
          <cell r="A251" t="str">
            <v>DESCRIPCIÓN</v>
          </cell>
          <cell r="F251" t="str">
            <v>PORCENTAJE</v>
          </cell>
          <cell r="G251" t="str">
            <v>VALOR TOTAL</v>
          </cell>
        </row>
        <row r="252">
          <cell r="A252" t="str">
            <v>ADMINISTRACION</v>
          </cell>
          <cell r="F252">
            <v>0.33389999999999997</v>
          </cell>
          <cell r="G252">
            <v>11709.873</v>
          </cell>
        </row>
        <row r="253">
          <cell r="A253" t="str">
            <v>IMPREVISTOS</v>
          </cell>
          <cell r="F253" t="str">
            <v/>
          </cell>
          <cell r="G253" t="str">
            <v/>
          </cell>
        </row>
        <row r="254">
          <cell r="A254" t="str">
            <v>UTILIDADES</v>
          </cell>
          <cell r="F254">
            <v>0.05</v>
          </cell>
          <cell r="G254">
            <v>1753.5</v>
          </cell>
        </row>
        <row r="255">
          <cell r="A255" t="str">
            <v>TOTAL COSTO INDIRECTO</v>
          </cell>
          <cell r="F255">
            <v>0.38389999999999996</v>
          </cell>
          <cell r="G255">
            <v>13463</v>
          </cell>
        </row>
        <row r="257">
          <cell r="A257" t="str">
            <v>PRECIO UNITARIO TOTAL APROXIMADO AL PESO</v>
          </cell>
          <cell r="G257">
            <v>48533</v>
          </cell>
        </row>
        <row r="260">
          <cell r="B260" t="str">
            <v>SECRETARIA DE PLANEACIÓN E INFRAESTRUCTURA</v>
          </cell>
        </row>
        <row r="262">
          <cell r="D262" t="str">
            <v>FIRMA RESPONSABLE</v>
          </cell>
        </row>
        <row r="264">
          <cell r="A264" t="str">
            <v>DEPARTAMENTO DE ANTIOQUIA</v>
          </cell>
          <cell r="F264" t="str">
            <v/>
          </cell>
        </row>
        <row r="265">
          <cell r="A265" t="str">
            <v>MUNICIPIO DE DABEIBA</v>
          </cell>
        </row>
        <row r="266">
          <cell r="A266" t="str">
            <v>MEJORAMIENTO DE LA RED VIAL URBANA EN EL BARRIO SAN ANTONIO DEL MUNICIPIO DE DABEIBA</v>
          </cell>
        </row>
        <row r="268">
          <cell r="A268" t="str">
            <v>ANÁLISIS DE PRECIOS UNITARIOS</v>
          </cell>
        </row>
        <row r="270">
          <cell r="A270" t="str">
            <v>ITEM</v>
          </cell>
          <cell r="B270" t="str">
            <v>DESCRIPCIÓN</v>
          </cell>
          <cell r="E270" t="str">
            <v>UNIDAD</v>
          </cell>
          <cell r="F270" t="str">
            <v>CANTIDAD</v>
          </cell>
          <cell r="G270" t="str">
            <v>COSTO DIRECTO</v>
          </cell>
        </row>
        <row r="271">
          <cell r="A271" t="str">
            <v>3.3</v>
          </cell>
          <cell r="B271" t="str">
            <v xml:space="preserve">Excavación mecanica en brecha en material heterogeneo de 2 -4m  bajo cualquier grado de humedad. Incluye  cargue y disposición final de los materiales. No incluye transporte </v>
          </cell>
          <cell r="E271" t="str">
            <v>m3</v>
          </cell>
          <cell r="F271">
            <v>9</v>
          </cell>
          <cell r="G271">
            <v>37565</v>
          </cell>
        </row>
        <row r="273">
          <cell r="A273" t="str">
            <v>1. COSTOS DIRECTOS</v>
          </cell>
        </row>
        <row r="275">
          <cell r="A275" t="str">
            <v>I. EQUIPO</v>
          </cell>
        </row>
        <row r="276">
          <cell r="A276" t="str">
            <v>CÓDIGO</v>
          </cell>
          <cell r="B276" t="str">
            <v>DESCRIPCIÓN</v>
          </cell>
          <cell r="D276" t="str">
            <v>UNIDAD</v>
          </cell>
          <cell r="E276" t="str">
            <v>TARIFA</v>
          </cell>
          <cell r="F276" t="str">
            <v>RENDIMIENTO</v>
          </cell>
          <cell r="G276" t="str">
            <v>VR. UNITARIO</v>
          </cell>
        </row>
        <row r="277">
          <cell r="A277" t="str">
            <v>EQ020</v>
          </cell>
          <cell r="B277" t="str">
            <v>RETROEXCAVADORA LLANTA</v>
          </cell>
          <cell r="D277" t="str">
            <v>HORA</v>
          </cell>
          <cell r="E277">
            <v>160000</v>
          </cell>
          <cell r="F277">
            <v>16</v>
          </cell>
          <cell r="G277">
            <v>10000</v>
          </cell>
        </row>
        <row r="278">
          <cell r="A278" t="str">
            <v/>
          </cell>
          <cell r="D278" t="str">
            <v/>
          </cell>
          <cell r="E278" t="str">
            <v/>
          </cell>
          <cell r="G278" t="str">
            <v/>
          </cell>
        </row>
        <row r="279">
          <cell r="A279" t="str">
            <v>EQ001</v>
          </cell>
          <cell r="B279" t="str">
            <v>HERRAMIENTA MENOR (5% DE LA MANO DE OBRA)</v>
          </cell>
          <cell r="D279" t="str">
            <v>%</v>
          </cell>
          <cell r="E279">
            <v>0.05</v>
          </cell>
          <cell r="F279">
            <v>20062.1875</v>
          </cell>
          <cell r="G279">
            <v>1003.109375</v>
          </cell>
        </row>
        <row r="280">
          <cell r="F280" t="str">
            <v>SUBTOTAL</v>
          </cell>
          <cell r="G280">
            <v>11003.109375</v>
          </cell>
        </row>
        <row r="282">
          <cell r="A282" t="str">
            <v>II. MATERIALES</v>
          </cell>
        </row>
        <row r="283">
          <cell r="A283" t="str">
            <v>CÓDIGO</v>
          </cell>
          <cell r="B283" t="str">
            <v>DESCRIPCIÓN</v>
          </cell>
          <cell r="C283" t="str">
            <v>UNIDAD</v>
          </cell>
          <cell r="D283" t="str">
            <v>CANTIDAD</v>
          </cell>
          <cell r="E283" t="str">
            <v>DESP.</v>
          </cell>
          <cell r="F283" t="str">
            <v>PRECIO UNIT.</v>
          </cell>
          <cell r="G283" t="str">
            <v>VR. UNITARIO</v>
          </cell>
        </row>
        <row r="284">
          <cell r="A284" t="str">
            <v/>
          </cell>
          <cell r="C284" t="str">
            <v/>
          </cell>
          <cell r="F284" t="str">
            <v/>
          </cell>
          <cell r="G284" t="str">
            <v/>
          </cell>
        </row>
        <row r="285">
          <cell r="A285" t="str">
            <v/>
          </cell>
          <cell r="C285" t="str">
            <v/>
          </cell>
          <cell r="F285" t="str">
            <v/>
          </cell>
          <cell r="G285" t="str">
            <v/>
          </cell>
        </row>
        <row r="286">
          <cell r="A286" t="str">
            <v/>
          </cell>
          <cell r="C286" t="str">
            <v/>
          </cell>
          <cell r="F286" t="str">
            <v/>
          </cell>
          <cell r="G286" t="str">
            <v/>
          </cell>
        </row>
        <row r="287">
          <cell r="F287" t="str">
            <v>SUBTOTAL</v>
          </cell>
          <cell r="G287" t="str">
            <v/>
          </cell>
        </row>
        <row r="289">
          <cell r="A289" t="str">
            <v>III. TRANSPORTES</v>
          </cell>
        </row>
        <row r="290">
          <cell r="A290" t="str">
            <v>CÓDIGO</v>
          </cell>
          <cell r="B290" t="str">
            <v>DESCRIPCIÓN</v>
          </cell>
          <cell r="C290" t="str">
            <v>TIPO</v>
          </cell>
          <cell r="D290" t="str">
            <v>VOLUMEN/PESO</v>
          </cell>
          <cell r="E290" t="str">
            <v>DISTANCIA</v>
          </cell>
          <cell r="F290" t="str">
            <v>TARIFA</v>
          </cell>
          <cell r="G290" t="str">
            <v>VR. UNITARIO</v>
          </cell>
        </row>
        <row r="291">
          <cell r="A291" t="str">
            <v/>
          </cell>
          <cell r="E291" t="str">
            <v/>
          </cell>
          <cell r="F291" t="str">
            <v/>
          </cell>
          <cell r="G291" t="str">
            <v/>
          </cell>
        </row>
        <row r="292">
          <cell r="A292" t="str">
            <v/>
          </cell>
          <cell r="E292" t="str">
            <v/>
          </cell>
          <cell r="F292" t="str">
            <v/>
          </cell>
          <cell r="G292" t="str">
            <v/>
          </cell>
        </row>
        <row r="293">
          <cell r="A293" t="str">
            <v/>
          </cell>
          <cell r="E293" t="str">
            <v/>
          </cell>
          <cell r="F293" t="str">
            <v/>
          </cell>
          <cell r="G293" t="str">
            <v/>
          </cell>
        </row>
        <row r="294">
          <cell r="F294" t="str">
            <v>SUBTOTAL</v>
          </cell>
          <cell r="G294" t="str">
            <v/>
          </cell>
        </row>
        <row r="296">
          <cell r="A296" t="str">
            <v>IV. MANO DE OBRA</v>
          </cell>
        </row>
        <row r="297">
          <cell r="A297" t="str">
            <v>CÓDIGO</v>
          </cell>
          <cell r="B297" t="str">
            <v>CARGOS PERSONAL</v>
          </cell>
          <cell r="D297" t="str">
            <v>CANTIDAD</v>
          </cell>
          <cell r="E297" t="str">
            <v>JORNAL TOTAL</v>
          </cell>
          <cell r="F297" t="str">
            <v>RENDIMIENTO</v>
          </cell>
          <cell r="G297" t="str">
            <v>VR. UNITARIO</v>
          </cell>
        </row>
        <row r="298">
          <cell r="A298" t="str">
            <v>MO029</v>
          </cell>
          <cell r="B298" t="str">
            <v>OFICIAL DE OBRA NEGRA</v>
          </cell>
          <cell r="D298">
            <v>1</v>
          </cell>
          <cell r="E298">
            <v>153455</v>
          </cell>
          <cell r="F298">
            <v>16</v>
          </cell>
          <cell r="G298">
            <v>9590.9375</v>
          </cell>
        </row>
        <row r="299">
          <cell r="A299" t="str">
            <v>MO032</v>
          </cell>
          <cell r="B299" t="str">
            <v>AYUDANTE RASO</v>
          </cell>
          <cell r="D299">
            <v>2</v>
          </cell>
          <cell r="E299">
            <v>83770</v>
          </cell>
          <cell r="F299">
            <v>16</v>
          </cell>
          <cell r="G299">
            <v>10471.25</v>
          </cell>
        </row>
        <row r="300">
          <cell r="A300" t="str">
            <v/>
          </cell>
          <cell r="E300" t="str">
            <v/>
          </cell>
          <cell r="G300" t="str">
            <v/>
          </cell>
        </row>
        <row r="301">
          <cell r="A301" t="str">
            <v/>
          </cell>
          <cell r="E301" t="str">
            <v/>
          </cell>
          <cell r="F301" t="str">
            <v/>
          </cell>
          <cell r="G301" t="str">
            <v/>
          </cell>
        </row>
        <row r="302">
          <cell r="F302" t="str">
            <v>SUBTOTAL</v>
          </cell>
          <cell r="G302">
            <v>20062.1875</v>
          </cell>
        </row>
        <row r="304">
          <cell r="A304" t="str">
            <v>V. SERVICIOS</v>
          </cell>
        </row>
        <row r="305">
          <cell r="A305" t="str">
            <v>CÓDIGO</v>
          </cell>
          <cell r="B305" t="str">
            <v>DESCRIPCIÓN</v>
          </cell>
          <cell r="D305" t="str">
            <v>UNIDAD</v>
          </cell>
          <cell r="E305" t="str">
            <v>CANTIDAD</v>
          </cell>
          <cell r="F305" t="str">
            <v>PRECIO UNIT.</v>
          </cell>
          <cell r="G305" t="str">
            <v>VR. UNITARIO</v>
          </cell>
        </row>
        <row r="306">
          <cell r="A306" t="str">
            <v>SE004</v>
          </cell>
          <cell r="B306" t="str">
            <v>DERECHO A BOTADERO</v>
          </cell>
          <cell r="D306" t="str">
            <v>M3</v>
          </cell>
          <cell r="E306">
            <v>1.3</v>
          </cell>
          <cell r="F306">
            <v>5000</v>
          </cell>
          <cell r="G306">
            <v>6500</v>
          </cell>
        </row>
        <row r="307">
          <cell r="A307" t="str">
            <v/>
          </cell>
          <cell r="D307" t="str">
            <v/>
          </cell>
          <cell r="F307" t="str">
            <v/>
          </cell>
          <cell r="G307" t="str">
            <v/>
          </cell>
        </row>
        <row r="308">
          <cell r="A308" t="str">
            <v/>
          </cell>
          <cell r="D308" t="str">
            <v/>
          </cell>
          <cell r="F308" t="str">
            <v/>
          </cell>
          <cell r="G308" t="str">
            <v/>
          </cell>
        </row>
        <row r="309">
          <cell r="F309" t="str">
            <v>SUBTOTAL</v>
          </cell>
          <cell r="G309">
            <v>6500</v>
          </cell>
        </row>
        <row r="311">
          <cell r="A311" t="str">
            <v>TOTAL COSTO DIRECTO</v>
          </cell>
          <cell r="G311">
            <v>37565</v>
          </cell>
        </row>
        <row r="313">
          <cell r="A313" t="str">
            <v>2. COSTOS INDIRECTOS</v>
          </cell>
        </row>
        <row r="315">
          <cell r="A315" t="str">
            <v>DESCRIPCIÓN</v>
          </cell>
          <cell r="F315" t="str">
            <v>PORCENTAJE</v>
          </cell>
          <cell r="G315" t="str">
            <v>VALOR TOTAL</v>
          </cell>
        </row>
        <row r="316">
          <cell r="A316" t="str">
            <v>ADMINISTRACION</v>
          </cell>
          <cell r="F316">
            <v>0.33389999999999997</v>
          </cell>
          <cell r="G316">
            <v>12542.9535</v>
          </cell>
        </row>
        <row r="317">
          <cell r="A317" t="str">
            <v>IMPREVISTOS</v>
          </cell>
          <cell r="F317" t="str">
            <v/>
          </cell>
          <cell r="G317" t="str">
            <v/>
          </cell>
        </row>
        <row r="318">
          <cell r="A318" t="str">
            <v>UTILIDADES</v>
          </cell>
          <cell r="F318">
            <v>0.05</v>
          </cell>
          <cell r="G318">
            <v>1878.25</v>
          </cell>
        </row>
        <row r="319">
          <cell r="A319" t="str">
            <v>TOTAL COSTO INDIRECTO</v>
          </cell>
          <cell r="F319">
            <v>0.38389999999999996</v>
          </cell>
          <cell r="G319">
            <v>14421</v>
          </cell>
        </row>
        <row r="321">
          <cell r="A321" t="str">
            <v>PRECIO UNITARIO TOTAL APROXIMADO AL PESO</v>
          </cell>
          <cell r="G321">
            <v>51986</v>
          </cell>
        </row>
        <row r="324">
          <cell r="B324" t="str">
            <v>SECRETARIA DE PLANEACIÓN E INFRAESTRUCTURA</v>
          </cell>
        </row>
        <row r="326">
          <cell r="D326" t="str">
            <v>FIRMA RESPONSABLE</v>
          </cell>
        </row>
        <row r="328">
          <cell r="A328" t="str">
            <v>DEPARTAMENTO DE ANTIOQUIA</v>
          </cell>
          <cell r="F328" t="str">
            <v/>
          </cell>
        </row>
        <row r="329">
          <cell r="A329" t="str">
            <v>MUNICIPIO DE DABEIBA</v>
          </cell>
        </row>
        <row r="330">
          <cell r="A330" t="str">
            <v>MEJORAMIENTO DE LA RED VIAL URBANA EN EL BARRIO SAN ANTONIO DEL MUNICIPIO DE DABEIBA</v>
          </cell>
        </row>
        <row r="332">
          <cell r="A332" t="str">
            <v>ANÁLISIS DE PRECIOS UNITARIOS</v>
          </cell>
        </row>
        <row r="334">
          <cell r="A334" t="str">
            <v>ITEM</v>
          </cell>
          <cell r="B334" t="str">
            <v>DESCRIPCIÓN</v>
          </cell>
          <cell r="E334" t="str">
            <v>UNIDAD</v>
          </cell>
          <cell r="F334" t="str">
            <v>CANTIDAD</v>
          </cell>
          <cell r="G334" t="str">
            <v>COSTO DIRECTO</v>
          </cell>
        </row>
        <row r="335">
          <cell r="A335" t="str">
            <v>3.1</v>
          </cell>
          <cell r="B335" t="str">
            <v>Excavación en material común de la explanación, canales y prestamos. Incluye cargue y disposición final del material sobrante. No incluye transporte.</v>
          </cell>
          <cell r="E335" t="str">
            <v>m3</v>
          </cell>
          <cell r="F335">
            <v>583</v>
          </cell>
          <cell r="G335">
            <v>28587</v>
          </cell>
        </row>
        <row r="337">
          <cell r="A337" t="str">
            <v>1. COSTOS DIRECTOS</v>
          </cell>
        </row>
        <row r="339">
          <cell r="A339" t="str">
            <v>I. EQUIPO</v>
          </cell>
        </row>
        <row r="340">
          <cell r="A340" t="str">
            <v>CÓDIGO</v>
          </cell>
          <cell r="B340" t="str">
            <v>DESCRIPCIÓN</v>
          </cell>
          <cell r="D340" t="str">
            <v>UNIDAD</v>
          </cell>
          <cell r="E340" t="str">
            <v>TARIFA</v>
          </cell>
          <cell r="F340" t="str">
            <v>RENDIMIENTO</v>
          </cell>
          <cell r="G340" t="str">
            <v>VR. UNITARIO</v>
          </cell>
        </row>
        <row r="341">
          <cell r="A341" t="str">
            <v>EQ020</v>
          </cell>
          <cell r="B341" t="str">
            <v>RETROEXCAVADORA LLANTA</v>
          </cell>
          <cell r="D341" t="str">
            <v>HORA</v>
          </cell>
          <cell r="E341">
            <v>160000</v>
          </cell>
          <cell r="F341">
            <v>30</v>
          </cell>
          <cell r="G341">
            <v>5333.333333333333</v>
          </cell>
        </row>
        <row r="342">
          <cell r="A342" t="str">
            <v/>
          </cell>
          <cell r="D342" t="str">
            <v/>
          </cell>
          <cell r="E342" t="str">
            <v/>
          </cell>
          <cell r="G342" t="str">
            <v/>
          </cell>
        </row>
        <row r="343">
          <cell r="A343" t="str">
            <v>EQ001</v>
          </cell>
          <cell r="B343" t="str">
            <v>HERRAMIENTA MENOR (5% DE LA MANO DE OBRA)</v>
          </cell>
          <cell r="D343" t="str">
            <v>%</v>
          </cell>
          <cell r="E343">
            <v>0.05</v>
          </cell>
          <cell r="F343">
            <v>15956.190476190477</v>
          </cell>
          <cell r="G343">
            <v>797.80952380952385</v>
          </cell>
        </row>
        <row r="344">
          <cell r="F344" t="str">
            <v>SUBTOTAL</v>
          </cell>
          <cell r="G344">
            <v>6131.1428571428569</v>
          </cell>
        </row>
        <row r="346">
          <cell r="A346" t="str">
            <v>II. MATERIALES</v>
          </cell>
        </row>
        <row r="347">
          <cell r="A347" t="str">
            <v>CÓDIGO</v>
          </cell>
          <cell r="B347" t="str">
            <v>DESCRIPCIÓN</v>
          </cell>
          <cell r="C347" t="str">
            <v>UNIDAD</v>
          </cell>
          <cell r="D347" t="str">
            <v>CANTIDAD</v>
          </cell>
          <cell r="E347" t="str">
            <v>DESP.</v>
          </cell>
          <cell r="F347" t="str">
            <v>PRECIO UNIT.</v>
          </cell>
          <cell r="G347" t="str">
            <v>VR. UNITARIO</v>
          </cell>
        </row>
        <row r="348">
          <cell r="A348" t="str">
            <v/>
          </cell>
          <cell r="C348" t="str">
            <v/>
          </cell>
          <cell r="F348" t="str">
            <v/>
          </cell>
          <cell r="G348" t="str">
            <v/>
          </cell>
        </row>
        <row r="349">
          <cell r="A349" t="str">
            <v/>
          </cell>
          <cell r="C349" t="str">
            <v/>
          </cell>
          <cell r="F349" t="str">
            <v/>
          </cell>
          <cell r="G349" t="str">
            <v/>
          </cell>
        </row>
        <row r="350">
          <cell r="A350" t="str">
            <v/>
          </cell>
          <cell r="C350" t="str">
            <v/>
          </cell>
          <cell r="F350" t="str">
            <v/>
          </cell>
          <cell r="G350" t="str">
            <v/>
          </cell>
        </row>
        <row r="351">
          <cell r="F351" t="str">
            <v>SUBTOTAL</v>
          </cell>
          <cell r="G351" t="str">
            <v/>
          </cell>
        </row>
        <row r="353">
          <cell r="A353" t="str">
            <v>III. TRANSPORTES</v>
          </cell>
        </row>
        <row r="354">
          <cell r="A354" t="str">
            <v>CÓDIGO</v>
          </cell>
          <cell r="B354" t="str">
            <v>DESCRIPCIÓN</v>
          </cell>
          <cell r="C354" t="str">
            <v>TIPO</v>
          </cell>
          <cell r="D354" t="str">
            <v>VOLUMEN/PESO</v>
          </cell>
          <cell r="E354" t="str">
            <v>DISTANCIA</v>
          </cell>
          <cell r="F354" t="str">
            <v>TARIFA</v>
          </cell>
          <cell r="G354" t="str">
            <v>VR. UNITARIO</v>
          </cell>
        </row>
        <row r="355">
          <cell r="A355" t="str">
            <v/>
          </cell>
          <cell r="E355" t="str">
            <v/>
          </cell>
          <cell r="F355" t="str">
            <v/>
          </cell>
          <cell r="G355" t="str">
            <v/>
          </cell>
        </row>
        <row r="356">
          <cell r="A356" t="str">
            <v/>
          </cell>
          <cell r="E356" t="str">
            <v/>
          </cell>
          <cell r="F356" t="str">
            <v/>
          </cell>
          <cell r="G356" t="str">
            <v/>
          </cell>
        </row>
        <row r="357">
          <cell r="A357" t="str">
            <v/>
          </cell>
          <cell r="E357" t="str">
            <v/>
          </cell>
          <cell r="F357" t="str">
            <v/>
          </cell>
          <cell r="G357" t="str">
            <v/>
          </cell>
        </row>
        <row r="358">
          <cell r="F358" t="str">
            <v>SUBTOTAL</v>
          </cell>
          <cell r="G358" t="str">
            <v/>
          </cell>
        </row>
        <row r="360">
          <cell r="A360" t="str">
            <v>IV. MANO DE OBRA</v>
          </cell>
        </row>
        <row r="361">
          <cell r="A361" t="str">
            <v>CÓDIGO</v>
          </cell>
          <cell r="B361" t="str">
            <v>CARGOS PERSONAL</v>
          </cell>
          <cell r="D361" t="str">
            <v>CANTIDAD</v>
          </cell>
          <cell r="E361" t="str">
            <v>JORNAL TOTAL</v>
          </cell>
          <cell r="F361" t="str">
            <v>RENDIMIENTO</v>
          </cell>
          <cell r="G361" t="str">
            <v>VR. UNITARIO</v>
          </cell>
        </row>
        <row r="362">
          <cell r="A362" t="str">
            <v>MO032</v>
          </cell>
          <cell r="B362" t="str">
            <v>AYUDANTE RASO</v>
          </cell>
          <cell r="D362">
            <v>2</v>
          </cell>
          <cell r="E362">
            <v>83770</v>
          </cell>
          <cell r="F362">
            <v>10.5</v>
          </cell>
          <cell r="G362">
            <v>15956.190476190477</v>
          </cell>
        </row>
        <row r="364">
          <cell r="A364" t="str">
            <v/>
          </cell>
          <cell r="E364" t="str">
            <v/>
          </cell>
          <cell r="G364" t="str">
            <v/>
          </cell>
        </row>
        <row r="365">
          <cell r="A365" t="str">
            <v/>
          </cell>
          <cell r="E365" t="str">
            <v/>
          </cell>
          <cell r="F365" t="str">
            <v/>
          </cell>
          <cell r="G365" t="str">
            <v/>
          </cell>
        </row>
        <row r="366">
          <cell r="F366" t="str">
            <v>SUBTOTAL</v>
          </cell>
          <cell r="G366">
            <v>15956.190476190477</v>
          </cell>
        </row>
        <row r="368">
          <cell r="A368" t="str">
            <v>V. SERVICIOS</v>
          </cell>
        </row>
        <row r="369">
          <cell r="A369" t="str">
            <v>CÓDIGO</v>
          </cell>
          <cell r="B369" t="str">
            <v>DESCRIPCIÓN</v>
          </cell>
          <cell r="D369" t="str">
            <v>UNIDAD</v>
          </cell>
          <cell r="E369" t="str">
            <v>CANTIDAD</v>
          </cell>
          <cell r="F369" t="str">
            <v>PRECIO UNIT.</v>
          </cell>
          <cell r="G369" t="str">
            <v>VR. UNITARIO</v>
          </cell>
        </row>
        <row r="370">
          <cell r="A370" t="str">
            <v>SE004</v>
          </cell>
          <cell r="B370" t="str">
            <v>DERECHO A BOTADERO</v>
          </cell>
          <cell r="D370" t="str">
            <v>M3</v>
          </cell>
          <cell r="E370">
            <v>1.3</v>
          </cell>
          <cell r="F370">
            <v>5000</v>
          </cell>
          <cell r="G370">
            <v>6500</v>
          </cell>
        </row>
        <row r="371">
          <cell r="A371" t="str">
            <v/>
          </cell>
          <cell r="D371" t="str">
            <v/>
          </cell>
          <cell r="F371" t="str">
            <v/>
          </cell>
          <cell r="G371" t="str">
            <v/>
          </cell>
        </row>
        <row r="372">
          <cell r="A372" t="str">
            <v/>
          </cell>
          <cell r="D372" t="str">
            <v/>
          </cell>
          <cell r="F372" t="str">
            <v/>
          </cell>
          <cell r="G372" t="str">
            <v/>
          </cell>
        </row>
        <row r="373">
          <cell r="F373" t="str">
            <v>SUBTOTAL</v>
          </cell>
          <cell r="G373">
            <v>6500</v>
          </cell>
        </row>
        <row r="375">
          <cell r="A375" t="str">
            <v>TOTAL COSTO DIRECTO</v>
          </cell>
          <cell r="G375">
            <v>28587</v>
          </cell>
        </row>
        <row r="377">
          <cell r="A377" t="str">
            <v>2. COSTOS INDIRECTOS</v>
          </cell>
        </row>
        <row r="379">
          <cell r="A379" t="str">
            <v>DESCRIPCIÓN</v>
          </cell>
          <cell r="F379" t="str">
            <v>PORCENTAJE</v>
          </cell>
          <cell r="G379" t="str">
            <v>VALOR TOTAL</v>
          </cell>
        </row>
        <row r="380">
          <cell r="A380" t="str">
            <v>ADMINISTRACION</v>
          </cell>
          <cell r="F380">
            <v>0.33389999999999997</v>
          </cell>
          <cell r="G380">
            <v>9545.1992999999984</v>
          </cell>
        </row>
        <row r="381">
          <cell r="A381" t="str">
            <v>IMPREVISTOS</v>
          </cell>
          <cell r="F381" t="str">
            <v/>
          </cell>
          <cell r="G381" t="str">
            <v/>
          </cell>
        </row>
        <row r="382">
          <cell r="A382" t="str">
            <v>UTILIDADES</v>
          </cell>
          <cell r="F382">
            <v>0.05</v>
          </cell>
          <cell r="G382">
            <v>1429.3500000000001</v>
          </cell>
        </row>
        <row r="383">
          <cell r="A383" t="str">
            <v>TOTAL COSTO INDIRECTO</v>
          </cell>
          <cell r="F383">
            <v>0.38389999999999996</v>
          </cell>
          <cell r="G383">
            <v>10975</v>
          </cell>
        </row>
        <row r="385">
          <cell r="A385" t="str">
            <v>PRECIO UNITARIO TOTAL APROXIMADO AL PESO</v>
          </cell>
          <cell r="G385">
            <v>39562</v>
          </cell>
        </row>
        <row r="388">
          <cell r="B388" t="str">
            <v>SECRETARIA DE PLANEACIÓN E INFRAESTRUCTURA</v>
          </cell>
        </row>
        <row r="390">
          <cell r="D390" t="str">
            <v>FIRMA RESPONSABLE</v>
          </cell>
        </row>
        <row r="392">
          <cell r="A392" t="str">
            <v>DEPARTAMENTO DE ANTIOQUIA</v>
          </cell>
          <cell r="F392" t="str">
            <v/>
          </cell>
        </row>
        <row r="393">
          <cell r="A393" t="str">
            <v>MUNICIPIO DE DABEIBA</v>
          </cell>
        </row>
        <row r="394">
          <cell r="A394" t="str">
            <v>MEJORAMIENTO DE LA RED VIAL URBANA EN EL BARRIO SAN ANTONIO DEL MUNICIPIO DE DABEIBA</v>
          </cell>
        </row>
        <row r="396">
          <cell r="A396" t="str">
            <v>ANÁLISIS DE PRECIOS UNITARIOS</v>
          </cell>
        </row>
        <row r="398">
          <cell r="A398" t="str">
            <v>ITEM</v>
          </cell>
          <cell r="B398" t="str">
            <v>DESCRIPCIÓN</v>
          </cell>
          <cell r="E398" t="str">
            <v>UNIDAD</v>
          </cell>
          <cell r="F398" t="str">
            <v>CANTIDAD</v>
          </cell>
          <cell r="G398" t="str">
            <v>COSTO DIRECTO</v>
          </cell>
        </row>
        <row r="399">
          <cell r="A399" t="str">
            <v>4.1</v>
          </cell>
          <cell r="B399" t="str">
            <v>Suministro, transporte y colocación de Entresuelo en piedra rodada de rio Tamaño maximo 1" para cimentación de tubería.</v>
          </cell>
          <cell r="E399" t="str">
            <v>m3</v>
          </cell>
          <cell r="F399">
            <v>76</v>
          </cell>
          <cell r="G399">
            <v>89321</v>
          </cell>
        </row>
        <row r="401">
          <cell r="A401" t="str">
            <v>1. COSTOS DIRECTOS</v>
          </cell>
        </row>
        <row r="403">
          <cell r="A403" t="str">
            <v>I. EQUIPO</v>
          </cell>
        </row>
        <row r="404">
          <cell r="A404" t="str">
            <v>CÓDIGO</v>
          </cell>
          <cell r="B404" t="str">
            <v>DESCRIPCIÓN</v>
          </cell>
          <cell r="D404" t="str">
            <v>UNIDAD</v>
          </cell>
          <cell r="E404" t="str">
            <v>TARIFA</v>
          </cell>
          <cell r="F404" t="str">
            <v>RENDIMIENTO</v>
          </cell>
          <cell r="G404" t="str">
            <v>VR. UNITARIO</v>
          </cell>
        </row>
        <row r="405">
          <cell r="A405" t="str">
            <v/>
          </cell>
          <cell r="D405" t="str">
            <v/>
          </cell>
          <cell r="E405" t="str">
            <v/>
          </cell>
          <cell r="G405" t="str">
            <v/>
          </cell>
        </row>
        <row r="406">
          <cell r="A406" t="str">
            <v/>
          </cell>
          <cell r="D406" t="str">
            <v/>
          </cell>
          <cell r="E406" t="str">
            <v/>
          </cell>
          <cell r="G406" t="str">
            <v/>
          </cell>
        </row>
        <row r="407">
          <cell r="A407" t="str">
            <v>EQ001</v>
          </cell>
          <cell r="B407" t="str">
            <v>HERRAMIENTA MENOR (5% DE LA MANO DE OBRA)</v>
          </cell>
          <cell r="D407" t="str">
            <v>%</v>
          </cell>
          <cell r="E407">
            <v>0.05</v>
          </cell>
          <cell r="F407">
            <v>11967.142857142857</v>
          </cell>
          <cell r="G407">
            <v>598.35714285714289</v>
          </cell>
        </row>
        <row r="408">
          <cell r="F408" t="str">
            <v>SUBTOTAL</v>
          </cell>
          <cell r="G408">
            <v>598.35714285714289</v>
          </cell>
        </row>
        <row r="410">
          <cell r="A410" t="str">
            <v>II. MATERIALES</v>
          </cell>
        </row>
        <row r="411">
          <cell r="A411" t="str">
            <v>CÓDIGO</v>
          </cell>
          <cell r="B411" t="str">
            <v>DESCRIPCIÓN</v>
          </cell>
          <cell r="C411" t="str">
            <v>UNIDAD</v>
          </cell>
          <cell r="D411" t="str">
            <v>CANTIDAD</v>
          </cell>
          <cell r="E411" t="str">
            <v>DESP.</v>
          </cell>
          <cell r="F411" t="str">
            <v>PRECIO UNIT.</v>
          </cell>
          <cell r="G411" t="str">
            <v>VR. UNITARIO</v>
          </cell>
        </row>
        <row r="412">
          <cell r="A412" t="str">
            <v>MA046</v>
          </cell>
          <cell r="B412" t="str">
            <v>PIEDRA RODADA DE RIO TAMAÑO MAXIMO 1"</v>
          </cell>
          <cell r="C412" t="str">
            <v>M3</v>
          </cell>
          <cell r="D412">
            <v>1</v>
          </cell>
          <cell r="E412">
            <v>0.05</v>
          </cell>
          <cell r="F412">
            <v>67000</v>
          </cell>
          <cell r="G412">
            <v>70350</v>
          </cell>
        </row>
        <row r="413">
          <cell r="A413" t="str">
            <v/>
          </cell>
          <cell r="C413" t="str">
            <v/>
          </cell>
          <cell r="F413" t="str">
            <v/>
          </cell>
          <cell r="G413" t="str">
            <v/>
          </cell>
        </row>
        <row r="414">
          <cell r="A414" t="str">
            <v/>
          </cell>
          <cell r="C414" t="str">
            <v/>
          </cell>
          <cell r="F414" t="str">
            <v/>
          </cell>
          <cell r="G414" t="str">
            <v/>
          </cell>
        </row>
        <row r="415">
          <cell r="F415" t="str">
            <v>SUBTOTAL</v>
          </cell>
          <cell r="G415">
            <v>70350</v>
          </cell>
        </row>
        <row r="417">
          <cell r="A417" t="str">
            <v>III. TRANSPORTES</v>
          </cell>
        </row>
        <row r="418">
          <cell r="A418" t="str">
            <v>CÓDIGO</v>
          </cell>
          <cell r="B418" t="str">
            <v>DESCRIPCIÓN</v>
          </cell>
          <cell r="C418" t="str">
            <v>TIPO</v>
          </cell>
          <cell r="D418" t="str">
            <v>VOLUMEN/PESO</v>
          </cell>
          <cell r="E418" t="str">
            <v>DISTANCIA</v>
          </cell>
          <cell r="F418" t="str">
            <v>TARIFA</v>
          </cell>
          <cell r="G418" t="str">
            <v>VR. UNITARIO</v>
          </cell>
        </row>
        <row r="419">
          <cell r="A419" t="str">
            <v>TR002</v>
          </cell>
          <cell r="B419" t="str">
            <v>TRANSPORTE DE MATERIALES DE PLAYA (ARENILLON, PIEDRA RODADA DE RIO DMAX=1") 0-1KM</v>
          </cell>
          <cell r="C419" t="str">
            <v>PLAYA</v>
          </cell>
          <cell r="D419">
            <v>1.05</v>
          </cell>
          <cell r="E419">
            <v>1</v>
          </cell>
          <cell r="F419">
            <v>6100</v>
          </cell>
          <cell r="G419">
            <v>6405</v>
          </cell>
        </row>
        <row r="420">
          <cell r="A420" t="str">
            <v/>
          </cell>
          <cell r="E420" t="str">
            <v/>
          </cell>
          <cell r="F420" t="str">
            <v/>
          </cell>
          <cell r="G420" t="str">
            <v/>
          </cell>
        </row>
        <row r="421">
          <cell r="A421" t="str">
            <v/>
          </cell>
          <cell r="E421" t="str">
            <v/>
          </cell>
          <cell r="F421" t="str">
            <v/>
          </cell>
          <cell r="G421" t="str">
            <v/>
          </cell>
        </row>
        <row r="422">
          <cell r="F422" t="str">
            <v>SUBTOTAL</v>
          </cell>
          <cell r="G422">
            <v>6405</v>
          </cell>
        </row>
        <row r="424">
          <cell r="A424" t="str">
            <v>IV. MANO DE OBRA</v>
          </cell>
        </row>
        <row r="425">
          <cell r="A425" t="str">
            <v>CÓDIGO</v>
          </cell>
          <cell r="B425" t="str">
            <v>CARGOS PERSONAL</v>
          </cell>
          <cell r="D425" t="str">
            <v>CANTIDAD</v>
          </cell>
          <cell r="E425" t="str">
            <v>JORNAL TOTAL</v>
          </cell>
          <cell r="F425" t="str">
            <v>RENDIMIENTO</v>
          </cell>
          <cell r="G425" t="str">
            <v>VR. UNITARIO</v>
          </cell>
        </row>
        <row r="426">
          <cell r="A426" t="str">
            <v>MO032</v>
          </cell>
          <cell r="B426" t="str">
            <v>AYUDANTE RASO</v>
          </cell>
          <cell r="D426">
            <v>2</v>
          </cell>
          <cell r="E426">
            <v>83770</v>
          </cell>
          <cell r="F426">
            <v>14</v>
          </cell>
          <cell r="G426">
            <v>11967.142857142857</v>
          </cell>
        </row>
        <row r="428">
          <cell r="A428" t="str">
            <v/>
          </cell>
          <cell r="E428" t="str">
            <v/>
          </cell>
          <cell r="G428" t="str">
            <v/>
          </cell>
        </row>
        <row r="429">
          <cell r="A429" t="str">
            <v/>
          </cell>
          <cell r="E429" t="str">
            <v/>
          </cell>
          <cell r="F429" t="str">
            <v/>
          </cell>
          <cell r="G429" t="str">
            <v/>
          </cell>
        </row>
        <row r="430">
          <cell r="F430" t="str">
            <v>SUBTOTAL</v>
          </cell>
          <cell r="G430">
            <v>11967.142857142857</v>
          </cell>
        </row>
        <row r="432">
          <cell r="A432" t="str">
            <v>V. SERVICIOS</v>
          </cell>
        </row>
        <row r="433">
          <cell r="A433" t="str">
            <v>CÓDIGO</v>
          </cell>
          <cell r="B433" t="str">
            <v>DESCRIPCIÓN</v>
          </cell>
          <cell r="D433" t="str">
            <v>UNIDAD</v>
          </cell>
          <cell r="E433" t="str">
            <v>CANTIDAD</v>
          </cell>
          <cell r="F433" t="str">
            <v>PRECIO UNIT.</v>
          </cell>
          <cell r="G433" t="str">
            <v>VR. UNITARIO</v>
          </cell>
        </row>
        <row r="434">
          <cell r="A434" t="str">
            <v/>
          </cell>
          <cell r="D434" t="str">
            <v/>
          </cell>
          <cell r="F434" t="str">
            <v/>
          </cell>
          <cell r="G434" t="str">
            <v/>
          </cell>
        </row>
        <row r="435">
          <cell r="A435" t="str">
            <v/>
          </cell>
          <cell r="D435" t="str">
            <v/>
          </cell>
          <cell r="F435" t="str">
            <v/>
          </cell>
          <cell r="G435" t="str">
            <v/>
          </cell>
        </row>
        <row r="436">
          <cell r="A436" t="str">
            <v/>
          </cell>
          <cell r="D436" t="str">
            <v/>
          </cell>
          <cell r="F436" t="str">
            <v/>
          </cell>
          <cell r="G436" t="str">
            <v/>
          </cell>
        </row>
        <row r="437">
          <cell r="F437" t="str">
            <v>SUBTOTAL</v>
          </cell>
          <cell r="G437" t="str">
            <v/>
          </cell>
        </row>
        <row r="439">
          <cell r="A439" t="str">
            <v>TOTAL COSTO DIRECTO</v>
          </cell>
          <cell r="G439">
            <v>89321</v>
          </cell>
        </row>
        <row r="441">
          <cell r="A441" t="str">
            <v>2. COSTOS INDIRECTOS</v>
          </cell>
        </row>
        <row r="443">
          <cell r="A443" t="str">
            <v>DESCRIPCIÓN</v>
          </cell>
          <cell r="F443" t="str">
            <v>PORCENTAJE</v>
          </cell>
          <cell r="G443" t="str">
            <v>VALOR TOTAL</v>
          </cell>
        </row>
        <row r="444">
          <cell r="A444" t="str">
            <v>ADMINISTRACION</v>
          </cell>
          <cell r="F444">
            <v>0.33389999999999997</v>
          </cell>
          <cell r="G444">
            <v>29824.281899999998</v>
          </cell>
        </row>
        <row r="445">
          <cell r="A445" t="str">
            <v>IMPREVISTOS</v>
          </cell>
          <cell r="F445" t="str">
            <v/>
          </cell>
          <cell r="G445" t="str">
            <v/>
          </cell>
        </row>
        <row r="446">
          <cell r="A446" t="str">
            <v>UTILIDADES</v>
          </cell>
          <cell r="F446">
            <v>0.05</v>
          </cell>
          <cell r="G446">
            <v>4466.05</v>
          </cell>
        </row>
        <row r="447">
          <cell r="A447" t="str">
            <v>TOTAL COSTO INDIRECTO</v>
          </cell>
          <cell r="F447">
            <v>0.38389999999999996</v>
          </cell>
          <cell r="G447">
            <v>34290</v>
          </cell>
        </row>
        <row r="449">
          <cell r="A449" t="str">
            <v>PRECIO UNITARIO TOTAL APROXIMADO AL PESO</v>
          </cell>
          <cell r="G449">
            <v>123611</v>
          </cell>
        </row>
        <row r="452">
          <cell r="B452" t="str">
            <v>SECRETARIA DE PLANEACIÓN E INFRAESTRUCTURA</v>
          </cell>
        </row>
        <row r="454">
          <cell r="D454" t="str">
            <v>FIRMA RESPONSABLE</v>
          </cell>
        </row>
        <row r="456">
          <cell r="A456" t="str">
            <v>DEPARTAMENTO DE ANTIOQUIA</v>
          </cell>
          <cell r="F456" t="str">
            <v/>
          </cell>
        </row>
        <row r="457">
          <cell r="A457" t="str">
            <v>MUNICIPIO DE DABEIBA</v>
          </cell>
        </row>
        <row r="458">
          <cell r="A458" t="str">
            <v>MEJORAMIENTO DE LA RED VIAL URBANA EN EL BARRIO SAN ANTONIO DEL MUNICIPIO DE DABEIBA</v>
          </cell>
        </row>
        <row r="460">
          <cell r="A460" t="str">
            <v>ANÁLISIS DE PRECIOS UNITARIOS</v>
          </cell>
        </row>
        <row r="462">
          <cell r="A462" t="str">
            <v>ITEM</v>
          </cell>
          <cell r="B462" t="str">
            <v>DESCRIPCIÓN</v>
          </cell>
          <cell r="E462" t="str">
            <v>UNIDAD</v>
          </cell>
          <cell r="F462" t="str">
            <v>CANTIDAD</v>
          </cell>
          <cell r="G462" t="str">
            <v>COSTO DIRECTO</v>
          </cell>
        </row>
        <row r="463">
          <cell r="A463" t="str">
            <v>3.4</v>
          </cell>
          <cell r="B463" t="str">
            <v xml:space="preserve">Entibados temporal en tablón de madera para excavaciones bajo cualquier altura y grado de humedad. Incluye suminstro, transporte y colocación. </v>
          </cell>
          <cell r="E463" t="str">
            <v>m2</v>
          </cell>
          <cell r="F463">
            <v>385</v>
          </cell>
          <cell r="G463">
            <v>53481</v>
          </cell>
        </row>
        <row r="465">
          <cell r="A465" t="str">
            <v>1. COSTOS DIRECTOS</v>
          </cell>
        </row>
        <row r="467">
          <cell r="A467" t="str">
            <v>I. EQUIPO</v>
          </cell>
        </row>
        <row r="468">
          <cell r="A468" t="str">
            <v>CÓDIGO</v>
          </cell>
          <cell r="B468" t="str">
            <v>DESCRIPCIÓN</v>
          </cell>
          <cell r="D468" t="str">
            <v>UNIDAD</v>
          </cell>
          <cell r="E468" t="str">
            <v>TARIFA</v>
          </cell>
          <cell r="F468" t="str">
            <v>RENDIMIENTO</v>
          </cell>
          <cell r="G468" t="str">
            <v>VR. UNITARIO</v>
          </cell>
        </row>
        <row r="469">
          <cell r="A469" t="str">
            <v/>
          </cell>
          <cell r="D469" t="str">
            <v/>
          </cell>
          <cell r="E469" t="str">
            <v/>
          </cell>
          <cell r="G469" t="str">
            <v/>
          </cell>
        </row>
        <row r="470">
          <cell r="A470" t="str">
            <v/>
          </cell>
          <cell r="D470" t="str">
            <v/>
          </cell>
          <cell r="E470" t="str">
            <v/>
          </cell>
          <cell r="G470" t="str">
            <v/>
          </cell>
        </row>
        <row r="471">
          <cell r="A471" t="str">
            <v>EQ001</v>
          </cell>
          <cell r="B471" t="str">
            <v>HERRAMIENTA MENOR (5% DE LA MANO DE OBRA)</v>
          </cell>
          <cell r="D471" t="str">
            <v>%</v>
          </cell>
          <cell r="E471">
            <v>0.05</v>
          </cell>
          <cell r="F471">
            <v>22684.583333333332</v>
          </cell>
          <cell r="G471">
            <v>1134.2291666666667</v>
          </cell>
        </row>
        <row r="472">
          <cell r="F472" t="str">
            <v>SUBTOTAL</v>
          </cell>
          <cell r="G472">
            <v>1134.2291666666667</v>
          </cell>
        </row>
        <row r="474">
          <cell r="A474" t="str">
            <v>II. MATERIALES</v>
          </cell>
        </row>
        <row r="475">
          <cell r="A475" t="str">
            <v>CÓDIGO</v>
          </cell>
          <cell r="B475" t="str">
            <v>DESCRIPCIÓN</v>
          </cell>
          <cell r="C475" t="str">
            <v>UNIDAD</v>
          </cell>
          <cell r="D475" t="str">
            <v>CANTIDAD</v>
          </cell>
          <cell r="E475" t="str">
            <v>DESP.</v>
          </cell>
          <cell r="F475" t="str">
            <v>PRECIO UNIT.</v>
          </cell>
          <cell r="G475" t="str">
            <v>VR. UNITARIO</v>
          </cell>
        </row>
        <row r="476">
          <cell r="A476" t="str">
            <v>MA044</v>
          </cell>
          <cell r="B476" t="str">
            <v>CAN EN MADERA PARA ENTIBADO</v>
          </cell>
          <cell r="C476" t="str">
            <v>UN</v>
          </cell>
          <cell r="D476">
            <v>1</v>
          </cell>
          <cell r="E476">
            <v>0.05</v>
          </cell>
          <cell r="F476">
            <v>16000</v>
          </cell>
          <cell r="G476">
            <v>16800</v>
          </cell>
        </row>
        <row r="477">
          <cell r="A477" t="str">
            <v>MA045</v>
          </cell>
          <cell r="B477" t="str">
            <v>TABLA EN MADERA DE 18cmx2.5cmx3.0cm</v>
          </cell>
          <cell r="C477" t="str">
            <v>UN</v>
          </cell>
          <cell r="D477">
            <v>1</v>
          </cell>
          <cell r="E477">
            <v>0.05</v>
          </cell>
          <cell r="F477">
            <v>12000</v>
          </cell>
          <cell r="G477">
            <v>12600</v>
          </cell>
        </row>
        <row r="478">
          <cell r="A478" t="str">
            <v>MA032</v>
          </cell>
          <cell r="B478" t="str">
            <v>CLAVOS COMUNES 1½ A 3½"</v>
          </cell>
          <cell r="C478" t="str">
            <v>LB</v>
          </cell>
          <cell r="D478">
            <v>0.1</v>
          </cell>
          <cell r="E478">
            <v>0.05</v>
          </cell>
          <cell r="F478">
            <v>2500</v>
          </cell>
          <cell r="G478">
            <v>262.5</v>
          </cell>
        </row>
        <row r="479">
          <cell r="F479" t="str">
            <v>SUBTOTAL</v>
          </cell>
          <cell r="G479">
            <v>29662.5</v>
          </cell>
        </row>
        <row r="481">
          <cell r="A481" t="str">
            <v>III. TRANSPORTES</v>
          </cell>
        </row>
        <row r="482">
          <cell r="A482" t="str">
            <v>CÓDIGO</v>
          </cell>
          <cell r="B482" t="str">
            <v>DESCRIPCIÓN</v>
          </cell>
          <cell r="C482" t="str">
            <v>TIPO</v>
          </cell>
          <cell r="D482" t="str">
            <v>VOLUMEN/PESO</v>
          </cell>
          <cell r="E482" t="str">
            <v>DISTANCIA</v>
          </cell>
          <cell r="F482" t="str">
            <v>TARIFA</v>
          </cell>
          <cell r="G482" t="str">
            <v>VR. UNITARIO</v>
          </cell>
        </row>
        <row r="483">
          <cell r="A483" t="str">
            <v/>
          </cell>
          <cell r="E483" t="str">
            <v/>
          </cell>
          <cell r="F483" t="str">
            <v/>
          </cell>
          <cell r="G483" t="str">
            <v/>
          </cell>
        </row>
        <row r="484">
          <cell r="A484" t="str">
            <v/>
          </cell>
          <cell r="E484" t="str">
            <v/>
          </cell>
          <cell r="F484" t="str">
            <v/>
          </cell>
          <cell r="G484" t="str">
            <v/>
          </cell>
        </row>
        <row r="485">
          <cell r="A485" t="str">
            <v/>
          </cell>
          <cell r="E485" t="str">
            <v/>
          </cell>
          <cell r="F485" t="str">
            <v/>
          </cell>
          <cell r="G485" t="str">
            <v/>
          </cell>
        </row>
        <row r="486">
          <cell r="F486" t="str">
            <v>SUBTOTAL</v>
          </cell>
          <cell r="G486" t="str">
            <v/>
          </cell>
        </row>
        <row r="488">
          <cell r="A488" t="str">
            <v>IV. MANO DE OBRA</v>
          </cell>
        </row>
        <row r="489">
          <cell r="A489" t="str">
            <v>CÓDIGO</v>
          </cell>
          <cell r="B489" t="str">
            <v>CARGOS PERSONAL</v>
          </cell>
          <cell r="D489" t="str">
            <v>CANTIDAD</v>
          </cell>
          <cell r="E489" t="str">
            <v>JORNAL TOTAL</v>
          </cell>
          <cell r="F489" t="str">
            <v>RENDIMIENTO</v>
          </cell>
          <cell r="G489" t="str">
            <v>VR. UNITARIO</v>
          </cell>
        </row>
        <row r="490">
          <cell r="A490" t="str">
            <v>MO031</v>
          </cell>
          <cell r="B490" t="str">
            <v>AYUDANTE ENTENDIDO</v>
          </cell>
          <cell r="D490">
            <v>1</v>
          </cell>
          <cell r="E490">
            <v>104675</v>
          </cell>
          <cell r="F490">
            <v>12</v>
          </cell>
          <cell r="G490">
            <v>8722.9166666666661</v>
          </cell>
        </row>
        <row r="491">
          <cell r="A491" t="str">
            <v>MO032</v>
          </cell>
          <cell r="B491" t="str">
            <v>AYUDANTE RASO</v>
          </cell>
          <cell r="D491">
            <v>2</v>
          </cell>
          <cell r="E491">
            <v>83770</v>
          </cell>
          <cell r="F491">
            <v>12</v>
          </cell>
          <cell r="G491">
            <v>13961.666666666666</v>
          </cell>
        </row>
        <row r="492">
          <cell r="A492" t="str">
            <v/>
          </cell>
          <cell r="E492" t="str">
            <v/>
          </cell>
          <cell r="G492" t="str">
            <v/>
          </cell>
        </row>
        <row r="493">
          <cell r="A493" t="str">
            <v/>
          </cell>
          <cell r="E493" t="str">
            <v/>
          </cell>
          <cell r="F493" t="str">
            <v/>
          </cell>
          <cell r="G493" t="str">
            <v/>
          </cell>
        </row>
        <row r="494">
          <cell r="F494" t="str">
            <v>SUBTOTAL</v>
          </cell>
          <cell r="G494">
            <v>22684.583333333332</v>
          </cell>
        </row>
        <row r="496">
          <cell r="A496" t="str">
            <v>V. SERVICIOS</v>
          </cell>
        </row>
        <row r="497">
          <cell r="A497" t="str">
            <v>CÓDIGO</v>
          </cell>
          <cell r="B497" t="str">
            <v>DESCRIPCIÓN</v>
          </cell>
          <cell r="D497" t="str">
            <v>UNIDAD</v>
          </cell>
          <cell r="E497" t="str">
            <v>CANTIDAD</v>
          </cell>
          <cell r="F497" t="str">
            <v>PRECIO UNIT.</v>
          </cell>
          <cell r="G497" t="str">
            <v>VR. UNITARIO</v>
          </cell>
        </row>
        <row r="498">
          <cell r="A498" t="str">
            <v/>
          </cell>
          <cell r="D498" t="str">
            <v/>
          </cell>
          <cell r="F498" t="str">
            <v/>
          </cell>
          <cell r="G498" t="str">
            <v/>
          </cell>
        </row>
        <row r="499">
          <cell r="A499" t="str">
            <v/>
          </cell>
          <cell r="D499" t="str">
            <v/>
          </cell>
          <cell r="F499" t="str">
            <v/>
          </cell>
          <cell r="G499" t="str">
            <v/>
          </cell>
        </row>
        <row r="500">
          <cell r="A500" t="str">
            <v/>
          </cell>
          <cell r="D500" t="str">
            <v/>
          </cell>
          <cell r="F500" t="str">
            <v/>
          </cell>
          <cell r="G500" t="str">
            <v/>
          </cell>
        </row>
        <row r="501">
          <cell r="F501" t="str">
            <v>SUBTOTAL</v>
          </cell>
          <cell r="G501" t="str">
            <v/>
          </cell>
        </row>
        <row r="503">
          <cell r="A503" t="str">
            <v>TOTAL COSTO DIRECTO</v>
          </cell>
          <cell r="G503">
            <v>53481</v>
          </cell>
        </row>
        <row r="505">
          <cell r="A505" t="str">
            <v>2. COSTOS INDIRECTOS</v>
          </cell>
        </row>
        <row r="507">
          <cell r="A507" t="str">
            <v>DESCRIPCIÓN</v>
          </cell>
          <cell r="F507" t="str">
            <v>PORCENTAJE</v>
          </cell>
          <cell r="G507" t="str">
            <v>VALOR TOTAL</v>
          </cell>
        </row>
        <row r="508">
          <cell r="A508" t="str">
            <v>ADMINISTRACION</v>
          </cell>
          <cell r="F508">
            <v>0.33389999999999997</v>
          </cell>
          <cell r="G508">
            <v>17857.305899999999</v>
          </cell>
        </row>
        <row r="509">
          <cell r="A509" t="str">
            <v>IMPREVISTOS</v>
          </cell>
          <cell r="F509" t="str">
            <v/>
          </cell>
          <cell r="G509" t="str">
            <v/>
          </cell>
        </row>
        <row r="510">
          <cell r="A510" t="str">
            <v>UTILIDADES</v>
          </cell>
          <cell r="F510">
            <v>0.05</v>
          </cell>
          <cell r="G510">
            <v>2674.05</v>
          </cell>
        </row>
        <row r="511">
          <cell r="A511" t="str">
            <v>TOTAL COSTO INDIRECTO</v>
          </cell>
          <cell r="F511">
            <v>0.38389999999999996</v>
          </cell>
          <cell r="G511">
            <v>20531</v>
          </cell>
        </row>
        <row r="513">
          <cell r="A513" t="str">
            <v>PRECIO UNITARIO TOTAL APROXIMADO AL PESO</v>
          </cell>
          <cell r="G513">
            <v>74012</v>
          </cell>
        </row>
        <row r="515">
          <cell r="B515" t="str">
            <v>YOLANY DIAZ HERNANDEZ</v>
          </cell>
        </row>
        <row r="516">
          <cell r="B516" t="str">
            <v>SECRETARIA DE PLANEACIÓN E INFRAESTRUCTURA</v>
          </cell>
        </row>
        <row r="518">
          <cell r="D518" t="str">
            <v>FIRMA RESPONSABLE</v>
          </cell>
        </row>
        <row r="520">
          <cell r="A520" t="str">
            <v>DEPARTAMENTO DE ANTIOQUIA</v>
          </cell>
          <cell r="F520" t="str">
            <v/>
          </cell>
        </row>
        <row r="521">
          <cell r="A521" t="str">
            <v>MUNICIPIO DE DABEIBA</v>
          </cell>
        </row>
        <row r="522">
          <cell r="A522" t="str">
            <v>MEJORAMIENTO DE LA RED VIAL URBANA EN EL BARRIO SAN ANTONIO DEL MUNICIPIO DE DABEIBA</v>
          </cell>
        </row>
        <row r="524">
          <cell r="A524" t="str">
            <v>ANÁLISIS DE PRECIOS UNITARIOS</v>
          </cell>
        </row>
        <row r="526">
          <cell r="A526" t="str">
            <v>ITEM</v>
          </cell>
          <cell r="B526" t="str">
            <v>DESCRIPCIÓN</v>
          </cell>
          <cell r="E526" t="str">
            <v>UNIDAD</v>
          </cell>
          <cell r="F526" t="str">
            <v>CANTIDAD</v>
          </cell>
          <cell r="G526" t="str">
            <v>COSTO DIRECTO</v>
          </cell>
        </row>
        <row r="527">
          <cell r="A527" t="str">
            <v>4.2</v>
          </cell>
          <cell r="B527" t="str">
            <v>Suministro y colocación de llenos con material de préstamo, compactados mecánicamente hasta obtener una densidad del 90% de la máxima obtenida en el ensayo del próctor modificado. No incluye transporte</v>
          </cell>
          <cell r="E527" t="str">
            <v>m3</v>
          </cell>
          <cell r="F527">
            <v>113</v>
          </cell>
          <cell r="G527">
            <v>45442</v>
          </cell>
        </row>
        <row r="529">
          <cell r="A529" t="str">
            <v>1. COSTOS DIRECTOS</v>
          </cell>
        </row>
        <row r="531">
          <cell r="A531" t="str">
            <v>I. EQUIPO</v>
          </cell>
        </row>
        <row r="532">
          <cell r="A532" t="str">
            <v>CÓDIGO</v>
          </cell>
          <cell r="B532" t="str">
            <v>DESCRIPCIÓN</v>
          </cell>
          <cell r="D532" t="str">
            <v>UNIDAD</v>
          </cell>
          <cell r="E532" t="str">
            <v>TARIFA</v>
          </cell>
          <cell r="F532" t="str">
            <v>RENDIMIENTO</v>
          </cell>
          <cell r="G532" t="str">
            <v>VR. UNITARIO</v>
          </cell>
        </row>
        <row r="533">
          <cell r="A533" t="str">
            <v>EQ019</v>
          </cell>
          <cell r="B533" t="str">
            <v>COMPACTADOR TIPO RANA A GASOLINA (INCLUYE COMBUSTIBLE)</v>
          </cell>
          <cell r="D533" t="str">
            <v>DÍA</v>
          </cell>
          <cell r="E533">
            <v>65000</v>
          </cell>
          <cell r="F533">
            <v>10</v>
          </cell>
          <cell r="G533">
            <v>6500</v>
          </cell>
        </row>
        <row r="534">
          <cell r="A534" t="str">
            <v/>
          </cell>
          <cell r="D534" t="str">
            <v/>
          </cell>
          <cell r="E534" t="str">
            <v/>
          </cell>
          <cell r="G534" t="str">
            <v/>
          </cell>
        </row>
        <row r="535">
          <cell r="A535" t="str">
            <v>EQ001</v>
          </cell>
          <cell r="B535" t="str">
            <v>HERRAMIENTA MENOR (5% DE LA MANO DE OBRA)</v>
          </cell>
          <cell r="D535" t="str">
            <v>%</v>
          </cell>
          <cell r="E535">
            <v>0.05</v>
          </cell>
          <cell r="F535">
            <v>16754</v>
          </cell>
          <cell r="G535">
            <v>837.7</v>
          </cell>
        </row>
        <row r="536">
          <cell r="F536" t="str">
            <v>SUBTOTAL</v>
          </cell>
          <cell r="G536">
            <v>7337.7</v>
          </cell>
        </row>
        <row r="538">
          <cell r="A538" t="str">
            <v>II. MATERIALES</v>
          </cell>
        </row>
        <row r="539">
          <cell r="A539" t="str">
            <v>CÓDIGO</v>
          </cell>
          <cell r="B539" t="str">
            <v>DESCRIPCIÓN</v>
          </cell>
          <cell r="C539" t="str">
            <v>UNIDAD</v>
          </cell>
          <cell r="D539" t="str">
            <v>CANTIDAD</v>
          </cell>
          <cell r="E539" t="str">
            <v>DESP.</v>
          </cell>
          <cell r="F539" t="str">
            <v>PRECIO UNIT.</v>
          </cell>
          <cell r="G539" t="str">
            <v>VR. UNITARIO</v>
          </cell>
        </row>
        <row r="540">
          <cell r="A540" t="str">
            <v>MA047</v>
          </cell>
          <cell r="B540" t="str">
            <v>AFIRMADO - MATERIAL DE PRESTAMO</v>
          </cell>
          <cell r="C540" t="str">
            <v>M3</v>
          </cell>
          <cell r="D540">
            <v>1.3</v>
          </cell>
          <cell r="E540">
            <v>0.05</v>
          </cell>
          <cell r="F540">
            <v>15000</v>
          </cell>
          <cell r="G540">
            <v>20475</v>
          </cell>
        </row>
        <row r="541">
          <cell r="A541" t="str">
            <v/>
          </cell>
          <cell r="C541" t="str">
            <v/>
          </cell>
          <cell r="F541" t="str">
            <v/>
          </cell>
          <cell r="G541" t="str">
            <v/>
          </cell>
        </row>
        <row r="542">
          <cell r="A542" t="str">
            <v/>
          </cell>
          <cell r="C542" t="str">
            <v/>
          </cell>
          <cell r="F542" t="str">
            <v/>
          </cell>
          <cell r="G542" t="str">
            <v/>
          </cell>
        </row>
        <row r="543">
          <cell r="F543" t="str">
            <v>SUBTOTAL</v>
          </cell>
          <cell r="G543">
            <v>20475</v>
          </cell>
        </row>
        <row r="545">
          <cell r="A545" t="str">
            <v>III. TRANSPORTES</v>
          </cell>
        </row>
        <row r="546">
          <cell r="A546" t="str">
            <v>CÓDIGO</v>
          </cell>
          <cell r="B546" t="str">
            <v>DESCRIPCIÓN</v>
          </cell>
          <cell r="C546" t="str">
            <v>TIPO</v>
          </cell>
          <cell r="D546" t="str">
            <v>VOLUMEN/PESO</v>
          </cell>
          <cell r="E546" t="str">
            <v>DISTANCIA</v>
          </cell>
          <cell r="F546" t="str">
            <v>TARIFA</v>
          </cell>
          <cell r="G546" t="str">
            <v>VR. UNITARIO</v>
          </cell>
        </row>
        <row r="547">
          <cell r="A547" t="str">
            <v/>
          </cell>
          <cell r="F547" t="str">
            <v/>
          </cell>
          <cell r="G547" t="str">
            <v/>
          </cell>
        </row>
        <row r="548">
          <cell r="A548" t="str">
            <v/>
          </cell>
          <cell r="E548" t="str">
            <v/>
          </cell>
          <cell r="F548" t="str">
            <v/>
          </cell>
          <cell r="G548" t="str">
            <v/>
          </cell>
        </row>
        <row r="549">
          <cell r="A549" t="str">
            <v/>
          </cell>
          <cell r="E549" t="str">
            <v/>
          </cell>
          <cell r="F549" t="str">
            <v/>
          </cell>
          <cell r="G549" t="str">
            <v/>
          </cell>
        </row>
        <row r="550">
          <cell r="F550" t="str">
            <v>SUBTOTAL</v>
          </cell>
          <cell r="G550" t="str">
            <v/>
          </cell>
        </row>
        <row r="552">
          <cell r="A552" t="str">
            <v>IV. MANO DE OBRA</v>
          </cell>
        </row>
        <row r="553">
          <cell r="A553" t="str">
            <v>CÓDIGO</v>
          </cell>
          <cell r="B553" t="str">
            <v>CARGOS PERSONAL</v>
          </cell>
          <cell r="D553" t="str">
            <v>CANTIDAD</v>
          </cell>
          <cell r="E553" t="str">
            <v>JORNAL TOTAL</v>
          </cell>
          <cell r="F553" t="str">
            <v>RENDIMIENTO</v>
          </cell>
          <cell r="G553" t="str">
            <v>VR. UNITARIO</v>
          </cell>
        </row>
        <row r="554">
          <cell r="A554" t="str">
            <v>MO032</v>
          </cell>
          <cell r="B554" t="str">
            <v>AYUDANTE RASO</v>
          </cell>
          <cell r="D554">
            <v>2</v>
          </cell>
          <cell r="E554">
            <v>83770</v>
          </cell>
          <cell r="F554">
            <v>10</v>
          </cell>
          <cell r="G554">
            <v>16754</v>
          </cell>
        </row>
        <row r="555">
          <cell r="A555" t="str">
            <v/>
          </cell>
          <cell r="E555" t="str">
            <v/>
          </cell>
          <cell r="G555" t="str">
            <v/>
          </cell>
        </row>
        <row r="556">
          <cell r="A556" t="str">
            <v/>
          </cell>
          <cell r="E556" t="str">
            <v/>
          </cell>
          <cell r="G556" t="str">
            <v/>
          </cell>
        </row>
        <row r="557">
          <cell r="A557" t="str">
            <v/>
          </cell>
          <cell r="E557" t="str">
            <v/>
          </cell>
          <cell r="F557" t="str">
            <v/>
          </cell>
          <cell r="G557" t="str">
            <v/>
          </cell>
        </row>
        <row r="558">
          <cell r="F558" t="str">
            <v>SUBTOTAL</v>
          </cell>
          <cell r="G558">
            <v>16754</v>
          </cell>
        </row>
        <row r="560">
          <cell r="A560" t="str">
            <v>V. SERVICIOS</v>
          </cell>
        </row>
        <row r="561">
          <cell r="A561" t="str">
            <v>CÓDIGO</v>
          </cell>
          <cell r="B561" t="str">
            <v>DESCRIPCIÓN</v>
          </cell>
          <cell r="D561" t="str">
            <v>UNIDAD</v>
          </cell>
          <cell r="E561" t="str">
            <v>CANTIDAD</v>
          </cell>
          <cell r="F561" t="str">
            <v>PRECIO UNIT.</v>
          </cell>
          <cell r="G561" t="str">
            <v>VR. UNITARIO</v>
          </cell>
        </row>
        <row r="562">
          <cell r="A562" t="str">
            <v>SEL004</v>
          </cell>
          <cell r="B562" t="str">
            <v>Relaciones de humedad - masa unitaria seca en los suelos (ensayo modificado de compactación - Proctor Modificado) con corrección del peso unitario y contenido de agua</v>
          </cell>
          <cell r="D562" t="str">
            <v>UN</v>
          </cell>
          <cell r="E562">
            <v>5.9523809523809521E-3</v>
          </cell>
          <cell r="F562">
            <v>147000</v>
          </cell>
          <cell r="G562">
            <v>875</v>
          </cell>
        </row>
        <row r="563">
          <cell r="A563" t="str">
            <v/>
          </cell>
          <cell r="D563" t="str">
            <v/>
          </cell>
          <cell r="F563" t="str">
            <v/>
          </cell>
          <cell r="G563" t="str">
            <v/>
          </cell>
        </row>
        <row r="564">
          <cell r="A564" t="str">
            <v/>
          </cell>
          <cell r="D564" t="str">
            <v/>
          </cell>
          <cell r="F564" t="str">
            <v/>
          </cell>
          <cell r="G564" t="str">
            <v/>
          </cell>
        </row>
        <row r="565">
          <cell r="F565" t="str">
            <v>SUBTOTAL</v>
          </cell>
          <cell r="G565">
            <v>875</v>
          </cell>
        </row>
        <row r="567">
          <cell r="A567" t="str">
            <v>TOTAL COSTO DIRECTO</v>
          </cell>
          <cell r="G567">
            <v>45442</v>
          </cell>
        </row>
        <row r="569">
          <cell r="A569" t="str">
            <v>2. COSTOS INDIRECTOS</v>
          </cell>
        </row>
        <row r="571">
          <cell r="A571" t="str">
            <v>DESCRIPCIÓN</v>
          </cell>
          <cell r="F571" t="str">
            <v>PORCENTAJE</v>
          </cell>
          <cell r="G571" t="str">
            <v>VALOR TOTAL</v>
          </cell>
        </row>
        <row r="572">
          <cell r="A572" t="str">
            <v>ADMINISTRACION</v>
          </cell>
          <cell r="F572">
            <v>0.33389999999999997</v>
          </cell>
          <cell r="G572">
            <v>15173.083799999999</v>
          </cell>
        </row>
        <row r="573">
          <cell r="A573" t="str">
            <v>IMPREVISTOS</v>
          </cell>
          <cell r="F573" t="str">
            <v/>
          </cell>
          <cell r="G573" t="str">
            <v/>
          </cell>
        </row>
        <row r="574">
          <cell r="A574" t="str">
            <v>UTILIDADES</v>
          </cell>
          <cell r="F574">
            <v>0.05</v>
          </cell>
          <cell r="G574">
            <v>2272.1</v>
          </cell>
        </row>
        <row r="575">
          <cell r="A575" t="str">
            <v>TOTAL COSTO INDIRECTO</v>
          </cell>
          <cell r="F575">
            <v>0.38389999999999996</v>
          </cell>
          <cell r="G575">
            <v>17445</v>
          </cell>
        </row>
        <row r="577">
          <cell r="A577" t="str">
            <v>PRECIO UNITARIO TOTAL APROXIMADO AL PESO</v>
          </cell>
          <cell r="G577">
            <v>62887</v>
          </cell>
        </row>
        <row r="580">
          <cell r="B580" t="str">
            <v>SECRETARIA DE PLANEACIÓN E INFRAESTRUCTURA</v>
          </cell>
        </row>
        <row r="582">
          <cell r="D582" t="str">
            <v>FIRMA RESPONSABLE</v>
          </cell>
        </row>
        <row r="584">
          <cell r="A584" t="str">
            <v>DEPARTAMENTO DE ANTIOQUIA</v>
          </cell>
          <cell r="F584" t="str">
            <v/>
          </cell>
        </row>
        <row r="585">
          <cell r="A585" t="str">
            <v>MUNICIPIO DE DABEIBA</v>
          </cell>
        </row>
        <row r="586">
          <cell r="A586" t="str">
            <v>MEJORAMIENTO DE LA RED VIAL URBANA EN EL BARRIO SAN ANTONIO DEL MUNICIPIO DE DABEIBA</v>
          </cell>
        </row>
        <row r="588">
          <cell r="A588" t="str">
            <v>ANÁLISIS DE PRECIOS UNITARIOS</v>
          </cell>
        </row>
        <row r="590">
          <cell r="A590" t="str">
            <v>ITEM</v>
          </cell>
          <cell r="B590" t="str">
            <v>DESCRIPCIÓN</v>
          </cell>
          <cell r="E590" t="str">
            <v>UNIDAD</v>
          </cell>
          <cell r="F590" t="str">
            <v>CANTIDAD</v>
          </cell>
          <cell r="G590" t="str">
            <v>COSTO DIRECTO</v>
          </cell>
        </row>
        <row r="591">
          <cell r="A591" t="str">
            <v>4.3</v>
          </cell>
          <cell r="B591" t="str">
            <v>Suministro, colocación, conformación y compactación de Sub-base granular . Compactación hasta obtener una densidad mínima del 95%, de la obtenida en el ensayo del Proctor modificado. No incluye transporte</v>
          </cell>
          <cell r="E591" t="str">
            <v>m3</v>
          </cell>
          <cell r="F591">
            <v>583</v>
          </cell>
          <cell r="G591">
            <v>84208</v>
          </cell>
        </row>
        <row r="593">
          <cell r="A593" t="str">
            <v>1. COSTOS DIRECTOS</v>
          </cell>
        </row>
        <row r="595">
          <cell r="A595" t="str">
            <v>I. EQUIPO</v>
          </cell>
        </row>
        <row r="596">
          <cell r="A596" t="str">
            <v>CÓDIGO</v>
          </cell>
          <cell r="B596" t="str">
            <v>DESCRIPCIÓN</v>
          </cell>
          <cell r="D596" t="str">
            <v>UNIDAD</v>
          </cell>
          <cell r="E596" t="str">
            <v>TARIFA</v>
          </cell>
          <cell r="F596" t="str">
            <v>RENDIMIENTO</v>
          </cell>
          <cell r="G596" t="str">
            <v>VR. UNITARIO</v>
          </cell>
        </row>
        <row r="597">
          <cell r="A597" t="str">
            <v>EQ021</v>
          </cell>
          <cell r="B597" t="str">
            <v>COMPACTADOR VIBRATORIO 11 TON.</v>
          </cell>
          <cell r="D597" t="str">
            <v>HORA</v>
          </cell>
          <cell r="E597">
            <v>175000</v>
          </cell>
          <cell r="F597">
            <v>43.75</v>
          </cell>
          <cell r="G597">
            <v>4000</v>
          </cell>
        </row>
        <row r="598">
          <cell r="A598" t="str">
            <v>EQ017</v>
          </cell>
          <cell r="B598" t="str">
            <v>MOTONIVELADORA CATERPILLAR 120 - 140</v>
          </cell>
          <cell r="D598" t="str">
            <v>HORA</v>
          </cell>
          <cell r="E598">
            <v>180000</v>
          </cell>
          <cell r="F598">
            <v>43.75</v>
          </cell>
          <cell r="G598">
            <v>4114.2857142857147</v>
          </cell>
        </row>
        <row r="599">
          <cell r="A599" t="str">
            <v>EQ001</v>
          </cell>
          <cell r="B599" t="str">
            <v>HERRAMIENTA MENOR (5% DE LA MANO DE OBRA)</v>
          </cell>
          <cell r="D599" t="str">
            <v>%</v>
          </cell>
          <cell r="E599">
            <v>0.05</v>
          </cell>
          <cell r="F599">
            <v>917.12857142857138</v>
          </cell>
          <cell r="G599">
            <v>45.856428571428573</v>
          </cell>
        </row>
        <row r="600">
          <cell r="F600" t="str">
            <v>SUBTOTAL</v>
          </cell>
          <cell r="G600">
            <v>8160.142142857143</v>
          </cell>
        </row>
        <row r="602">
          <cell r="A602" t="str">
            <v>II. MATERIALES</v>
          </cell>
        </row>
        <row r="603">
          <cell r="A603" t="str">
            <v>CÓDIGO</v>
          </cell>
          <cell r="B603" t="str">
            <v>DESCRIPCIÓN</v>
          </cell>
          <cell r="C603" t="str">
            <v>UNIDAD</v>
          </cell>
          <cell r="D603" t="str">
            <v>CANTIDAD</v>
          </cell>
          <cell r="E603" t="str">
            <v>DESP.</v>
          </cell>
          <cell r="F603" t="str">
            <v>PRECIO UNIT.</v>
          </cell>
          <cell r="G603" t="str">
            <v>VR. UNITARIO</v>
          </cell>
        </row>
        <row r="604">
          <cell r="A604" t="str">
            <v>MA026</v>
          </cell>
          <cell r="B604" t="str">
            <v>SUBBASE GRANULAR</v>
          </cell>
          <cell r="C604" t="str">
            <v>M3</v>
          </cell>
          <cell r="D604">
            <v>1.3</v>
          </cell>
          <cell r="E604">
            <v>0.05</v>
          </cell>
          <cell r="F604">
            <v>54400</v>
          </cell>
          <cell r="G604">
            <v>74256</v>
          </cell>
        </row>
        <row r="605">
          <cell r="A605" t="str">
            <v/>
          </cell>
          <cell r="C605" t="str">
            <v/>
          </cell>
          <cell r="F605" t="str">
            <v/>
          </cell>
          <cell r="G605" t="str">
            <v/>
          </cell>
        </row>
        <row r="606">
          <cell r="A606" t="str">
            <v/>
          </cell>
          <cell r="C606" t="str">
            <v/>
          </cell>
          <cell r="F606" t="str">
            <v/>
          </cell>
          <cell r="G606" t="str">
            <v/>
          </cell>
        </row>
        <row r="607">
          <cell r="F607" t="str">
            <v>SUBTOTAL</v>
          </cell>
          <cell r="G607">
            <v>74256</v>
          </cell>
        </row>
        <row r="609">
          <cell r="A609" t="str">
            <v>III. TRANSPORTES</v>
          </cell>
        </row>
        <row r="610">
          <cell r="A610" t="str">
            <v>CÓDIGO</v>
          </cell>
          <cell r="B610" t="str">
            <v>DESCRIPCIÓN</v>
          </cell>
          <cell r="C610" t="str">
            <v>TIPO</v>
          </cell>
          <cell r="D610" t="str">
            <v>VOLUMEN/PESO</v>
          </cell>
          <cell r="E610" t="str">
            <v>DISTANCIA</v>
          </cell>
          <cell r="F610" t="str">
            <v>TARIFA</v>
          </cell>
          <cell r="G610" t="str">
            <v>VR. UNITARIO</v>
          </cell>
        </row>
        <row r="611">
          <cell r="A611" t="str">
            <v/>
          </cell>
          <cell r="F611" t="str">
            <v/>
          </cell>
          <cell r="G611" t="str">
            <v/>
          </cell>
        </row>
        <row r="612">
          <cell r="A612" t="str">
            <v/>
          </cell>
          <cell r="E612" t="str">
            <v/>
          </cell>
          <cell r="F612" t="str">
            <v/>
          </cell>
          <cell r="G612" t="str">
            <v/>
          </cell>
        </row>
        <row r="613">
          <cell r="A613" t="str">
            <v/>
          </cell>
          <cell r="E613" t="str">
            <v/>
          </cell>
          <cell r="F613" t="str">
            <v/>
          </cell>
          <cell r="G613" t="str">
            <v/>
          </cell>
        </row>
        <row r="614">
          <cell r="F614" t="str">
            <v>SUBTOTAL</v>
          </cell>
          <cell r="G614" t="str">
            <v/>
          </cell>
        </row>
        <row r="616">
          <cell r="A616" t="str">
            <v>IV. MANO DE OBRA</v>
          </cell>
        </row>
        <row r="617">
          <cell r="A617" t="str">
            <v>CÓDIGO</v>
          </cell>
          <cell r="B617" t="str">
            <v>CARGOS PERSONAL</v>
          </cell>
          <cell r="D617" t="str">
            <v>CANTIDAD</v>
          </cell>
          <cell r="E617" t="str">
            <v>JORNAL TOTAL</v>
          </cell>
          <cell r="F617" t="str">
            <v>RENDIMIENTO</v>
          </cell>
          <cell r="G617" t="str">
            <v>VR. UNITARIO</v>
          </cell>
        </row>
        <row r="618">
          <cell r="A618" t="str">
            <v>MO029</v>
          </cell>
          <cell r="B618" t="str">
            <v>OFICIAL DE OBRA NEGRA</v>
          </cell>
          <cell r="D618">
            <v>1</v>
          </cell>
          <cell r="E618">
            <v>153455</v>
          </cell>
          <cell r="F618">
            <v>350</v>
          </cell>
          <cell r="G618">
            <v>438.44285714285712</v>
          </cell>
        </row>
        <row r="619">
          <cell r="A619" t="str">
            <v>MO032</v>
          </cell>
          <cell r="B619" t="str">
            <v>AYUDANTE RASO</v>
          </cell>
          <cell r="D619">
            <v>2</v>
          </cell>
          <cell r="E619">
            <v>83770</v>
          </cell>
          <cell r="F619">
            <v>350</v>
          </cell>
          <cell r="G619">
            <v>478.68571428571431</v>
          </cell>
        </row>
        <row r="620">
          <cell r="A620" t="str">
            <v/>
          </cell>
          <cell r="E620" t="str">
            <v/>
          </cell>
          <cell r="G620" t="str">
            <v/>
          </cell>
        </row>
        <row r="621">
          <cell r="A621" t="str">
            <v/>
          </cell>
          <cell r="E621" t="str">
            <v/>
          </cell>
          <cell r="F621" t="str">
            <v/>
          </cell>
          <cell r="G621" t="str">
            <v/>
          </cell>
        </row>
        <row r="622">
          <cell r="F622" t="str">
            <v>SUBTOTAL</v>
          </cell>
          <cell r="G622">
            <v>917.12857142857138</v>
          </cell>
        </row>
        <row r="624">
          <cell r="A624" t="str">
            <v>V. SERVICIOS</v>
          </cell>
        </row>
        <row r="625">
          <cell r="A625" t="str">
            <v>CÓDIGO</v>
          </cell>
          <cell r="B625" t="str">
            <v>DESCRIPCIÓN</v>
          </cell>
          <cell r="D625" t="str">
            <v>UNIDAD</v>
          </cell>
          <cell r="E625" t="str">
            <v>CANTIDAD</v>
          </cell>
          <cell r="F625" t="str">
            <v>PRECIO UNIT.</v>
          </cell>
          <cell r="G625" t="str">
            <v>VR. UNITARIO</v>
          </cell>
        </row>
        <row r="626">
          <cell r="A626" t="str">
            <v>SEL004</v>
          </cell>
          <cell r="B626" t="str">
            <v>Relaciones de humedad - masa unitaria seca en los suelos (ensayo modificado de compactación - Proctor Modificado) con corrección del peso unitario y contenido de agua</v>
          </cell>
          <cell r="D626" t="str">
            <v>UN</v>
          </cell>
          <cell r="E626">
            <v>5.9523809523809521E-3</v>
          </cell>
          <cell r="F626">
            <v>147000</v>
          </cell>
          <cell r="G626">
            <v>875</v>
          </cell>
        </row>
        <row r="627">
          <cell r="A627" t="str">
            <v/>
          </cell>
          <cell r="D627" t="str">
            <v/>
          </cell>
          <cell r="F627" t="str">
            <v/>
          </cell>
          <cell r="G627" t="str">
            <v/>
          </cell>
        </row>
        <row r="628">
          <cell r="A628" t="str">
            <v/>
          </cell>
          <cell r="D628" t="str">
            <v/>
          </cell>
          <cell r="F628" t="str">
            <v/>
          </cell>
          <cell r="G628" t="str">
            <v/>
          </cell>
        </row>
        <row r="629">
          <cell r="F629" t="str">
            <v>SUBTOTAL</v>
          </cell>
          <cell r="G629">
            <v>875</v>
          </cell>
        </row>
        <row r="631">
          <cell r="A631" t="str">
            <v>TOTAL COSTO DIRECTO</v>
          </cell>
          <cell r="G631">
            <v>84208</v>
          </cell>
        </row>
        <row r="633">
          <cell r="A633" t="str">
            <v>2. COSTOS INDIRECTOS</v>
          </cell>
        </row>
        <row r="635">
          <cell r="A635" t="str">
            <v>DESCRIPCIÓN</v>
          </cell>
          <cell r="F635" t="str">
            <v>PORCENTAJE</v>
          </cell>
          <cell r="G635" t="str">
            <v>VALOR TOTAL</v>
          </cell>
        </row>
        <row r="636">
          <cell r="A636" t="str">
            <v>ADMINISTRACION</v>
          </cell>
          <cell r="F636">
            <v>0.33389999999999997</v>
          </cell>
          <cell r="G636">
            <v>28117.051199999998</v>
          </cell>
        </row>
        <row r="637">
          <cell r="A637" t="str">
            <v>IMPREVISTOS</v>
          </cell>
          <cell r="F637" t="str">
            <v/>
          </cell>
          <cell r="G637" t="str">
            <v/>
          </cell>
        </row>
        <row r="638">
          <cell r="A638" t="str">
            <v>UTILIDADES</v>
          </cell>
          <cell r="F638">
            <v>0.05</v>
          </cell>
          <cell r="G638">
            <v>4210.4000000000005</v>
          </cell>
        </row>
        <row r="639">
          <cell r="A639" t="str">
            <v>TOTAL COSTO INDIRECTO</v>
          </cell>
          <cell r="F639">
            <v>0.38389999999999996</v>
          </cell>
          <cell r="G639">
            <v>32327</v>
          </cell>
        </row>
        <row r="641">
          <cell r="A641" t="str">
            <v>PRECIO UNITARIO TOTAL APROXIMADO AL PESO</v>
          </cell>
          <cell r="G641">
            <v>116535</v>
          </cell>
        </row>
        <row r="644">
          <cell r="B644" t="str">
            <v>SECRETARIA DE PLANEACIÓN E INFRAESTRUCTURA</v>
          </cell>
        </row>
        <row r="646">
          <cell r="D646" t="str">
            <v>FIRMA RESPONSABLE</v>
          </cell>
        </row>
        <row r="648">
          <cell r="A648" t="str">
            <v>DEPARTAMENTO DE ANTIOQUIA</v>
          </cell>
          <cell r="F648" t="str">
            <v/>
          </cell>
        </row>
        <row r="649">
          <cell r="A649" t="str">
            <v>MUNICIPIO DE DABEIBA</v>
          </cell>
        </row>
        <row r="650">
          <cell r="A650" t="str">
            <v>MEJORAMIENTO DE LA RED VIAL URBANA EN EL BARRIO SAN ANTONIO DEL MUNICIPIO DE DABEIBA</v>
          </cell>
        </row>
        <row r="652">
          <cell r="A652" t="str">
            <v>ANÁLISIS DE PRECIOS UNITARIOS</v>
          </cell>
        </row>
        <row r="654">
          <cell r="A654" t="str">
            <v>ITEM</v>
          </cell>
          <cell r="B654" t="str">
            <v>DESCRIPCIÓN</v>
          </cell>
          <cell r="E654" t="str">
            <v>UNIDAD</v>
          </cell>
          <cell r="F654" t="str">
            <v>CANTIDAD</v>
          </cell>
          <cell r="G654" t="str">
            <v>COSTO DIRECTO</v>
          </cell>
        </row>
        <row r="655">
          <cell r="A655" t="str">
            <v>5.1</v>
          </cell>
          <cell r="B655" t="str">
            <v>Mejoramiento de la subrasante involucrando suelo existente.  Incluye la disgregación del material de la subrasante existente, el retiro o adición de materiales, la compactación y perfilado final, de acuerdo a las dimensiones, alineamientos y pendientes de la vía.</v>
          </cell>
          <cell r="E655" t="str">
            <v>m2</v>
          </cell>
          <cell r="F655">
            <v>2436</v>
          </cell>
          <cell r="G655">
            <v>1384</v>
          </cell>
        </row>
        <row r="657">
          <cell r="A657" t="str">
            <v>1. COSTOS DIRECTOS</v>
          </cell>
        </row>
        <row r="659">
          <cell r="A659" t="str">
            <v>I. EQUIPO</v>
          </cell>
        </row>
        <row r="660">
          <cell r="A660" t="str">
            <v>CÓDIGO</v>
          </cell>
          <cell r="B660" t="str">
            <v>DESCRIPCIÓN</v>
          </cell>
          <cell r="D660" t="str">
            <v>UNIDAD</v>
          </cell>
          <cell r="E660" t="str">
            <v>TARIFA</v>
          </cell>
          <cell r="F660" t="str">
            <v>RENDIMIENTO</v>
          </cell>
          <cell r="G660" t="str">
            <v>VR. UNITARIO</v>
          </cell>
        </row>
        <row r="661">
          <cell r="A661" t="str">
            <v>EQ017</v>
          </cell>
          <cell r="B661" t="str">
            <v>MOTONIVELADORA CATERPILLAR 120 - 140</v>
          </cell>
          <cell r="D661" t="str">
            <v>HORA</v>
          </cell>
          <cell r="E661">
            <v>180000</v>
          </cell>
          <cell r="F661">
            <v>500</v>
          </cell>
          <cell r="G661">
            <v>360</v>
          </cell>
        </row>
        <row r="662">
          <cell r="A662" t="str">
            <v>EQ021</v>
          </cell>
          <cell r="B662" t="str">
            <v>COMPACTADOR VIBRATORIO 11 TON.</v>
          </cell>
          <cell r="D662" t="str">
            <v>HORA</v>
          </cell>
          <cell r="E662">
            <v>175000</v>
          </cell>
          <cell r="F662">
            <v>500</v>
          </cell>
          <cell r="G662">
            <v>350</v>
          </cell>
        </row>
        <row r="663">
          <cell r="A663" t="str">
            <v>EQ001</v>
          </cell>
          <cell r="B663" t="str">
            <v>HERRAMIENTA MENOR (5% DE LA MANO DE OBRA)</v>
          </cell>
          <cell r="D663" t="str">
            <v>%</v>
          </cell>
          <cell r="E663">
            <v>0.05</v>
          </cell>
          <cell r="F663">
            <v>641.99</v>
          </cell>
          <cell r="G663">
            <v>32.099499999999999</v>
          </cell>
        </row>
        <row r="664">
          <cell r="F664" t="str">
            <v>SUBTOTAL</v>
          </cell>
          <cell r="G664">
            <v>742.09950000000003</v>
          </cell>
        </row>
        <row r="666">
          <cell r="A666" t="str">
            <v>II. MATERIALES</v>
          </cell>
        </row>
        <row r="667">
          <cell r="A667" t="str">
            <v>CÓDIGO</v>
          </cell>
          <cell r="B667" t="str">
            <v>DESCRIPCIÓN</v>
          </cell>
          <cell r="C667" t="str">
            <v>UNIDAD</v>
          </cell>
          <cell r="D667" t="str">
            <v>CANTIDAD</v>
          </cell>
          <cell r="E667" t="str">
            <v>DESP.</v>
          </cell>
          <cell r="F667" t="str">
            <v>PRECIO UNIT.</v>
          </cell>
          <cell r="G667" t="str">
            <v>VR. UNITARIO</v>
          </cell>
        </row>
        <row r="668">
          <cell r="A668" t="str">
            <v/>
          </cell>
          <cell r="C668" t="str">
            <v/>
          </cell>
          <cell r="F668" t="str">
            <v/>
          </cell>
          <cell r="G668" t="str">
            <v/>
          </cell>
        </row>
        <row r="669">
          <cell r="A669" t="str">
            <v/>
          </cell>
          <cell r="C669" t="str">
            <v/>
          </cell>
          <cell r="F669" t="str">
            <v/>
          </cell>
          <cell r="G669" t="str">
            <v/>
          </cell>
        </row>
        <row r="670">
          <cell r="A670" t="str">
            <v/>
          </cell>
          <cell r="C670" t="str">
            <v/>
          </cell>
          <cell r="F670" t="str">
            <v/>
          </cell>
          <cell r="G670" t="str">
            <v/>
          </cell>
        </row>
        <row r="671">
          <cell r="F671" t="str">
            <v>SUBTOTAL</v>
          </cell>
          <cell r="G671" t="str">
            <v/>
          </cell>
        </row>
        <row r="673">
          <cell r="A673" t="str">
            <v>III. TRANSPORTES</v>
          </cell>
        </row>
        <row r="674">
          <cell r="A674" t="str">
            <v>CÓDIGO</v>
          </cell>
          <cell r="B674" t="str">
            <v>DESCRIPCIÓN</v>
          </cell>
          <cell r="C674" t="str">
            <v>TIPO</v>
          </cell>
          <cell r="D674" t="str">
            <v>VOLUMEN/PESO</v>
          </cell>
          <cell r="E674" t="str">
            <v>DISTANCIA</v>
          </cell>
          <cell r="F674" t="str">
            <v>TARIFA</v>
          </cell>
          <cell r="G674" t="str">
            <v>VR. UNITARIO</v>
          </cell>
        </row>
        <row r="675">
          <cell r="A675" t="str">
            <v/>
          </cell>
          <cell r="F675" t="str">
            <v/>
          </cell>
          <cell r="G675" t="str">
            <v/>
          </cell>
        </row>
        <row r="676">
          <cell r="A676" t="str">
            <v/>
          </cell>
          <cell r="E676" t="str">
            <v/>
          </cell>
          <cell r="F676" t="str">
            <v/>
          </cell>
          <cell r="G676" t="str">
            <v/>
          </cell>
        </row>
        <row r="677">
          <cell r="A677" t="str">
            <v/>
          </cell>
          <cell r="E677" t="str">
            <v/>
          </cell>
          <cell r="F677" t="str">
            <v/>
          </cell>
          <cell r="G677" t="str">
            <v/>
          </cell>
        </row>
        <row r="678">
          <cell r="F678" t="str">
            <v>SUBTOTAL</v>
          </cell>
          <cell r="G678" t="str">
            <v/>
          </cell>
        </row>
        <row r="680">
          <cell r="A680" t="str">
            <v>IV. MANO DE OBRA</v>
          </cell>
        </row>
        <row r="681">
          <cell r="A681" t="str">
            <v>CÓDIGO</v>
          </cell>
          <cell r="B681" t="str">
            <v>CARGOS PERSONAL</v>
          </cell>
          <cell r="D681" t="str">
            <v>CANTIDAD</v>
          </cell>
          <cell r="E681" t="str">
            <v>JORNAL TOTAL</v>
          </cell>
          <cell r="F681" t="str">
            <v>RENDIMIENTO</v>
          </cell>
          <cell r="G681" t="str">
            <v>VR. UNITARIO</v>
          </cell>
        </row>
        <row r="682">
          <cell r="A682" t="str">
            <v>MO029</v>
          </cell>
          <cell r="B682" t="str">
            <v>OFICIAL DE OBRA NEGRA</v>
          </cell>
          <cell r="D682">
            <v>1</v>
          </cell>
          <cell r="E682">
            <v>153455</v>
          </cell>
          <cell r="F682">
            <v>500</v>
          </cell>
          <cell r="G682">
            <v>306.91000000000003</v>
          </cell>
        </row>
        <row r="683">
          <cell r="A683" t="str">
            <v>MO032</v>
          </cell>
          <cell r="B683" t="str">
            <v>AYUDANTE RASO</v>
          </cell>
          <cell r="D683">
            <v>2</v>
          </cell>
          <cell r="E683">
            <v>83770</v>
          </cell>
          <cell r="F683">
            <v>500</v>
          </cell>
          <cell r="G683">
            <v>335.08</v>
          </cell>
        </row>
        <row r="684">
          <cell r="A684" t="str">
            <v/>
          </cell>
          <cell r="E684" t="str">
            <v/>
          </cell>
          <cell r="G684" t="str">
            <v/>
          </cell>
        </row>
        <row r="685">
          <cell r="A685" t="str">
            <v/>
          </cell>
          <cell r="E685" t="str">
            <v/>
          </cell>
          <cell r="F685" t="str">
            <v/>
          </cell>
          <cell r="G685" t="str">
            <v/>
          </cell>
        </row>
        <row r="686">
          <cell r="F686" t="str">
            <v>SUBTOTAL</v>
          </cell>
          <cell r="G686">
            <v>641.99</v>
          </cell>
        </row>
        <row r="688">
          <cell r="A688" t="str">
            <v>V. SERVICIOS</v>
          </cell>
        </row>
        <row r="689">
          <cell r="A689" t="str">
            <v>CÓDIGO</v>
          </cell>
          <cell r="B689" t="str">
            <v>DESCRIPCIÓN</v>
          </cell>
          <cell r="D689" t="str">
            <v>UNIDAD</v>
          </cell>
          <cell r="E689" t="str">
            <v>CANTIDAD</v>
          </cell>
          <cell r="F689" t="str">
            <v>PRECIO UNIT.</v>
          </cell>
          <cell r="G689" t="str">
            <v>VR. UNITARIO</v>
          </cell>
        </row>
        <row r="690">
          <cell r="A690" t="str">
            <v/>
          </cell>
          <cell r="D690" t="str">
            <v/>
          </cell>
          <cell r="F690" t="str">
            <v/>
          </cell>
          <cell r="G690" t="str">
            <v/>
          </cell>
        </row>
        <row r="691">
          <cell r="A691" t="str">
            <v/>
          </cell>
          <cell r="D691" t="str">
            <v/>
          </cell>
          <cell r="F691" t="str">
            <v/>
          </cell>
          <cell r="G691" t="str">
            <v/>
          </cell>
        </row>
        <row r="692">
          <cell r="A692" t="str">
            <v/>
          </cell>
          <cell r="D692" t="str">
            <v/>
          </cell>
          <cell r="F692" t="str">
            <v/>
          </cell>
          <cell r="G692" t="str">
            <v/>
          </cell>
        </row>
        <row r="693">
          <cell r="F693" t="str">
            <v>SUBTOTAL</v>
          </cell>
          <cell r="G693" t="str">
            <v/>
          </cell>
        </row>
        <row r="695">
          <cell r="A695" t="str">
            <v>TOTAL COSTO DIRECTO</v>
          </cell>
          <cell r="G695">
            <v>1384</v>
          </cell>
        </row>
        <row r="697">
          <cell r="A697" t="str">
            <v>2. COSTOS INDIRECTOS</v>
          </cell>
        </row>
        <row r="699">
          <cell r="A699" t="str">
            <v>DESCRIPCIÓN</v>
          </cell>
          <cell r="F699" t="str">
            <v>PORCENTAJE</v>
          </cell>
          <cell r="G699" t="str">
            <v>VALOR TOTAL</v>
          </cell>
        </row>
        <row r="700">
          <cell r="A700" t="str">
            <v>ADMINISTRACION</v>
          </cell>
          <cell r="F700">
            <v>0.33389999999999997</v>
          </cell>
          <cell r="G700">
            <v>462.11759999999998</v>
          </cell>
        </row>
        <row r="701">
          <cell r="A701" t="str">
            <v>IMPREVISTOS</v>
          </cell>
          <cell r="F701" t="str">
            <v/>
          </cell>
          <cell r="G701" t="str">
            <v/>
          </cell>
        </row>
        <row r="702">
          <cell r="A702" t="str">
            <v>UTILIDADES</v>
          </cell>
          <cell r="F702">
            <v>0.05</v>
          </cell>
          <cell r="G702">
            <v>69.2</v>
          </cell>
        </row>
        <row r="703">
          <cell r="A703" t="str">
            <v>TOTAL COSTO INDIRECTO</v>
          </cell>
          <cell r="F703">
            <v>0.38389999999999996</v>
          </cell>
          <cell r="G703">
            <v>531</v>
          </cell>
        </row>
        <row r="705">
          <cell r="A705" t="str">
            <v>PRECIO UNITARIO TOTAL APROXIMADO AL PESO</v>
          </cell>
          <cell r="G705">
            <v>1915</v>
          </cell>
        </row>
        <row r="708">
          <cell r="B708" t="str">
            <v>SECRETARIA DE PLANEACIÓN E INFRAESTRUCTURA</v>
          </cell>
        </row>
        <row r="710">
          <cell r="D710" t="str">
            <v>FIRMA RESPONSABLE</v>
          </cell>
        </row>
        <row r="712">
          <cell r="A712" t="str">
            <v>DEPARTAMENTO DE ANTIOQUIA</v>
          </cell>
          <cell r="F712" t="str">
            <v/>
          </cell>
        </row>
        <row r="713">
          <cell r="A713" t="str">
            <v>MUNICIPIO DE DABEIBA</v>
          </cell>
        </row>
        <row r="714">
          <cell r="A714" t="str">
            <v>MEJORAMIENTO DE LA RED VIAL URBANA EN EL BARRIO SAN ANTONIO DEL MUNICIPIO DE DABEIBA</v>
          </cell>
        </row>
        <row r="716">
          <cell r="A716" t="str">
            <v>ANÁLISIS DE PRECIOS UNITARIOS</v>
          </cell>
        </row>
        <row r="718">
          <cell r="A718" t="str">
            <v>ITEM</v>
          </cell>
          <cell r="B718" t="str">
            <v>DESCRIPCIÓN</v>
          </cell>
          <cell r="E718" t="str">
            <v>UNIDAD</v>
          </cell>
          <cell r="F718" t="str">
            <v>CANTIDAD</v>
          </cell>
          <cell r="G718" t="str">
            <v>COSTO DIRECTO</v>
          </cell>
        </row>
        <row r="719">
          <cell r="A719" t="str">
            <v>6.1</v>
          </cell>
          <cell r="B719" t="str">
            <v xml:space="preserve">Concreto Clase D (21 MPa). Andenes E=0.10 m y llaves de confinamiento de 0,20*0,15. No incluye estructura de soporte. La actividad consiste en el suministro, transporte y colocación de concreto pendientado y llaneado, vaciado alternado (en cuadros no superiores de 1.5 x 1.5 m), para la construcción nuevos andenes y resane de los existentes, comprende el curado y todo lo necesario para su correcta construcción y funcionamiento. El acero de refuerzo se pagará en su respectivo item </v>
          </cell>
          <cell r="E719" t="str">
            <v>m3</v>
          </cell>
          <cell r="F719">
            <v>97</v>
          </cell>
          <cell r="G719">
            <v>732905</v>
          </cell>
        </row>
        <row r="721">
          <cell r="A721" t="str">
            <v>1. COSTOS DIRECTOS</v>
          </cell>
        </row>
        <row r="723">
          <cell r="A723" t="str">
            <v>I. EQUIPO</v>
          </cell>
        </row>
        <row r="724">
          <cell r="A724" t="str">
            <v>CÓDIGO</v>
          </cell>
          <cell r="B724" t="str">
            <v>DESCRIPCIÓN</v>
          </cell>
          <cell r="D724" t="str">
            <v>UNIDAD</v>
          </cell>
          <cell r="E724" t="str">
            <v>TARIFA</v>
          </cell>
          <cell r="F724" t="str">
            <v>RENDIMIENTO</v>
          </cell>
          <cell r="G724" t="str">
            <v>VR. UNITARIO</v>
          </cell>
        </row>
        <row r="725">
          <cell r="A725" t="str">
            <v/>
          </cell>
          <cell r="D725" t="str">
            <v/>
          </cell>
          <cell r="E725" t="str">
            <v/>
          </cell>
          <cell r="G725" t="str">
            <v/>
          </cell>
        </row>
        <row r="726">
          <cell r="A726" t="str">
            <v/>
          </cell>
          <cell r="D726" t="str">
            <v/>
          </cell>
          <cell r="E726" t="str">
            <v/>
          </cell>
          <cell r="G726" t="str">
            <v/>
          </cell>
        </row>
        <row r="727">
          <cell r="A727" t="str">
            <v>EQ001</v>
          </cell>
          <cell r="B727" t="str">
            <v>HERRAMIENTA MENOR (5% DE LA MANO DE OBRA)</v>
          </cell>
          <cell r="D727" t="str">
            <v>%</v>
          </cell>
          <cell r="E727">
            <v>0.05</v>
          </cell>
          <cell r="F727">
            <v>160497.5</v>
          </cell>
          <cell r="G727">
            <v>8024.875</v>
          </cell>
        </row>
        <row r="728">
          <cell r="F728" t="str">
            <v>SUBTOTAL</v>
          </cell>
          <cell r="G728">
            <v>8024.875</v>
          </cell>
        </row>
        <row r="730">
          <cell r="A730" t="str">
            <v>II. MATERIALES</v>
          </cell>
        </row>
        <row r="731">
          <cell r="A731" t="str">
            <v>CÓDIGO</v>
          </cell>
          <cell r="B731" t="str">
            <v>DESCRIPCIÓN</v>
          </cell>
          <cell r="C731" t="str">
            <v>UNIDAD</v>
          </cell>
          <cell r="D731" t="str">
            <v>CANTIDAD</v>
          </cell>
          <cell r="E731" t="str">
            <v>DESP.</v>
          </cell>
          <cell r="F731" t="str">
            <v>PRECIO UNIT.</v>
          </cell>
          <cell r="G731" t="str">
            <v>VR. UNITARIO</v>
          </cell>
        </row>
        <row r="732">
          <cell r="A732" t="str">
            <v>MA003</v>
          </cell>
          <cell r="B732" t="str">
            <v>CONCRETO 3000 PSI (210 MPA) EN OBRA</v>
          </cell>
          <cell r="C732" t="str">
            <v>M3</v>
          </cell>
          <cell r="D732">
            <v>1</v>
          </cell>
          <cell r="E732">
            <v>0.05</v>
          </cell>
          <cell r="F732">
            <v>524205</v>
          </cell>
          <cell r="G732">
            <v>550415.25</v>
          </cell>
        </row>
        <row r="733">
          <cell r="A733" t="str">
            <v>MA048</v>
          </cell>
          <cell r="B733" t="str">
            <v>Dilataciones en madera 1.5 x 8 cm</v>
          </cell>
          <cell r="C733" t="str">
            <v>UN</v>
          </cell>
          <cell r="D733">
            <v>0.55000000000000004</v>
          </cell>
          <cell r="E733">
            <v>0.05</v>
          </cell>
          <cell r="F733">
            <v>4000</v>
          </cell>
          <cell r="G733">
            <v>2310</v>
          </cell>
        </row>
        <row r="734">
          <cell r="A734" t="str">
            <v>MA049</v>
          </cell>
          <cell r="B734" t="str">
            <v>Masilla autonivelante para juntas horizontales</v>
          </cell>
          <cell r="C734" t="str">
            <v>CARTUCHOX300CM3</v>
          </cell>
          <cell r="D734">
            <v>0.15</v>
          </cell>
          <cell r="E734">
            <v>0.05</v>
          </cell>
          <cell r="F734">
            <v>42000</v>
          </cell>
          <cell r="G734">
            <v>6615</v>
          </cell>
        </row>
        <row r="735">
          <cell r="A735" t="str">
            <v>MA050</v>
          </cell>
          <cell r="B735" t="str">
            <v>Cintilla de poliuretano tipo sellalon</v>
          </cell>
          <cell r="C735" t="str">
            <v>ML</v>
          </cell>
          <cell r="D735">
            <v>0.55000000000000004</v>
          </cell>
          <cell r="E735">
            <v>0.05</v>
          </cell>
          <cell r="F735">
            <v>550</v>
          </cell>
          <cell r="G735">
            <v>317.625</v>
          </cell>
        </row>
        <row r="736">
          <cell r="A736" t="str">
            <v>MA051</v>
          </cell>
          <cell r="B736" t="str">
            <v>Antisol blanco</v>
          </cell>
          <cell r="C736" t="str">
            <v>KG</v>
          </cell>
          <cell r="D736">
            <v>0.6</v>
          </cell>
          <cell r="E736">
            <v>0.05</v>
          </cell>
          <cell r="F736">
            <v>7500</v>
          </cell>
          <cell r="G736">
            <v>4725</v>
          </cell>
        </row>
        <row r="737">
          <cell r="F737" t="str">
            <v>SUBTOTAL</v>
          </cell>
          <cell r="G737">
            <v>564382.875</v>
          </cell>
        </row>
        <row r="739">
          <cell r="A739" t="str">
            <v>III. TRANSPORTES</v>
          </cell>
        </row>
        <row r="740">
          <cell r="A740" t="str">
            <v>CÓDIGO</v>
          </cell>
          <cell r="B740" t="str">
            <v>DESCRIPCIÓN</v>
          </cell>
          <cell r="C740" t="str">
            <v>TIPO</v>
          </cell>
          <cell r="D740" t="str">
            <v>VOLUMEN/PESO</v>
          </cell>
          <cell r="E740" t="str">
            <v>DISTANCIA</v>
          </cell>
          <cell r="F740" t="str">
            <v>TARIFA</v>
          </cell>
          <cell r="G740" t="str">
            <v>VR. UNITARIO</v>
          </cell>
        </row>
        <row r="741">
          <cell r="A741" t="str">
            <v/>
          </cell>
          <cell r="F741" t="str">
            <v/>
          </cell>
          <cell r="G741" t="str">
            <v/>
          </cell>
        </row>
        <row r="742">
          <cell r="A742" t="str">
            <v/>
          </cell>
          <cell r="E742" t="str">
            <v/>
          </cell>
          <cell r="F742" t="str">
            <v/>
          </cell>
          <cell r="G742" t="str">
            <v/>
          </cell>
        </row>
        <row r="743">
          <cell r="A743" t="str">
            <v/>
          </cell>
          <cell r="E743" t="str">
            <v/>
          </cell>
          <cell r="F743" t="str">
            <v/>
          </cell>
          <cell r="G743" t="str">
            <v/>
          </cell>
        </row>
        <row r="744">
          <cell r="F744" t="str">
            <v>SUBTOTAL</v>
          </cell>
          <cell r="G744" t="str">
            <v/>
          </cell>
        </row>
        <row r="746">
          <cell r="A746" t="str">
            <v>IV. MANO DE OBRA</v>
          </cell>
        </row>
        <row r="747">
          <cell r="A747" t="str">
            <v>CÓDIGO</v>
          </cell>
          <cell r="B747" t="str">
            <v>CARGOS PERSONAL</v>
          </cell>
          <cell r="D747" t="str">
            <v>CANTIDAD</v>
          </cell>
          <cell r="E747" t="str">
            <v>JORNAL TOTAL</v>
          </cell>
          <cell r="F747" t="str">
            <v>RENDIMIENTO</v>
          </cell>
          <cell r="G747" t="str">
            <v>VR. UNITARIO</v>
          </cell>
        </row>
        <row r="748">
          <cell r="A748" t="str">
            <v>MO029</v>
          </cell>
          <cell r="B748" t="str">
            <v>OFICIAL DE OBRA NEGRA</v>
          </cell>
          <cell r="D748">
            <v>1</v>
          </cell>
          <cell r="E748">
            <v>153455</v>
          </cell>
          <cell r="F748">
            <v>2</v>
          </cell>
          <cell r="G748">
            <v>76727.5</v>
          </cell>
        </row>
        <row r="749">
          <cell r="A749" t="str">
            <v>MO032</v>
          </cell>
          <cell r="B749" t="str">
            <v>AYUDANTE RASO</v>
          </cell>
          <cell r="D749">
            <v>2</v>
          </cell>
          <cell r="E749">
            <v>83770</v>
          </cell>
          <cell r="F749">
            <v>2</v>
          </cell>
          <cell r="G749">
            <v>83770</v>
          </cell>
        </row>
        <row r="750">
          <cell r="A750" t="str">
            <v/>
          </cell>
          <cell r="E750" t="str">
            <v/>
          </cell>
          <cell r="G750" t="str">
            <v/>
          </cell>
        </row>
        <row r="751">
          <cell r="A751" t="str">
            <v/>
          </cell>
          <cell r="E751" t="str">
            <v/>
          </cell>
          <cell r="F751" t="str">
            <v/>
          </cell>
          <cell r="G751" t="str">
            <v/>
          </cell>
        </row>
        <row r="752">
          <cell r="F752" t="str">
            <v>SUBTOTAL</v>
          </cell>
          <cell r="G752">
            <v>160497.5</v>
          </cell>
        </row>
        <row r="754">
          <cell r="A754" t="str">
            <v>V. SERVICIOS</v>
          </cell>
        </row>
        <row r="755">
          <cell r="A755" t="str">
            <v>CÓDIGO</v>
          </cell>
          <cell r="B755" t="str">
            <v>DESCRIPCIÓN</v>
          </cell>
          <cell r="D755" t="str">
            <v>UNIDAD</v>
          </cell>
          <cell r="E755" t="str">
            <v>CANTIDAD</v>
          </cell>
          <cell r="F755" t="str">
            <v>PRECIO UNIT.</v>
          </cell>
          <cell r="G755" t="str">
            <v>VR. UNITARIO</v>
          </cell>
        </row>
        <row r="756">
          <cell r="A756" t="str">
            <v/>
          </cell>
          <cell r="D756" t="str">
            <v/>
          </cell>
          <cell r="F756" t="str">
            <v/>
          </cell>
          <cell r="G756" t="str">
            <v/>
          </cell>
        </row>
        <row r="757">
          <cell r="A757" t="str">
            <v/>
          </cell>
          <cell r="D757" t="str">
            <v/>
          </cell>
          <cell r="F757" t="str">
            <v/>
          </cell>
          <cell r="G757" t="str">
            <v/>
          </cell>
        </row>
        <row r="758">
          <cell r="A758" t="str">
            <v/>
          </cell>
          <cell r="D758" t="str">
            <v/>
          </cell>
          <cell r="F758" t="str">
            <v/>
          </cell>
          <cell r="G758" t="str">
            <v/>
          </cell>
        </row>
        <row r="759">
          <cell r="F759" t="str">
            <v>SUBTOTAL</v>
          </cell>
          <cell r="G759" t="str">
            <v/>
          </cell>
        </row>
        <row r="761">
          <cell r="A761" t="str">
            <v>TOTAL COSTO DIRECTO</v>
          </cell>
          <cell r="G761">
            <v>732905</v>
          </cell>
        </row>
        <row r="763">
          <cell r="A763" t="str">
            <v>2. COSTOS INDIRECTOS</v>
          </cell>
        </row>
        <row r="765">
          <cell r="A765" t="str">
            <v>DESCRIPCIÓN</v>
          </cell>
          <cell r="F765" t="str">
            <v>PORCENTAJE</v>
          </cell>
          <cell r="G765" t="str">
            <v>VALOR TOTAL</v>
          </cell>
        </row>
        <row r="766">
          <cell r="A766" t="str">
            <v>ADMINISTRACION</v>
          </cell>
          <cell r="F766">
            <v>0.33389999999999997</v>
          </cell>
          <cell r="G766">
            <v>244716.97949999999</v>
          </cell>
        </row>
        <row r="767">
          <cell r="A767" t="str">
            <v>IMPREVISTOS</v>
          </cell>
          <cell r="F767" t="str">
            <v/>
          </cell>
          <cell r="G767" t="str">
            <v/>
          </cell>
        </row>
        <row r="768">
          <cell r="A768" t="str">
            <v>UTILIDADES</v>
          </cell>
          <cell r="F768">
            <v>0.05</v>
          </cell>
          <cell r="G768">
            <v>36645.25</v>
          </cell>
        </row>
        <row r="769">
          <cell r="A769" t="str">
            <v>TOTAL COSTO INDIRECTO</v>
          </cell>
          <cell r="F769">
            <v>0.38389999999999996</v>
          </cell>
          <cell r="G769">
            <v>281362</v>
          </cell>
        </row>
        <row r="771">
          <cell r="A771" t="str">
            <v>PRECIO UNITARIO TOTAL APROXIMADO AL PESO</v>
          </cell>
          <cell r="G771">
            <v>1014267</v>
          </cell>
        </row>
        <row r="774">
          <cell r="B774" t="str">
            <v>SECRETARIA DE PLANEACIÓN E INFRAESTRUCTURA</v>
          </cell>
        </row>
        <row r="776">
          <cell r="D776" t="str">
            <v>FIRMA RESPONSABLE</v>
          </cell>
        </row>
        <row r="778">
          <cell r="A778" t="str">
            <v>DEPARTAMENTO DE ANTIOQUIA</v>
          </cell>
          <cell r="F778" t="str">
            <v/>
          </cell>
        </row>
        <row r="779">
          <cell r="A779" t="str">
            <v>MUNICIPIO DE DABEIBA</v>
          </cell>
        </row>
        <row r="780">
          <cell r="A780" t="str">
            <v>MEJORAMIENTO DE LA RED VIAL URBANA EN EL BARRIO SAN ANTONIO DEL MUNICIPIO DE DABEIBA</v>
          </cell>
        </row>
        <row r="782">
          <cell r="A782" t="str">
            <v>ANÁLISIS DE PRECIOS UNITARIOS</v>
          </cell>
        </row>
        <row r="784">
          <cell r="A784" t="str">
            <v>ITEM</v>
          </cell>
          <cell r="B784" t="str">
            <v>DESCRIPCIÓN</v>
          </cell>
          <cell r="E784" t="str">
            <v>UNIDAD</v>
          </cell>
          <cell r="F784" t="str">
            <v>CANTIDAD</v>
          </cell>
          <cell r="G784" t="str">
            <v>COSTO DIRECTO</v>
          </cell>
        </row>
        <row r="785">
          <cell r="A785" t="str">
            <v>6.2</v>
          </cell>
          <cell r="B785" t="str">
            <v>Suministro, transporte e instalación de loseta de cemento guia tactil, formato 40 x 40.</v>
          </cell>
          <cell r="E785" t="str">
            <v>m2</v>
          </cell>
          <cell r="F785">
            <v>580</v>
          </cell>
          <cell r="G785">
            <v>70254</v>
          </cell>
        </row>
        <row r="787">
          <cell r="A787" t="str">
            <v>1. COSTOS DIRECTOS</v>
          </cell>
        </row>
        <row r="789">
          <cell r="A789" t="str">
            <v>I. EQUIPO</v>
          </cell>
        </row>
        <row r="790">
          <cell r="A790" t="str">
            <v>CÓDIGO</v>
          </cell>
          <cell r="B790" t="str">
            <v>DESCRIPCIÓN</v>
          </cell>
          <cell r="D790" t="str">
            <v>UNIDAD</v>
          </cell>
          <cell r="E790" t="str">
            <v>TARIFA</v>
          </cell>
          <cell r="F790" t="str">
            <v>RENDIMIENTO</v>
          </cell>
          <cell r="G790" t="str">
            <v>VR. UNITARIO</v>
          </cell>
        </row>
        <row r="791">
          <cell r="A791" t="str">
            <v/>
          </cell>
          <cell r="D791" t="str">
            <v/>
          </cell>
          <cell r="E791" t="str">
            <v/>
          </cell>
          <cell r="G791" t="str">
            <v/>
          </cell>
        </row>
        <row r="792">
          <cell r="A792" t="str">
            <v/>
          </cell>
          <cell r="D792" t="str">
            <v/>
          </cell>
          <cell r="E792" t="str">
            <v/>
          </cell>
          <cell r="G792" t="str">
            <v/>
          </cell>
        </row>
        <row r="793">
          <cell r="A793" t="str">
            <v>EQ001</v>
          </cell>
          <cell r="B793" t="str">
            <v>HERRAMIENTA MENOR (5% DE LA MANO DE OBRA)</v>
          </cell>
          <cell r="D793" t="str">
            <v>%</v>
          </cell>
          <cell r="E793">
            <v>0.05</v>
          </cell>
          <cell r="F793">
            <v>5930.625</v>
          </cell>
          <cell r="G793">
            <v>296.53125</v>
          </cell>
        </row>
        <row r="794">
          <cell r="F794" t="str">
            <v>SUBTOTAL</v>
          </cell>
          <cell r="G794">
            <v>296.53125</v>
          </cell>
        </row>
        <row r="796">
          <cell r="A796" t="str">
            <v>II. MATERIALES</v>
          </cell>
        </row>
        <row r="797">
          <cell r="A797" t="str">
            <v>CÓDIGO</v>
          </cell>
          <cell r="B797" t="str">
            <v>DESCRIPCIÓN</v>
          </cell>
          <cell r="C797" t="str">
            <v>UNIDAD</v>
          </cell>
          <cell r="D797" t="str">
            <v>CANTIDAD</v>
          </cell>
          <cell r="E797" t="str">
            <v>DESP.</v>
          </cell>
          <cell r="F797" t="str">
            <v>PRECIO UNIT.</v>
          </cell>
          <cell r="G797" t="str">
            <v>VR. UNITARIO</v>
          </cell>
        </row>
        <row r="798">
          <cell r="A798" t="str">
            <v>MA052</v>
          </cell>
          <cell r="B798" t="str">
            <v>loseta de cemento guia tactil, formato 40 x 40.</v>
          </cell>
          <cell r="C798" t="str">
            <v>UN</v>
          </cell>
          <cell r="D798">
            <v>1</v>
          </cell>
          <cell r="E798">
            <v>0.02</v>
          </cell>
          <cell r="F798">
            <v>60452</v>
          </cell>
          <cell r="G798">
            <v>61661.04</v>
          </cell>
        </row>
        <row r="799">
          <cell r="A799" t="str">
            <v/>
          </cell>
          <cell r="C799" t="str">
            <v/>
          </cell>
          <cell r="F799" t="str">
            <v/>
          </cell>
          <cell r="G799" t="str">
            <v/>
          </cell>
        </row>
        <row r="800">
          <cell r="F800" t="str">
            <v>SUBTOTAL</v>
          </cell>
          <cell r="G800">
            <v>61661.04</v>
          </cell>
        </row>
        <row r="802">
          <cell r="A802" t="str">
            <v>III. TRANSPORTES</v>
          </cell>
        </row>
        <row r="803">
          <cell r="A803" t="str">
            <v>CÓDIGO</v>
          </cell>
          <cell r="B803" t="str">
            <v>DESCRIPCIÓN</v>
          </cell>
          <cell r="C803" t="str">
            <v>TIPO</v>
          </cell>
          <cell r="D803" t="str">
            <v>VOLUMEN/PESO</v>
          </cell>
          <cell r="E803" t="str">
            <v>DISTANCIA</v>
          </cell>
          <cell r="F803" t="str">
            <v>TARIFA</v>
          </cell>
          <cell r="G803" t="str">
            <v>VR. UNITARIO</v>
          </cell>
        </row>
        <row r="804">
          <cell r="A804" t="str">
            <v>TR011</v>
          </cell>
          <cell r="B804" t="str">
            <v>TRANSPORTE DE INSUMOS GENERALES 151-310 KM</v>
          </cell>
          <cell r="C804" t="str">
            <v>INSUMOS</v>
          </cell>
          <cell r="D804">
            <v>2.112E-2</v>
          </cell>
          <cell r="E804">
            <v>200</v>
          </cell>
          <cell r="F804">
            <v>560</v>
          </cell>
          <cell r="G804">
            <v>2365.44</v>
          </cell>
        </row>
        <row r="805">
          <cell r="A805" t="str">
            <v/>
          </cell>
          <cell r="E805" t="str">
            <v/>
          </cell>
          <cell r="F805" t="str">
            <v/>
          </cell>
          <cell r="G805" t="str">
            <v/>
          </cell>
        </row>
        <row r="806">
          <cell r="A806" t="str">
            <v/>
          </cell>
          <cell r="E806" t="str">
            <v/>
          </cell>
          <cell r="F806" t="str">
            <v/>
          </cell>
          <cell r="G806" t="str">
            <v/>
          </cell>
        </row>
        <row r="807">
          <cell r="F807" t="str">
            <v>SUBTOTAL</v>
          </cell>
          <cell r="G807">
            <v>2365.44</v>
          </cell>
        </row>
        <row r="809">
          <cell r="A809" t="str">
            <v>IV. MANO DE OBRA</v>
          </cell>
        </row>
        <row r="810">
          <cell r="A810" t="str">
            <v>CÓDIGO</v>
          </cell>
          <cell r="B810" t="str">
            <v>CARGOS PERSONAL</v>
          </cell>
          <cell r="D810" t="str">
            <v>CANTIDAD</v>
          </cell>
          <cell r="E810" t="str">
            <v>JORNAL TOTAL</v>
          </cell>
          <cell r="F810" t="str">
            <v>RENDIMIENTO</v>
          </cell>
          <cell r="G810" t="str">
            <v>VR. UNITARIO</v>
          </cell>
        </row>
        <row r="811">
          <cell r="A811" t="str">
            <v>MO029</v>
          </cell>
          <cell r="B811" t="str">
            <v>OFICIAL DE OBRA NEGRA</v>
          </cell>
          <cell r="D811">
            <v>1</v>
          </cell>
          <cell r="E811">
            <v>153455</v>
          </cell>
          <cell r="F811">
            <v>40</v>
          </cell>
          <cell r="G811">
            <v>3836.375</v>
          </cell>
        </row>
        <row r="812">
          <cell r="A812" t="str">
            <v>MO032</v>
          </cell>
          <cell r="B812" t="str">
            <v>AYUDANTE RASO</v>
          </cell>
          <cell r="D812">
            <v>1</v>
          </cell>
          <cell r="E812">
            <v>83770</v>
          </cell>
          <cell r="F812">
            <v>40</v>
          </cell>
          <cell r="G812">
            <v>2094.25</v>
          </cell>
        </row>
        <row r="813">
          <cell r="A813" t="str">
            <v/>
          </cell>
          <cell r="E813" t="str">
            <v/>
          </cell>
          <cell r="G813" t="str">
            <v/>
          </cell>
        </row>
        <row r="814">
          <cell r="A814" t="str">
            <v/>
          </cell>
          <cell r="E814" t="str">
            <v/>
          </cell>
          <cell r="F814" t="str">
            <v/>
          </cell>
          <cell r="G814" t="str">
            <v/>
          </cell>
        </row>
        <row r="815">
          <cell r="F815" t="str">
            <v>SUBTOTAL</v>
          </cell>
          <cell r="G815">
            <v>5930.625</v>
          </cell>
        </row>
        <row r="817">
          <cell r="A817" t="str">
            <v>V. SERVICIOS</v>
          </cell>
        </row>
        <row r="818">
          <cell r="A818" t="str">
            <v>CÓDIGO</v>
          </cell>
          <cell r="B818" t="str">
            <v>DESCRIPCIÓN</v>
          </cell>
          <cell r="D818" t="str">
            <v>UNIDAD</v>
          </cell>
          <cell r="E818" t="str">
            <v>CANTIDAD</v>
          </cell>
          <cell r="F818" t="str">
            <v>PRECIO UNIT.</v>
          </cell>
          <cell r="G818" t="str">
            <v>VR. UNITARIO</v>
          </cell>
        </row>
        <row r="819">
          <cell r="A819" t="str">
            <v/>
          </cell>
          <cell r="D819" t="str">
            <v/>
          </cell>
          <cell r="F819" t="str">
            <v/>
          </cell>
          <cell r="G819" t="str">
            <v/>
          </cell>
        </row>
        <row r="820">
          <cell r="A820" t="str">
            <v/>
          </cell>
          <cell r="D820" t="str">
            <v/>
          </cell>
          <cell r="F820" t="str">
            <v/>
          </cell>
          <cell r="G820" t="str">
            <v/>
          </cell>
        </row>
        <row r="821">
          <cell r="A821" t="str">
            <v/>
          </cell>
          <cell r="D821" t="str">
            <v/>
          </cell>
          <cell r="F821" t="str">
            <v/>
          </cell>
          <cell r="G821" t="str">
            <v/>
          </cell>
        </row>
        <row r="822">
          <cell r="F822" t="str">
            <v>SUBTOTAL</v>
          </cell>
          <cell r="G822" t="str">
            <v/>
          </cell>
        </row>
        <row r="824">
          <cell r="A824" t="str">
            <v>TOTAL COSTO DIRECTO</v>
          </cell>
          <cell r="G824">
            <v>70254</v>
          </cell>
        </row>
        <row r="826">
          <cell r="A826" t="str">
            <v>2. COSTOS INDIRECTOS</v>
          </cell>
        </row>
        <row r="828">
          <cell r="A828" t="str">
            <v>DESCRIPCIÓN</v>
          </cell>
          <cell r="F828" t="str">
            <v>PORCENTAJE</v>
          </cell>
          <cell r="G828" t="str">
            <v>VALOR TOTAL</v>
          </cell>
        </row>
        <row r="829">
          <cell r="A829" t="str">
            <v>ADMINISTRACION</v>
          </cell>
          <cell r="F829">
            <v>0.33389999999999997</v>
          </cell>
          <cell r="G829">
            <v>23457.810599999997</v>
          </cell>
        </row>
        <row r="830">
          <cell r="A830" t="str">
            <v>IMPREVISTOS</v>
          </cell>
          <cell r="F830" t="str">
            <v/>
          </cell>
          <cell r="G830" t="str">
            <v/>
          </cell>
        </row>
        <row r="831">
          <cell r="A831" t="str">
            <v>UTILIDADES</v>
          </cell>
          <cell r="F831">
            <v>0.05</v>
          </cell>
          <cell r="G831">
            <v>3512.7000000000003</v>
          </cell>
        </row>
        <row r="832">
          <cell r="A832" t="str">
            <v>TOTAL COSTO INDIRECTO</v>
          </cell>
          <cell r="F832">
            <v>0.38389999999999996</v>
          </cell>
          <cell r="G832">
            <v>26971</v>
          </cell>
        </row>
        <row r="834">
          <cell r="A834" t="str">
            <v>PRECIO UNITARIO TOTAL APROXIMADO AL PESO</v>
          </cell>
          <cell r="G834">
            <v>97225</v>
          </cell>
        </row>
        <row r="837">
          <cell r="B837" t="str">
            <v>SECRETARIA DE PLANEACIÓN E INFRAESTRUCTURA</v>
          </cell>
        </row>
        <row r="839">
          <cell r="D839" t="str">
            <v>FIRMA RESPONSABLE</v>
          </cell>
        </row>
        <row r="841">
          <cell r="A841" t="str">
            <v>DEPARTAMENTO DE ANTIOQUIA</v>
          </cell>
          <cell r="F841" t="str">
            <v/>
          </cell>
        </row>
        <row r="842">
          <cell r="A842" t="str">
            <v>MUNICIPIO DE DABEIBA</v>
          </cell>
        </row>
        <row r="843">
          <cell r="A843" t="str">
            <v>MEJORAMIENTO DE LA RED VIAL URBANA EN EL BARRIO SAN ANTONIO DEL MUNICIPIO DE DABEIBA</v>
          </cell>
        </row>
        <row r="845">
          <cell r="A845" t="str">
            <v>ANÁLISIS DE PRECIOS UNITARIOS</v>
          </cell>
        </row>
        <row r="847">
          <cell r="A847" t="str">
            <v>ITEM</v>
          </cell>
          <cell r="B847" t="str">
            <v>DESCRIPCIÓN</v>
          </cell>
          <cell r="E847" t="str">
            <v>UNIDAD</v>
          </cell>
          <cell r="F847" t="str">
            <v>CANTIDAD</v>
          </cell>
          <cell r="G847" t="str">
            <v>COSTO DIRECTO</v>
          </cell>
        </row>
        <row r="848">
          <cell r="A848" t="str">
            <v>7.1</v>
          </cell>
          <cell r="B848" t="str">
            <v>Pavimento en concreto hidráulico para pavimento, de 4000 psi (Compresión de 28 Mpa), MR 4.0Mpa; Incluye Tratamiento de juntas y dilataciones (corte y sello de dilataciones)</v>
          </cell>
          <cell r="E848" t="str">
            <v>m3</v>
          </cell>
          <cell r="F848">
            <v>302</v>
          </cell>
          <cell r="G848">
            <v>976018</v>
          </cell>
        </row>
        <row r="850">
          <cell r="A850" t="str">
            <v>1. COSTOS DIRECTOS</v>
          </cell>
        </row>
        <row r="852">
          <cell r="A852" t="str">
            <v>I. EQUIPO</v>
          </cell>
        </row>
        <row r="853">
          <cell r="A853" t="str">
            <v>CÓDIGO</v>
          </cell>
          <cell r="B853" t="str">
            <v>DESCRIPCIÓN</v>
          </cell>
          <cell r="D853" t="str">
            <v>UNIDAD</v>
          </cell>
          <cell r="E853" t="str">
            <v>TARIFA</v>
          </cell>
          <cell r="F853" t="str">
            <v>RENDIMIENTO</v>
          </cell>
          <cell r="G853" t="str">
            <v>VR. UNITARIO</v>
          </cell>
        </row>
        <row r="854">
          <cell r="A854" t="str">
            <v>EQ033</v>
          </cell>
          <cell r="B854" t="str">
            <v xml:space="preserve">CORTADORA DE PAVIMENTOS </v>
          </cell>
          <cell r="D854" t="str">
            <v>HORA</v>
          </cell>
          <cell r="E854">
            <v>24000</v>
          </cell>
          <cell r="F854">
            <v>0.5</v>
          </cell>
          <cell r="G854">
            <v>48000</v>
          </cell>
        </row>
        <row r="855">
          <cell r="A855" t="str">
            <v>EQ030</v>
          </cell>
          <cell r="B855" t="str">
            <v xml:space="preserve">FORMALETA METALICA (CONCRETO HIDRAULICO) </v>
          </cell>
          <cell r="D855" t="str">
            <v>DIA</v>
          </cell>
          <cell r="E855">
            <v>62000</v>
          </cell>
          <cell r="F855">
            <v>8</v>
          </cell>
          <cell r="G855">
            <v>7750</v>
          </cell>
        </row>
        <row r="856">
          <cell r="A856" t="str">
            <v>EQ024</v>
          </cell>
          <cell r="B856" t="str">
            <v>VIBRADOR DE CONCRETO A GASOLINA (ALQUILER)</v>
          </cell>
          <cell r="D856" t="str">
            <v>DÍA</v>
          </cell>
          <cell r="E856">
            <v>67000</v>
          </cell>
          <cell r="F856">
            <v>8</v>
          </cell>
          <cell r="G856">
            <v>8375</v>
          </cell>
        </row>
        <row r="857">
          <cell r="A857" t="str">
            <v>EQ001</v>
          </cell>
          <cell r="B857" t="str">
            <v>HERRAMIENTA MENOR (5% DE LA MANO DE OBRA)</v>
          </cell>
          <cell r="D857" t="str">
            <v>%</v>
          </cell>
          <cell r="E857">
            <v>0.05</v>
          </cell>
          <cell r="F857">
            <v>61066.875</v>
          </cell>
          <cell r="G857">
            <v>3053.34375</v>
          </cell>
        </row>
        <row r="858">
          <cell r="F858" t="str">
            <v>SUBTOTAL</v>
          </cell>
          <cell r="G858">
            <v>67178.34375</v>
          </cell>
        </row>
        <row r="860">
          <cell r="A860" t="str">
            <v>II. MATERIALES</v>
          </cell>
        </row>
        <row r="861">
          <cell r="A861" t="str">
            <v>CÓDIGO</v>
          </cell>
          <cell r="B861" t="str">
            <v>DESCRIPCIÓN</v>
          </cell>
          <cell r="C861" t="str">
            <v>UNIDAD</v>
          </cell>
          <cell r="D861" t="str">
            <v>CANTIDAD</v>
          </cell>
          <cell r="E861" t="str">
            <v>DESP.</v>
          </cell>
          <cell r="F861" t="str">
            <v>PRECIO UNIT.</v>
          </cell>
          <cell r="G861" t="str">
            <v>VR. UNITARIO</v>
          </cell>
        </row>
        <row r="862">
          <cell r="A862" t="str">
            <v>MA005</v>
          </cell>
          <cell r="B862" t="str">
            <v>CONCRETO 4000 PSI (280 MPA) EN OBRA</v>
          </cell>
          <cell r="C862" t="str">
            <v>M3</v>
          </cell>
          <cell r="D862">
            <v>1</v>
          </cell>
          <cell r="E862">
            <v>0.05</v>
          </cell>
          <cell r="F862">
            <v>782858</v>
          </cell>
          <cell r="G862">
            <v>822000.9</v>
          </cell>
        </row>
        <row r="863">
          <cell r="A863" t="str">
            <v>MA049</v>
          </cell>
          <cell r="B863" t="str">
            <v>Masilla autonivelante para juntas horizontales</v>
          </cell>
          <cell r="C863" t="str">
            <v>CARTUCHOX300CM3</v>
          </cell>
          <cell r="D863">
            <v>0.37</v>
          </cell>
          <cell r="E863">
            <v>0.05</v>
          </cell>
          <cell r="F863">
            <v>42000</v>
          </cell>
          <cell r="G863">
            <v>16317</v>
          </cell>
        </row>
        <row r="864">
          <cell r="A864" t="str">
            <v>MA050</v>
          </cell>
          <cell r="B864" t="str">
            <v>Cintilla de poliuretano tipo sellalon</v>
          </cell>
          <cell r="C864" t="str">
            <v>ML</v>
          </cell>
          <cell r="D864">
            <v>1.1000000000000001</v>
          </cell>
          <cell r="E864">
            <v>0.05</v>
          </cell>
          <cell r="F864">
            <v>550</v>
          </cell>
          <cell r="G864">
            <v>635.25</v>
          </cell>
        </row>
        <row r="865">
          <cell r="A865" t="str">
            <v>MA051</v>
          </cell>
          <cell r="B865" t="str">
            <v>Antisol blanco</v>
          </cell>
          <cell r="C865" t="str">
            <v>KG</v>
          </cell>
          <cell r="D865">
            <v>1.1200000000000001</v>
          </cell>
          <cell r="E865">
            <v>0.05</v>
          </cell>
          <cell r="F865">
            <v>7500</v>
          </cell>
          <cell r="G865">
            <v>8820</v>
          </cell>
        </row>
        <row r="866">
          <cell r="A866" t="str">
            <v/>
          </cell>
          <cell r="C866" t="str">
            <v/>
          </cell>
          <cell r="F866" t="str">
            <v/>
          </cell>
          <cell r="G866" t="str">
            <v/>
          </cell>
        </row>
        <row r="867">
          <cell r="A867" t="str">
            <v/>
          </cell>
          <cell r="C867" t="str">
            <v/>
          </cell>
          <cell r="F867" t="str">
            <v/>
          </cell>
          <cell r="G867" t="str">
            <v/>
          </cell>
        </row>
        <row r="868">
          <cell r="F868" t="str">
            <v>SUBTOTAL</v>
          </cell>
          <cell r="G868">
            <v>847773.15</v>
          </cell>
        </row>
        <row r="870">
          <cell r="A870" t="str">
            <v>III. TRANSPORTES</v>
          </cell>
        </row>
        <row r="871">
          <cell r="A871" t="str">
            <v>CÓDIGO</v>
          </cell>
          <cell r="B871" t="str">
            <v>DESCRIPCIÓN</v>
          </cell>
          <cell r="C871" t="str">
            <v>TIPO</v>
          </cell>
          <cell r="D871" t="str">
            <v>VOLUMEN/PESO</v>
          </cell>
          <cell r="E871" t="str">
            <v>DISTANCIA</v>
          </cell>
          <cell r="F871" t="str">
            <v>TARIFA</v>
          </cell>
          <cell r="G871" t="str">
            <v>VR. UNITARIO</v>
          </cell>
        </row>
        <row r="872">
          <cell r="A872" t="str">
            <v/>
          </cell>
          <cell r="E872" t="str">
            <v/>
          </cell>
          <cell r="F872" t="str">
            <v/>
          </cell>
          <cell r="G872" t="str">
            <v/>
          </cell>
        </row>
        <row r="873">
          <cell r="A873" t="str">
            <v/>
          </cell>
          <cell r="E873" t="str">
            <v/>
          </cell>
          <cell r="F873" t="str">
            <v/>
          </cell>
          <cell r="G873" t="str">
            <v/>
          </cell>
        </row>
        <row r="874">
          <cell r="F874" t="str">
            <v>SUBTOTAL</v>
          </cell>
          <cell r="G874" t="str">
            <v/>
          </cell>
        </row>
        <row r="876">
          <cell r="A876" t="str">
            <v>IV. MANO DE OBRA</v>
          </cell>
        </row>
        <row r="877">
          <cell r="A877" t="str">
            <v>CÓDIGO</v>
          </cell>
          <cell r="B877" t="str">
            <v>CARGOS PERSONAL</v>
          </cell>
          <cell r="D877" t="str">
            <v>CANTIDAD</v>
          </cell>
          <cell r="E877" t="str">
            <v>JORNAL TOTAL</v>
          </cell>
          <cell r="F877" t="str">
            <v>RENDIMIENTO</v>
          </cell>
          <cell r="G877" t="str">
            <v>VR. UNITARIO</v>
          </cell>
        </row>
        <row r="878">
          <cell r="A878" t="str">
            <v>MO029</v>
          </cell>
          <cell r="B878" t="str">
            <v>OFICIAL DE OBRA NEGRA</v>
          </cell>
          <cell r="D878">
            <v>1</v>
          </cell>
          <cell r="E878">
            <v>153455</v>
          </cell>
          <cell r="F878">
            <v>8</v>
          </cell>
          <cell r="G878">
            <v>19181.875</v>
          </cell>
        </row>
        <row r="879">
          <cell r="A879" t="str">
            <v>MO032</v>
          </cell>
          <cell r="B879" t="str">
            <v>AYUDANTE RASO</v>
          </cell>
          <cell r="D879">
            <v>4</v>
          </cell>
          <cell r="E879">
            <v>83770</v>
          </cell>
          <cell r="F879">
            <v>8</v>
          </cell>
          <cell r="G879">
            <v>41885</v>
          </cell>
        </row>
        <row r="880">
          <cell r="A880" t="str">
            <v/>
          </cell>
          <cell r="E880" t="str">
            <v/>
          </cell>
          <cell r="G880" t="str">
            <v/>
          </cell>
        </row>
        <row r="881">
          <cell r="A881" t="str">
            <v/>
          </cell>
          <cell r="E881" t="str">
            <v/>
          </cell>
          <cell r="F881" t="str">
            <v/>
          </cell>
          <cell r="G881" t="str">
            <v/>
          </cell>
        </row>
        <row r="882">
          <cell r="F882" t="str">
            <v>SUBTOTAL</v>
          </cell>
          <cell r="G882">
            <v>61066.875</v>
          </cell>
        </row>
        <row r="884">
          <cell r="A884" t="str">
            <v>V. SERVICIOS</v>
          </cell>
        </row>
        <row r="885">
          <cell r="A885" t="str">
            <v>CÓDIGO</v>
          </cell>
          <cell r="B885" t="str">
            <v>DESCRIPCIÓN</v>
          </cell>
          <cell r="D885" t="str">
            <v>UNIDAD</v>
          </cell>
          <cell r="E885" t="str">
            <v>CANTIDAD</v>
          </cell>
          <cell r="F885" t="str">
            <v>PRECIO UNIT.</v>
          </cell>
          <cell r="G885" t="str">
            <v>VR. UNITARIO</v>
          </cell>
        </row>
        <row r="886">
          <cell r="A886" t="str">
            <v/>
          </cell>
          <cell r="D886" t="str">
            <v/>
          </cell>
          <cell r="F886" t="str">
            <v/>
          </cell>
          <cell r="G886" t="str">
            <v/>
          </cell>
        </row>
        <row r="887">
          <cell r="A887" t="str">
            <v/>
          </cell>
          <cell r="D887" t="str">
            <v/>
          </cell>
          <cell r="F887" t="str">
            <v/>
          </cell>
          <cell r="G887" t="str">
            <v/>
          </cell>
        </row>
        <row r="888">
          <cell r="A888" t="str">
            <v/>
          </cell>
          <cell r="D888" t="str">
            <v/>
          </cell>
          <cell r="F888" t="str">
            <v/>
          </cell>
          <cell r="G888" t="str">
            <v/>
          </cell>
        </row>
        <row r="889">
          <cell r="F889" t="str">
            <v>SUBTOTAL</v>
          </cell>
          <cell r="G889" t="str">
            <v/>
          </cell>
        </row>
        <row r="891">
          <cell r="A891" t="str">
            <v>TOTAL COSTO DIRECTO</v>
          </cell>
          <cell r="G891">
            <v>976018</v>
          </cell>
        </row>
        <row r="893">
          <cell r="A893" t="str">
            <v>2. COSTOS INDIRECTOS</v>
          </cell>
        </row>
        <row r="895">
          <cell r="A895" t="str">
            <v>DESCRIPCIÓN</v>
          </cell>
          <cell r="F895" t="str">
            <v>PORCENTAJE</v>
          </cell>
          <cell r="G895" t="str">
            <v>VALOR TOTAL</v>
          </cell>
        </row>
        <row r="896">
          <cell r="A896" t="str">
            <v>ADMINISTRACION</v>
          </cell>
          <cell r="F896">
            <v>0.33389999999999997</v>
          </cell>
          <cell r="G896">
            <v>325892.41019999998</v>
          </cell>
        </row>
        <row r="897">
          <cell r="A897" t="str">
            <v>IMPREVISTOS</v>
          </cell>
          <cell r="F897" t="str">
            <v/>
          </cell>
          <cell r="G897" t="str">
            <v/>
          </cell>
        </row>
        <row r="898">
          <cell r="A898" t="str">
            <v>UTILIDADES</v>
          </cell>
          <cell r="F898">
            <v>0.05</v>
          </cell>
          <cell r="G898">
            <v>48800.9</v>
          </cell>
        </row>
        <row r="899">
          <cell r="A899" t="str">
            <v>TOTAL COSTO INDIRECTO</v>
          </cell>
          <cell r="F899">
            <v>0.38389999999999996</v>
          </cell>
          <cell r="G899">
            <v>374693</v>
          </cell>
        </row>
        <row r="901">
          <cell r="A901" t="str">
            <v>PRECIO UNITARIO TOTAL APROXIMADO AL PESO</v>
          </cell>
          <cell r="G901">
            <v>1350711</v>
          </cell>
        </row>
        <row r="904">
          <cell r="B904" t="str">
            <v>SECRETARIA DE PLANEACIÓN E INFRAESTRUCTURA</v>
          </cell>
        </row>
        <row r="906">
          <cell r="D906" t="str">
            <v>FIRMA RESPONSABLE</v>
          </cell>
        </row>
        <row r="908">
          <cell r="A908" t="str">
            <v>DEPARTAMENTO DE ANTIOQUIA</v>
          </cell>
          <cell r="F908" t="str">
            <v/>
          </cell>
        </row>
        <row r="909">
          <cell r="A909" t="str">
            <v>MUNICIPIO DE DABEIBA</v>
          </cell>
        </row>
        <row r="910">
          <cell r="A910" t="str">
            <v>MEJORAMIENTO DE LA RED VIAL URBANA EN EL BARRIO SAN ANTONIO DEL MUNICIPIO DE DABEIBA</v>
          </cell>
        </row>
        <row r="912">
          <cell r="A912" t="str">
            <v>ANÁLISIS DE PRECIOS UNITARIOS</v>
          </cell>
        </row>
        <row r="914">
          <cell r="A914" t="str">
            <v>ITEM</v>
          </cell>
          <cell r="B914" t="str">
            <v>DESCRIPCIÓN</v>
          </cell>
          <cell r="E914" t="str">
            <v>UNIDAD</v>
          </cell>
          <cell r="F914" t="str">
            <v>CANTIDAD</v>
          </cell>
          <cell r="G914" t="str">
            <v>COSTO DIRECTO</v>
          </cell>
        </row>
        <row r="915">
          <cell r="A915" t="str">
            <v>7.2</v>
          </cell>
          <cell r="B915" t="str">
            <v>Resaltos en concreto hidraulico de 3000psi (compresión de 21 Mpa)  de 7m de longitud, 2m de ancho  y 0.10 m de altura en el centro. Incluye pintura, llaves de cimentación según diseño, Tratamiento de juntas y dilataciones.</v>
          </cell>
          <cell r="E915" t="str">
            <v>ml</v>
          </cell>
          <cell r="F915">
            <v>28</v>
          </cell>
          <cell r="G915">
            <v>138984</v>
          </cell>
        </row>
        <row r="917">
          <cell r="A917" t="str">
            <v>1. COSTOS DIRECTOS</v>
          </cell>
        </row>
        <row r="919">
          <cell r="A919" t="str">
            <v>I. EQUIPO</v>
          </cell>
        </row>
        <row r="920">
          <cell r="A920" t="str">
            <v>CÓDIGO</v>
          </cell>
          <cell r="B920" t="str">
            <v>DESCRIPCIÓN</v>
          </cell>
          <cell r="D920" t="str">
            <v>UNIDAD</v>
          </cell>
          <cell r="E920" t="str">
            <v>TARIFA</v>
          </cell>
          <cell r="F920" t="str">
            <v>RENDIMIENTO</v>
          </cell>
          <cell r="G920" t="str">
            <v>VR. UNITARIO</v>
          </cell>
        </row>
        <row r="921">
          <cell r="A921" t="str">
            <v>EQ033</v>
          </cell>
          <cell r="B921" t="str">
            <v xml:space="preserve">CORTADORA DE PAVIMENTOS </v>
          </cell>
          <cell r="D921" t="str">
            <v>HORA</v>
          </cell>
          <cell r="E921">
            <v>24000</v>
          </cell>
          <cell r="F921">
            <v>3.5</v>
          </cell>
          <cell r="G921">
            <v>6857.1428571428569</v>
          </cell>
        </row>
        <row r="922">
          <cell r="A922" t="str">
            <v>EQ030</v>
          </cell>
          <cell r="B922" t="str">
            <v xml:space="preserve">FORMALETA METALICA (CONCRETO HIDRAULICO) </v>
          </cell>
          <cell r="D922" t="str">
            <v>DIA</v>
          </cell>
          <cell r="E922">
            <v>62000</v>
          </cell>
          <cell r="F922">
            <v>28</v>
          </cell>
          <cell r="G922">
            <v>2214.2857142857142</v>
          </cell>
        </row>
        <row r="923">
          <cell r="A923" t="str">
            <v>EQ024</v>
          </cell>
          <cell r="B923" t="str">
            <v>VIBRADOR DE CONCRETO A GASOLINA (ALQUILER)</v>
          </cell>
          <cell r="D923" t="str">
            <v>DÍA</v>
          </cell>
          <cell r="E923">
            <v>67000</v>
          </cell>
          <cell r="F923">
            <v>70</v>
          </cell>
          <cell r="G923">
            <v>957.14285714285711</v>
          </cell>
        </row>
        <row r="924">
          <cell r="A924" t="str">
            <v>EQ001</v>
          </cell>
          <cell r="B924" t="str">
            <v>HERRAMIENTA MENOR (5% DE LA MANO DE OBRA)</v>
          </cell>
          <cell r="D924" t="str">
            <v>%</v>
          </cell>
          <cell r="E924">
            <v>0.05</v>
          </cell>
          <cell r="F924">
            <v>6979.0714285714294</v>
          </cell>
          <cell r="G924">
            <v>348.95357142857148</v>
          </cell>
        </row>
        <row r="925">
          <cell r="F925" t="str">
            <v>SUBTOTAL</v>
          </cell>
          <cell r="G925">
            <v>10377.525</v>
          </cell>
        </row>
        <row r="927">
          <cell r="A927" t="str">
            <v>II. MATERIALES</v>
          </cell>
        </row>
        <row r="928">
          <cell r="A928" t="str">
            <v>CÓDIGO</v>
          </cell>
          <cell r="B928" t="str">
            <v>DESCRIPCIÓN</v>
          </cell>
          <cell r="C928" t="str">
            <v>UNIDAD</v>
          </cell>
          <cell r="D928" t="str">
            <v>CANTIDAD</v>
          </cell>
          <cell r="E928" t="str">
            <v>DESP.</v>
          </cell>
          <cell r="F928" t="str">
            <v>PRECIO UNIT.</v>
          </cell>
          <cell r="G928" t="str">
            <v>VR. UNITARIO</v>
          </cell>
        </row>
        <row r="929">
          <cell r="A929" t="str">
            <v>MA003</v>
          </cell>
          <cell r="B929" t="str">
            <v>CONCRETO 3000 PSI (210 MPA) EN OBRA</v>
          </cell>
          <cell r="C929" t="str">
            <v>M3</v>
          </cell>
          <cell r="D929">
            <v>0.21428571428571427</v>
          </cell>
          <cell r="E929">
            <v>0.05</v>
          </cell>
          <cell r="F929">
            <v>524205</v>
          </cell>
          <cell r="G929">
            <v>117946.125</v>
          </cell>
        </row>
        <row r="930">
          <cell r="A930" t="str">
            <v>MA049</v>
          </cell>
          <cell r="B930" t="str">
            <v>Masilla autonivelante para juntas horizontales</v>
          </cell>
          <cell r="C930" t="str">
            <v>CARTUCHOX300CM3</v>
          </cell>
          <cell r="D930">
            <v>5.2857142857142859E-2</v>
          </cell>
          <cell r="E930">
            <v>0.05</v>
          </cell>
          <cell r="F930">
            <v>42000</v>
          </cell>
          <cell r="G930">
            <v>2331</v>
          </cell>
        </row>
        <row r="931">
          <cell r="A931" t="str">
            <v>MA050</v>
          </cell>
          <cell r="B931" t="str">
            <v>Cintilla de poliuretano tipo sellalon</v>
          </cell>
          <cell r="C931" t="str">
            <v>ML</v>
          </cell>
          <cell r="D931">
            <v>0.15714285714285717</v>
          </cell>
          <cell r="E931">
            <v>0.05</v>
          </cell>
          <cell r="F931">
            <v>550</v>
          </cell>
          <cell r="G931">
            <v>90.750000000000014</v>
          </cell>
        </row>
        <row r="932">
          <cell r="A932" t="str">
            <v>MA051</v>
          </cell>
          <cell r="B932" t="str">
            <v>Antisol blanco</v>
          </cell>
          <cell r="C932" t="str">
            <v>KG</v>
          </cell>
          <cell r="D932">
            <v>0.16</v>
          </cell>
          <cell r="E932">
            <v>0.05</v>
          </cell>
          <cell r="F932">
            <v>7500</v>
          </cell>
          <cell r="G932">
            <v>1260</v>
          </cell>
        </row>
        <row r="933">
          <cell r="A933" t="str">
            <v/>
          </cell>
          <cell r="C933" t="str">
            <v/>
          </cell>
          <cell r="F933" t="str">
            <v/>
          </cell>
          <cell r="G933" t="str">
            <v/>
          </cell>
        </row>
        <row r="934">
          <cell r="A934" t="str">
            <v/>
          </cell>
          <cell r="C934" t="str">
            <v/>
          </cell>
          <cell r="F934" t="str">
            <v/>
          </cell>
          <cell r="G934" t="str">
            <v/>
          </cell>
        </row>
        <row r="935">
          <cell r="F935" t="str">
            <v>SUBTOTAL</v>
          </cell>
          <cell r="G935">
            <v>121627.875</v>
          </cell>
        </row>
        <row r="937">
          <cell r="A937" t="str">
            <v>III. TRANSPORTES</v>
          </cell>
        </row>
        <row r="938">
          <cell r="A938" t="str">
            <v>CÓDIGO</v>
          </cell>
          <cell r="B938" t="str">
            <v>DESCRIPCIÓN</v>
          </cell>
          <cell r="C938" t="str">
            <v>TIPO</v>
          </cell>
          <cell r="D938" t="str">
            <v>VOLUMEN/PESO</v>
          </cell>
          <cell r="E938" t="str">
            <v>DISTANCIA</v>
          </cell>
          <cell r="F938" t="str">
            <v>TARIFA</v>
          </cell>
          <cell r="G938" t="str">
            <v>VR. UNITARIO</v>
          </cell>
        </row>
        <row r="939">
          <cell r="A939" t="str">
            <v/>
          </cell>
          <cell r="E939" t="str">
            <v/>
          </cell>
          <cell r="F939" t="str">
            <v/>
          </cell>
          <cell r="G939" t="str">
            <v/>
          </cell>
        </row>
        <row r="940">
          <cell r="A940" t="str">
            <v/>
          </cell>
          <cell r="E940" t="str">
            <v/>
          </cell>
          <cell r="F940" t="str">
            <v/>
          </cell>
          <cell r="G940" t="str">
            <v/>
          </cell>
        </row>
        <row r="941">
          <cell r="F941" t="str">
            <v>SUBTOTAL</v>
          </cell>
          <cell r="G941" t="str">
            <v/>
          </cell>
        </row>
        <row r="943">
          <cell r="A943" t="str">
            <v>IV. MANO DE OBRA</v>
          </cell>
        </row>
        <row r="944">
          <cell r="A944" t="str">
            <v>CÓDIGO</v>
          </cell>
          <cell r="B944" t="str">
            <v>CARGOS PERSONAL</v>
          </cell>
          <cell r="D944" t="str">
            <v>CANTIDAD</v>
          </cell>
          <cell r="E944" t="str">
            <v>JORNAL TOTAL</v>
          </cell>
          <cell r="F944" t="str">
            <v>RENDIMIENTO</v>
          </cell>
          <cell r="G944" t="str">
            <v>VR. UNITARIO</v>
          </cell>
        </row>
        <row r="945">
          <cell r="A945" t="str">
            <v>MO029</v>
          </cell>
          <cell r="B945" t="str">
            <v>OFICIAL DE OBRA NEGRA</v>
          </cell>
          <cell r="D945">
            <v>1</v>
          </cell>
          <cell r="E945">
            <v>153455</v>
          </cell>
          <cell r="F945">
            <v>70</v>
          </cell>
          <cell r="G945">
            <v>2192.2142857142858</v>
          </cell>
        </row>
        <row r="946">
          <cell r="A946" t="str">
            <v>MO032</v>
          </cell>
          <cell r="B946" t="str">
            <v>AYUDANTE RASO</v>
          </cell>
          <cell r="D946">
            <v>4</v>
          </cell>
          <cell r="E946">
            <v>83770</v>
          </cell>
          <cell r="F946">
            <v>70</v>
          </cell>
          <cell r="G946">
            <v>4786.8571428571431</v>
          </cell>
        </row>
        <row r="947">
          <cell r="A947" t="str">
            <v/>
          </cell>
          <cell r="E947" t="str">
            <v/>
          </cell>
          <cell r="G947" t="str">
            <v/>
          </cell>
        </row>
        <row r="948">
          <cell r="A948" t="str">
            <v/>
          </cell>
          <cell r="E948" t="str">
            <v/>
          </cell>
          <cell r="F948" t="str">
            <v/>
          </cell>
          <cell r="G948" t="str">
            <v/>
          </cell>
        </row>
        <row r="949">
          <cell r="F949" t="str">
            <v>SUBTOTAL</v>
          </cell>
          <cell r="G949">
            <v>6979.0714285714294</v>
          </cell>
        </row>
        <row r="951">
          <cell r="A951" t="str">
            <v>V. SERVICIOS</v>
          </cell>
        </row>
        <row r="952">
          <cell r="A952" t="str">
            <v>CÓDIGO</v>
          </cell>
          <cell r="B952" t="str">
            <v>DESCRIPCIÓN</v>
          </cell>
          <cell r="D952" t="str">
            <v>UNIDAD</v>
          </cell>
          <cell r="E952" t="str">
            <v>CANTIDAD</v>
          </cell>
          <cell r="F952" t="str">
            <v>PRECIO UNIT.</v>
          </cell>
          <cell r="G952" t="str">
            <v>VR. UNITARIO</v>
          </cell>
        </row>
        <row r="953">
          <cell r="A953" t="str">
            <v/>
          </cell>
          <cell r="D953" t="str">
            <v/>
          </cell>
          <cell r="F953" t="str">
            <v/>
          </cell>
          <cell r="G953" t="str">
            <v/>
          </cell>
        </row>
        <row r="954">
          <cell r="A954" t="str">
            <v/>
          </cell>
          <cell r="D954" t="str">
            <v/>
          </cell>
          <cell r="F954" t="str">
            <v/>
          </cell>
          <cell r="G954" t="str">
            <v/>
          </cell>
        </row>
        <row r="955">
          <cell r="A955" t="str">
            <v/>
          </cell>
          <cell r="D955" t="str">
            <v/>
          </cell>
          <cell r="F955" t="str">
            <v/>
          </cell>
          <cell r="G955" t="str">
            <v/>
          </cell>
        </row>
        <row r="956">
          <cell r="F956" t="str">
            <v>SUBTOTAL</v>
          </cell>
          <cell r="G956" t="str">
            <v/>
          </cell>
        </row>
        <row r="958">
          <cell r="A958" t="str">
            <v>TOTAL COSTO DIRECTO</v>
          </cell>
          <cell r="G958">
            <v>138984</v>
          </cell>
        </row>
        <row r="960">
          <cell r="A960" t="str">
            <v>2. COSTOS INDIRECTOS</v>
          </cell>
        </row>
        <row r="962">
          <cell r="A962" t="str">
            <v>DESCRIPCIÓN</v>
          </cell>
          <cell r="F962" t="str">
            <v>PORCENTAJE</v>
          </cell>
          <cell r="G962" t="str">
            <v>VALOR TOTAL</v>
          </cell>
        </row>
        <row r="963">
          <cell r="A963" t="str">
            <v>ADMINISTRACION</v>
          </cell>
          <cell r="F963">
            <v>0.33389999999999997</v>
          </cell>
          <cell r="G963">
            <v>46406.757599999997</v>
          </cell>
        </row>
        <row r="964">
          <cell r="A964" t="str">
            <v>IMPREVISTOS</v>
          </cell>
          <cell r="F964" t="str">
            <v/>
          </cell>
          <cell r="G964" t="str">
            <v/>
          </cell>
        </row>
        <row r="965">
          <cell r="A965" t="str">
            <v>UTILIDADES</v>
          </cell>
          <cell r="F965">
            <v>0.05</v>
          </cell>
          <cell r="G965">
            <v>6949.2000000000007</v>
          </cell>
        </row>
        <row r="966">
          <cell r="A966" t="str">
            <v>TOTAL COSTO INDIRECTO</v>
          </cell>
          <cell r="F966">
            <v>0.38389999999999996</v>
          </cell>
          <cell r="G966">
            <v>53356</v>
          </cell>
        </row>
        <row r="968">
          <cell r="A968" t="str">
            <v>PRECIO UNITARIO TOTAL APROXIMADO AL PESO</v>
          </cell>
          <cell r="G968">
            <v>192340</v>
          </cell>
        </row>
        <row r="971">
          <cell r="B971" t="str">
            <v>SECRETARIA DE PLANEACIÓN E INFRAESTRUCTURA</v>
          </cell>
        </row>
        <row r="973">
          <cell r="D973" t="str">
            <v>FIRMA RESPONSABLE</v>
          </cell>
        </row>
        <row r="975">
          <cell r="A975" t="str">
            <v>DEPARTAMENTO DE ANTIOQUIA</v>
          </cell>
          <cell r="F975" t="str">
            <v/>
          </cell>
        </row>
        <row r="976">
          <cell r="A976" t="str">
            <v>MUNICIPIO DE DABEIBA</v>
          </cell>
        </row>
        <row r="977">
          <cell r="A977" t="str">
            <v>MEJORAMIENTO DE LA RED VIAL URBANA EN EL BARRIO SAN ANTONIO DEL MUNICIPIO DE DABEIBA</v>
          </cell>
        </row>
        <row r="979">
          <cell r="A979" t="str">
            <v>ANÁLISIS DE PRECIOS UNITARIOS</v>
          </cell>
        </row>
        <row r="981">
          <cell r="A981" t="str">
            <v>ITEM</v>
          </cell>
          <cell r="B981" t="str">
            <v>DESCRIPCIÓN</v>
          </cell>
          <cell r="E981" t="str">
            <v>UNIDAD</v>
          </cell>
          <cell r="F981" t="str">
            <v>CANTIDAD</v>
          </cell>
          <cell r="G981" t="str">
            <v>COSTO DIRECTO</v>
          </cell>
        </row>
        <row r="982">
          <cell r="A982" t="str">
            <v>7.3</v>
          </cell>
          <cell r="B982" t="str">
            <v>Bordillo prefabricado  0,45 x 0,15 x 0,8 m, incluye concreto de nivelación y mortero de pega</v>
          </cell>
          <cell r="E982" t="str">
            <v>ml</v>
          </cell>
          <cell r="F982">
            <v>580</v>
          </cell>
          <cell r="G982">
            <v>87042</v>
          </cell>
        </row>
        <row r="984">
          <cell r="A984" t="str">
            <v>1. COSTOS DIRECTOS</v>
          </cell>
        </row>
        <row r="986">
          <cell r="A986" t="str">
            <v>I. EQUIPO</v>
          </cell>
        </row>
        <row r="987">
          <cell r="A987" t="str">
            <v>CÓDIGO</v>
          </cell>
          <cell r="B987" t="str">
            <v>DESCRIPCIÓN</v>
          </cell>
          <cell r="D987" t="str">
            <v>UNIDAD</v>
          </cell>
          <cell r="E987" t="str">
            <v>TARIFA</v>
          </cell>
          <cell r="F987" t="str">
            <v>RENDIMIENTO</v>
          </cell>
          <cell r="G987" t="str">
            <v>VR. UNITARIO</v>
          </cell>
        </row>
        <row r="988">
          <cell r="A988" t="str">
            <v/>
          </cell>
          <cell r="D988" t="str">
            <v/>
          </cell>
          <cell r="E988" t="str">
            <v/>
          </cell>
          <cell r="G988" t="str">
            <v/>
          </cell>
        </row>
        <row r="989">
          <cell r="A989" t="str">
            <v/>
          </cell>
          <cell r="D989" t="str">
            <v/>
          </cell>
          <cell r="E989" t="str">
            <v/>
          </cell>
          <cell r="G989" t="str">
            <v/>
          </cell>
        </row>
        <row r="990">
          <cell r="A990" t="str">
            <v>EQ001</v>
          </cell>
          <cell r="B990" t="str">
            <v>HERRAMIENTA MENOR (5% DE LA MANO DE OBRA)</v>
          </cell>
          <cell r="D990" t="str">
            <v>%</v>
          </cell>
          <cell r="E990">
            <v>0.05</v>
          </cell>
          <cell r="F990">
            <v>24426.75</v>
          </cell>
          <cell r="G990">
            <v>1221.3375000000001</v>
          </cell>
        </row>
        <row r="991">
          <cell r="F991" t="str">
            <v>SUBTOTAL</v>
          </cell>
          <cell r="G991">
            <v>1221.3375000000001</v>
          </cell>
        </row>
        <row r="993">
          <cell r="A993" t="str">
            <v>II. MATERIALES</v>
          </cell>
        </row>
        <row r="994">
          <cell r="A994" t="str">
            <v>CÓDIGO</v>
          </cell>
          <cell r="B994" t="str">
            <v>DESCRIPCIÓN</v>
          </cell>
          <cell r="C994" t="str">
            <v>UNIDAD</v>
          </cell>
          <cell r="D994" t="str">
            <v>CANTIDAD</v>
          </cell>
          <cell r="E994" t="str">
            <v>DESP.</v>
          </cell>
          <cell r="F994" t="str">
            <v>PRECIO UNIT.</v>
          </cell>
          <cell r="G994" t="str">
            <v>VR. UNITARIO</v>
          </cell>
        </row>
        <row r="995">
          <cell r="A995" t="str">
            <v>MA076</v>
          </cell>
          <cell r="B995" t="str">
            <v>Bordillo barrera rectoprefabricado 15x45x80</v>
          </cell>
          <cell r="C995" t="str">
            <v>unidad</v>
          </cell>
          <cell r="D995">
            <v>1.25</v>
          </cell>
          <cell r="E995">
            <v>0.05</v>
          </cell>
          <cell r="F995">
            <v>40000</v>
          </cell>
          <cell r="G995">
            <v>52500</v>
          </cell>
        </row>
        <row r="996">
          <cell r="A996" t="str">
            <v>MA013</v>
          </cell>
          <cell r="B996" t="str">
            <v>MORTERO 1:4 EN OBRA (PEGA)</v>
          </cell>
          <cell r="C996" t="str">
            <v>M3</v>
          </cell>
          <cell r="D996">
            <v>0.02</v>
          </cell>
          <cell r="E996">
            <v>0.05</v>
          </cell>
          <cell r="F996">
            <v>400752</v>
          </cell>
          <cell r="G996">
            <v>8415.7919999999995</v>
          </cell>
        </row>
        <row r="997">
          <cell r="A997" t="str">
            <v/>
          </cell>
          <cell r="C997" t="str">
            <v/>
          </cell>
          <cell r="D997">
            <v>0.12</v>
          </cell>
          <cell r="E997">
            <v>0.05</v>
          </cell>
          <cell r="F997" t="str">
            <v/>
          </cell>
          <cell r="G997" t="str">
            <v/>
          </cell>
        </row>
        <row r="998">
          <cell r="A998" t="str">
            <v/>
          </cell>
          <cell r="C998" t="str">
            <v/>
          </cell>
          <cell r="F998" t="str">
            <v/>
          </cell>
          <cell r="G998" t="str">
            <v/>
          </cell>
        </row>
        <row r="999">
          <cell r="A999" t="str">
            <v/>
          </cell>
          <cell r="C999" t="str">
            <v/>
          </cell>
          <cell r="F999" t="str">
            <v/>
          </cell>
          <cell r="G999" t="str">
            <v/>
          </cell>
        </row>
        <row r="1000">
          <cell r="F1000" t="str">
            <v>SUBTOTAL</v>
          </cell>
          <cell r="G1000">
            <v>60915.792000000001</v>
          </cell>
        </row>
        <row r="1002">
          <cell r="A1002" t="str">
            <v>III. TRANSPORTES</v>
          </cell>
        </row>
        <row r="1003">
          <cell r="A1003" t="str">
            <v>CÓDIGO</v>
          </cell>
          <cell r="B1003" t="str">
            <v>DESCRIPCIÓN</v>
          </cell>
          <cell r="C1003" t="str">
            <v>TIPO</v>
          </cell>
          <cell r="D1003" t="str">
            <v>VOLUMEN/PESO</v>
          </cell>
          <cell r="E1003" t="str">
            <v>DISTANCIA</v>
          </cell>
          <cell r="F1003" t="str">
            <v>TARIFA</v>
          </cell>
          <cell r="G1003" t="str">
            <v>VR. UNITARIO</v>
          </cell>
        </row>
        <row r="1004">
          <cell r="A1004" t="str">
            <v>TR001</v>
          </cell>
          <cell r="B1004" t="str">
            <v>TRANSPORTE DE INSUMOS GENERALES 0-1KM</v>
          </cell>
          <cell r="C1004" t="str">
            <v>INSUMOS</v>
          </cell>
          <cell r="D1004">
            <v>0.1125</v>
          </cell>
          <cell r="E1004">
            <v>1</v>
          </cell>
          <cell r="F1004">
            <v>4250</v>
          </cell>
          <cell r="G1004">
            <v>478.125</v>
          </cell>
        </row>
        <row r="1005">
          <cell r="A1005" t="str">
            <v/>
          </cell>
          <cell r="E1005" t="str">
            <v/>
          </cell>
          <cell r="F1005" t="str">
            <v/>
          </cell>
          <cell r="G1005" t="str">
            <v/>
          </cell>
        </row>
        <row r="1006">
          <cell r="F1006" t="str">
            <v>SUBTOTAL</v>
          </cell>
          <cell r="G1006">
            <v>478.125</v>
          </cell>
        </row>
        <row r="1008">
          <cell r="A1008" t="str">
            <v>IV. MANO DE OBRA</v>
          </cell>
        </row>
        <row r="1009">
          <cell r="A1009" t="str">
            <v>CÓDIGO</v>
          </cell>
          <cell r="B1009" t="str">
            <v>CARGOS PERSONAL</v>
          </cell>
          <cell r="D1009" t="str">
            <v>CANTIDAD</v>
          </cell>
          <cell r="E1009" t="str">
            <v>JORNAL TOTAL</v>
          </cell>
          <cell r="F1009" t="str">
            <v>RENDIMIENTO</v>
          </cell>
          <cell r="G1009" t="str">
            <v>VR. UNITARIO</v>
          </cell>
        </row>
        <row r="1010">
          <cell r="A1010" t="str">
            <v>MO029</v>
          </cell>
          <cell r="B1010" t="str">
            <v>OFICIAL DE OBRA NEGRA</v>
          </cell>
          <cell r="D1010">
            <v>1</v>
          </cell>
          <cell r="E1010">
            <v>153455</v>
          </cell>
          <cell r="F1010">
            <v>20</v>
          </cell>
          <cell r="G1010">
            <v>7672.75</v>
          </cell>
        </row>
        <row r="1011">
          <cell r="A1011" t="str">
            <v>MO032</v>
          </cell>
          <cell r="B1011" t="str">
            <v>AYUDANTE RASO</v>
          </cell>
          <cell r="D1011">
            <v>4</v>
          </cell>
          <cell r="E1011">
            <v>83770</v>
          </cell>
          <cell r="F1011">
            <v>20</v>
          </cell>
          <cell r="G1011">
            <v>16754</v>
          </cell>
        </row>
        <row r="1012">
          <cell r="A1012" t="str">
            <v/>
          </cell>
          <cell r="E1012" t="str">
            <v/>
          </cell>
          <cell r="G1012" t="str">
            <v/>
          </cell>
        </row>
        <row r="1013">
          <cell r="A1013" t="str">
            <v/>
          </cell>
          <cell r="E1013" t="str">
            <v/>
          </cell>
          <cell r="F1013" t="str">
            <v/>
          </cell>
          <cell r="G1013" t="str">
            <v/>
          </cell>
        </row>
        <row r="1014">
          <cell r="F1014" t="str">
            <v>SUBTOTAL</v>
          </cell>
          <cell r="G1014">
            <v>24426.75</v>
          </cell>
        </row>
        <row r="1016">
          <cell r="A1016" t="str">
            <v>V. SERVICIOS</v>
          </cell>
        </row>
        <row r="1017">
          <cell r="A1017" t="str">
            <v>CÓDIGO</v>
          </cell>
          <cell r="B1017" t="str">
            <v>DESCRIPCIÓN</v>
          </cell>
          <cell r="D1017" t="str">
            <v>UNIDAD</v>
          </cell>
          <cell r="E1017" t="str">
            <v>CANTIDAD</v>
          </cell>
          <cell r="F1017" t="str">
            <v>PRECIO UNIT.</v>
          </cell>
          <cell r="G1017" t="str">
            <v>VR. UNITARIO</v>
          </cell>
        </row>
        <row r="1018">
          <cell r="A1018" t="str">
            <v/>
          </cell>
          <cell r="D1018" t="str">
            <v/>
          </cell>
          <cell r="F1018" t="str">
            <v/>
          </cell>
          <cell r="G1018" t="str">
            <v/>
          </cell>
        </row>
        <row r="1019">
          <cell r="A1019" t="str">
            <v/>
          </cell>
          <cell r="D1019" t="str">
            <v/>
          </cell>
          <cell r="F1019" t="str">
            <v/>
          </cell>
          <cell r="G1019" t="str">
            <v/>
          </cell>
        </row>
        <row r="1020">
          <cell r="A1020" t="str">
            <v/>
          </cell>
          <cell r="D1020" t="str">
            <v/>
          </cell>
          <cell r="F1020" t="str">
            <v/>
          </cell>
          <cell r="G1020" t="str">
            <v/>
          </cell>
        </row>
        <row r="1021">
          <cell r="F1021" t="str">
            <v>SUBTOTAL</v>
          </cell>
          <cell r="G1021" t="str">
            <v/>
          </cell>
        </row>
        <row r="1023">
          <cell r="A1023" t="str">
            <v>TOTAL COSTO DIRECTO</v>
          </cell>
          <cell r="G1023">
            <v>87042</v>
          </cell>
        </row>
        <row r="1025">
          <cell r="A1025" t="str">
            <v>2. COSTOS INDIRECTOS</v>
          </cell>
        </row>
        <row r="1027">
          <cell r="A1027" t="str">
            <v>DESCRIPCIÓN</v>
          </cell>
          <cell r="F1027" t="str">
            <v>PORCENTAJE</v>
          </cell>
          <cell r="G1027" t="str">
            <v>VALOR TOTAL</v>
          </cell>
        </row>
        <row r="1028">
          <cell r="A1028" t="str">
            <v>ADMINISTRACION</v>
          </cell>
          <cell r="F1028">
            <v>0.33389999999999997</v>
          </cell>
          <cell r="G1028">
            <v>29063.323799999998</v>
          </cell>
        </row>
        <row r="1029">
          <cell r="A1029" t="str">
            <v>IMPREVISTOS</v>
          </cell>
          <cell r="F1029" t="str">
            <v/>
          </cell>
          <cell r="G1029" t="str">
            <v/>
          </cell>
        </row>
        <row r="1030">
          <cell r="A1030" t="str">
            <v>UTILIDADES</v>
          </cell>
          <cell r="F1030">
            <v>0.05</v>
          </cell>
          <cell r="G1030">
            <v>4352.1000000000004</v>
          </cell>
        </row>
        <row r="1031">
          <cell r="A1031" t="str">
            <v>TOTAL COSTO INDIRECTO</v>
          </cell>
          <cell r="F1031">
            <v>0.38389999999999996</v>
          </cell>
          <cell r="G1031">
            <v>33415</v>
          </cell>
        </row>
        <row r="1033">
          <cell r="A1033" t="str">
            <v>PRECIO UNITARIO TOTAL APROXIMADO AL PESO</v>
          </cell>
          <cell r="G1033">
            <v>120457</v>
          </cell>
        </row>
        <row r="1036">
          <cell r="B1036" t="str">
            <v>SECRETARIA DE PLANEACIÓN E INFRAESTRUCTURA</v>
          </cell>
        </row>
        <row r="1038">
          <cell r="D1038" t="str">
            <v>FIRMA RESPONSABLE</v>
          </cell>
        </row>
        <row r="1040">
          <cell r="A1040" t="str">
            <v>DEPARTAMENTO DE ANTIOQUIA</v>
          </cell>
          <cell r="F1040" t="str">
            <v/>
          </cell>
        </row>
        <row r="1041">
          <cell r="A1041" t="str">
            <v>MUNICIPIO DE DABEIBA</v>
          </cell>
        </row>
        <row r="1042">
          <cell r="A1042" t="str">
            <v>MEJORAMIENTO DE LA RED VIAL URBANA EN EL BARRIO SAN ANTONIO DEL MUNICIPIO DE DABEIBA</v>
          </cell>
        </row>
        <row r="1044">
          <cell r="A1044" t="str">
            <v>ANÁLISIS DE PRECIOS UNITARIOS</v>
          </cell>
        </row>
        <row r="1046">
          <cell r="A1046" t="str">
            <v>ITEM</v>
          </cell>
          <cell r="B1046" t="str">
            <v>DESCRIPCIÓN</v>
          </cell>
          <cell r="E1046" t="str">
            <v>UNIDAD</v>
          </cell>
          <cell r="F1046" t="str">
            <v>CANTIDAD</v>
          </cell>
          <cell r="G1046" t="str">
            <v>COSTO DIRECTO</v>
          </cell>
        </row>
        <row r="1047">
          <cell r="A1047" t="str">
            <v>8.1</v>
          </cell>
          <cell r="B1047" t="str">
            <v>Suministro, transporte e instalación de acero Fy=420Mpa (60.000PSI) grado 60</v>
          </cell>
          <cell r="E1047" t="str">
            <v>Kg</v>
          </cell>
          <cell r="F1047">
            <v>4129</v>
          </cell>
          <cell r="G1047">
            <v>9152</v>
          </cell>
        </row>
        <row r="1049">
          <cell r="A1049" t="str">
            <v>1. COSTOS DIRECTOS</v>
          </cell>
        </row>
        <row r="1051">
          <cell r="A1051" t="str">
            <v>I. EQUIPO</v>
          </cell>
        </row>
        <row r="1052">
          <cell r="A1052" t="str">
            <v>CÓDIGO</v>
          </cell>
          <cell r="B1052" t="str">
            <v>DESCRIPCIÓN</v>
          </cell>
          <cell r="D1052" t="str">
            <v>UNIDAD</v>
          </cell>
          <cell r="E1052" t="str">
            <v>TARIFA</v>
          </cell>
          <cell r="F1052" t="str">
            <v>RENDIMIENTO</v>
          </cell>
          <cell r="G1052" t="str">
            <v>VR. UNITARIO</v>
          </cell>
        </row>
        <row r="1053">
          <cell r="A1053" t="str">
            <v>EQ031</v>
          </cell>
          <cell r="B1053" t="str">
            <v>CIZALLA MANUAL</v>
          </cell>
          <cell r="D1053" t="str">
            <v>HORA</v>
          </cell>
          <cell r="E1053">
            <v>800</v>
          </cell>
          <cell r="F1053">
            <v>4</v>
          </cell>
          <cell r="G1053">
            <v>200</v>
          </cell>
        </row>
        <row r="1054">
          <cell r="A1054" t="str">
            <v/>
          </cell>
          <cell r="D1054" t="str">
            <v/>
          </cell>
          <cell r="E1054" t="str">
            <v/>
          </cell>
          <cell r="G1054" t="str">
            <v/>
          </cell>
        </row>
        <row r="1055">
          <cell r="A1055" t="str">
            <v>EQ001</v>
          </cell>
          <cell r="B1055" t="str">
            <v>HERRAMIENTA MENOR (5% DE LA MANO DE OBRA)</v>
          </cell>
          <cell r="D1055" t="str">
            <v>%</v>
          </cell>
          <cell r="E1055">
            <v>0.05</v>
          </cell>
          <cell r="F1055">
            <v>1395.6666666666667</v>
          </cell>
          <cell r="G1055">
            <v>69.783333333333346</v>
          </cell>
        </row>
        <row r="1056">
          <cell r="F1056" t="str">
            <v>SUBTOTAL</v>
          </cell>
          <cell r="G1056">
            <v>269.78333333333336</v>
          </cell>
        </row>
        <row r="1058">
          <cell r="A1058" t="str">
            <v>II. MATERIALES</v>
          </cell>
        </row>
        <row r="1059">
          <cell r="A1059" t="str">
            <v>CÓDIGO</v>
          </cell>
          <cell r="B1059" t="str">
            <v>DESCRIPCIÓN</v>
          </cell>
          <cell r="C1059" t="str">
            <v>UNIDAD</v>
          </cell>
          <cell r="D1059" t="str">
            <v>CANTIDAD</v>
          </cell>
          <cell r="E1059" t="str">
            <v>DESP.</v>
          </cell>
          <cell r="F1059" t="str">
            <v>PRECIO UNIT.</v>
          </cell>
          <cell r="G1059" t="str">
            <v>VR. UNITARIO</v>
          </cell>
        </row>
        <row r="1060">
          <cell r="A1060" t="str">
            <v>MA028</v>
          </cell>
          <cell r="B1060" t="str">
            <v>ACERO REFUERZO G-60 FIGURADO</v>
          </cell>
          <cell r="C1060" t="str">
            <v>KG</v>
          </cell>
          <cell r="D1060">
            <v>1</v>
          </cell>
          <cell r="E1060">
            <v>0.05</v>
          </cell>
          <cell r="F1060">
            <v>7000</v>
          </cell>
          <cell r="G1060">
            <v>7350</v>
          </cell>
        </row>
        <row r="1061">
          <cell r="A1061" t="str">
            <v>MA029</v>
          </cell>
          <cell r="B1061" t="str">
            <v>ALAMBRE RECOCIDO C 18</v>
          </cell>
          <cell r="C1061" t="str">
            <v>KG</v>
          </cell>
          <cell r="D1061">
            <v>0.03</v>
          </cell>
          <cell r="E1061">
            <v>0.05</v>
          </cell>
          <cell r="F1061">
            <v>4200</v>
          </cell>
          <cell r="G1061">
            <v>132.30000000000001</v>
          </cell>
        </row>
        <row r="1062">
          <cell r="A1062" t="str">
            <v/>
          </cell>
          <cell r="C1062" t="str">
            <v/>
          </cell>
          <cell r="F1062" t="str">
            <v/>
          </cell>
          <cell r="G1062" t="str">
            <v/>
          </cell>
        </row>
        <row r="1063">
          <cell r="F1063" t="str">
            <v>SUBTOTAL</v>
          </cell>
          <cell r="G1063">
            <v>7482.3</v>
          </cell>
        </row>
        <row r="1065">
          <cell r="A1065" t="str">
            <v>III. TRANSPORTES</v>
          </cell>
        </row>
        <row r="1066">
          <cell r="A1066" t="str">
            <v>CÓDIGO</v>
          </cell>
          <cell r="B1066" t="str">
            <v>DESCRIPCIÓN</v>
          </cell>
          <cell r="C1066" t="str">
            <v>TIPO</v>
          </cell>
          <cell r="D1066" t="str">
            <v>VOLUMEN/PESO</v>
          </cell>
          <cell r="E1066" t="str">
            <v>DISTANCIA</v>
          </cell>
          <cell r="F1066" t="str">
            <v>TARIFA</v>
          </cell>
          <cell r="G1066" t="str">
            <v>VR. UNITARIO</v>
          </cell>
        </row>
        <row r="1067">
          <cell r="A1067" t="str">
            <v>TR001</v>
          </cell>
          <cell r="B1067" t="str">
            <v>TRANSPORTE DE INSUMOS GENERALES 0-1KM</v>
          </cell>
          <cell r="C1067" t="str">
            <v>INSUMOS</v>
          </cell>
          <cell r="D1067">
            <v>1.0500000000000002E-3</v>
          </cell>
          <cell r="E1067">
            <v>1</v>
          </cell>
          <cell r="F1067">
            <v>4250</v>
          </cell>
          <cell r="G1067">
            <v>4.4625000000000004</v>
          </cell>
        </row>
        <row r="1068">
          <cell r="A1068" t="str">
            <v/>
          </cell>
          <cell r="E1068" t="str">
            <v/>
          </cell>
          <cell r="F1068" t="str">
            <v/>
          </cell>
          <cell r="G1068" t="str">
            <v/>
          </cell>
        </row>
        <row r="1069">
          <cell r="F1069" t="str">
            <v>SUBTOTAL</v>
          </cell>
          <cell r="G1069">
            <v>4.4625000000000004</v>
          </cell>
        </row>
        <row r="1071">
          <cell r="A1071" t="str">
            <v>IV. MANO DE OBRA</v>
          </cell>
        </row>
        <row r="1072">
          <cell r="A1072" t="str">
            <v>CÓDIGO</v>
          </cell>
          <cell r="B1072" t="str">
            <v>CARGOS PERSONAL</v>
          </cell>
          <cell r="D1072" t="str">
            <v>CANTIDAD</v>
          </cell>
          <cell r="E1072" t="str">
            <v>JORNAL TOTAL</v>
          </cell>
          <cell r="F1072" t="str">
            <v>RENDIMIENTO</v>
          </cell>
          <cell r="G1072" t="str">
            <v>VR. UNITARIO</v>
          </cell>
        </row>
        <row r="1073">
          <cell r="A1073" t="str">
            <v>MO031</v>
          </cell>
          <cell r="B1073" t="str">
            <v>AYUDANTE ENTENDIDO</v>
          </cell>
          <cell r="D1073">
            <v>2</v>
          </cell>
          <cell r="E1073">
            <v>104675</v>
          </cell>
          <cell r="F1073">
            <v>150</v>
          </cell>
          <cell r="G1073">
            <v>1395.6666666666667</v>
          </cell>
        </row>
        <row r="1074">
          <cell r="A1074" t="str">
            <v/>
          </cell>
          <cell r="E1074" t="str">
            <v/>
          </cell>
          <cell r="G1074" t="str">
            <v/>
          </cell>
        </row>
        <row r="1075">
          <cell r="A1075" t="str">
            <v/>
          </cell>
          <cell r="E1075" t="str">
            <v/>
          </cell>
          <cell r="G1075" t="str">
            <v/>
          </cell>
        </row>
        <row r="1076">
          <cell r="A1076" t="str">
            <v/>
          </cell>
          <cell r="E1076" t="str">
            <v/>
          </cell>
          <cell r="F1076" t="str">
            <v/>
          </cell>
          <cell r="G1076" t="str">
            <v/>
          </cell>
        </row>
        <row r="1077">
          <cell r="F1077" t="str">
            <v>SUBTOTAL</v>
          </cell>
          <cell r="G1077">
            <v>1395.6666666666667</v>
          </cell>
        </row>
        <row r="1079">
          <cell r="A1079" t="str">
            <v>V. SERVICIOS</v>
          </cell>
        </row>
        <row r="1080">
          <cell r="A1080" t="str">
            <v>CÓDIGO</v>
          </cell>
          <cell r="B1080" t="str">
            <v>DESCRIPCIÓN</v>
          </cell>
          <cell r="D1080" t="str">
            <v>UNIDAD</v>
          </cell>
          <cell r="E1080" t="str">
            <v>CANTIDAD</v>
          </cell>
          <cell r="F1080" t="str">
            <v>PRECIO UNIT.</v>
          </cell>
          <cell r="G1080" t="str">
            <v>VR. UNITARIO</v>
          </cell>
        </row>
        <row r="1081">
          <cell r="A1081" t="str">
            <v/>
          </cell>
          <cell r="D1081" t="str">
            <v/>
          </cell>
          <cell r="F1081" t="str">
            <v/>
          </cell>
          <cell r="G1081" t="str">
            <v/>
          </cell>
        </row>
        <row r="1082">
          <cell r="A1082" t="str">
            <v/>
          </cell>
          <cell r="D1082" t="str">
            <v/>
          </cell>
          <cell r="F1082" t="str">
            <v/>
          </cell>
          <cell r="G1082" t="str">
            <v/>
          </cell>
        </row>
        <row r="1083">
          <cell r="A1083" t="str">
            <v/>
          </cell>
          <cell r="D1083" t="str">
            <v/>
          </cell>
          <cell r="F1083" t="str">
            <v/>
          </cell>
          <cell r="G1083" t="str">
            <v/>
          </cell>
        </row>
        <row r="1084">
          <cell r="F1084" t="str">
            <v>SUBTOTAL</v>
          </cell>
          <cell r="G1084" t="str">
            <v/>
          </cell>
        </row>
        <row r="1086">
          <cell r="A1086" t="str">
            <v>TOTAL COSTO DIRECTO</v>
          </cell>
          <cell r="G1086">
            <v>9152</v>
          </cell>
        </row>
        <row r="1088">
          <cell r="A1088" t="str">
            <v>2. COSTOS INDIRECTOS</v>
          </cell>
        </row>
        <row r="1090">
          <cell r="A1090" t="str">
            <v>DESCRIPCIÓN</v>
          </cell>
          <cell r="F1090" t="str">
            <v>PORCENTAJE</v>
          </cell>
          <cell r="G1090" t="str">
            <v>VALOR TOTAL</v>
          </cell>
        </row>
        <row r="1091">
          <cell r="A1091" t="str">
            <v>ADMINISTRACION</v>
          </cell>
          <cell r="F1091">
            <v>0.33389999999999997</v>
          </cell>
          <cell r="G1091">
            <v>3055.8527999999997</v>
          </cell>
        </row>
        <row r="1092">
          <cell r="A1092" t="str">
            <v>IMPREVISTOS</v>
          </cell>
          <cell r="F1092" t="str">
            <v/>
          </cell>
          <cell r="G1092" t="str">
            <v/>
          </cell>
        </row>
        <row r="1093">
          <cell r="A1093" t="str">
            <v>UTILIDADES</v>
          </cell>
          <cell r="F1093">
            <v>0.05</v>
          </cell>
          <cell r="G1093">
            <v>457.6</v>
          </cell>
        </row>
        <row r="1094">
          <cell r="A1094" t="str">
            <v>TOTAL COSTO INDIRECTO</v>
          </cell>
          <cell r="F1094">
            <v>0.38389999999999996</v>
          </cell>
          <cell r="G1094">
            <v>3513</v>
          </cell>
        </row>
        <row r="1096">
          <cell r="A1096" t="str">
            <v>PRECIO UNITARIO TOTAL APROXIMADO AL PESO</v>
          </cell>
          <cell r="G1096">
            <v>12665</v>
          </cell>
        </row>
        <row r="1099">
          <cell r="B1099" t="str">
            <v>SECRETARIA DE PLANEACIÓN E INFRAESTRUCTURA</v>
          </cell>
        </row>
        <row r="1101">
          <cell r="D1101" t="str">
            <v>FIRMA RESPONSABLE</v>
          </cell>
        </row>
        <row r="1103">
          <cell r="A1103" t="str">
            <v>DEPARTAMENTO DE ANTIOQUIA</v>
          </cell>
          <cell r="F1103" t="str">
            <v/>
          </cell>
        </row>
        <row r="1104">
          <cell r="A1104" t="str">
            <v>MUNICIPIO DE DABEIBA</v>
          </cell>
        </row>
        <row r="1105">
          <cell r="A1105" t="str">
            <v>MEJORAMIENTO DE LA RED VIAL URBANA EN EL BARRIO SAN ANTONIO DEL MUNICIPIO DE DABEIBA</v>
          </cell>
        </row>
        <row r="1107">
          <cell r="A1107" t="str">
            <v>ANÁLISIS DE PRECIOS UNITARIOS</v>
          </cell>
        </row>
        <row r="1109">
          <cell r="A1109" t="str">
            <v>ITEM</v>
          </cell>
          <cell r="B1109" t="str">
            <v>DESCRIPCIÓN</v>
          </cell>
          <cell r="E1109" t="str">
            <v>UNIDAD</v>
          </cell>
          <cell r="F1109" t="str">
            <v>CANTIDAD</v>
          </cell>
          <cell r="G1109" t="str">
            <v>COSTO DIRECTO</v>
          </cell>
        </row>
        <row r="1110">
          <cell r="A1110" t="str">
            <v>8.2</v>
          </cell>
          <cell r="B1110" t="str">
            <v>Suministro, transporte y colocación de Malla Electrosoldada 15x15cm Diametro 4.0mm (D-084)</v>
          </cell>
          <cell r="E1110" t="str">
            <v>m2</v>
          </cell>
          <cell r="F1110">
            <v>896</v>
          </cell>
          <cell r="G1110">
            <v>9585</v>
          </cell>
        </row>
        <row r="1112">
          <cell r="A1112" t="str">
            <v>1. COSTOS DIRECTOS</v>
          </cell>
        </row>
        <row r="1114">
          <cell r="A1114" t="str">
            <v>I. EQUIPO</v>
          </cell>
        </row>
        <row r="1115">
          <cell r="A1115" t="str">
            <v>CÓDIGO</v>
          </cell>
          <cell r="B1115" t="str">
            <v>DESCRIPCIÓN</v>
          </cell>
          <cell r="D1115" t="str">
            <v>UNIDAD</v>
          </cell>
          <cell r="E1115" t="str">
            <v>TARIFA</v>
          </cell>
          <cell r="F1115" t="str">
            <v>RENDIMIENTO</v>
          </cell>
          <cell r="G1115" t="str">
            <v>VR. UNITARIO</v>
          </cell>
        </row>
        <row r="1116">
          <cell r="A1116" t="str">
            <v>EQ031</v>
          </cell>
          <cell r="B1116" t="str">
            <v>CIZALLA MANUAL</v>
          </cell>
          <cell r="D1116" t="str">
            <v>HORA</v>
          </cell>
          <cell r="E1116">
            <v>800</v>
          </cell>
          <cell r="F1116">
            <v>6</v>
          </cell>
          <cell r="G1116">
            <v>133.33333333333334</v>
          </cell>
        </row>
        <row r="1117">
          <cell r="A1117" t="str">
            <v/>
          </cell>
          <cell r="D1117" t="str">
            <v/>
          </cell>
          <cell r="E1117" t="str">
            <v/>
          </cell>
          <cell r="G1117" t="str">
            <v/>
          </cell>
        </row>
        <row r="1118">
          <cell r="A1118" t="str">
            <v>EQ001</v>
          </cell>
          <cell r="B1118" t="str">
            <v>HERRAMIENTA MENOR (5% DE LA MANO DE OBRA)</v>
          </cell>
          <cell r="D1118" t="str">
            <v>%</v>
          </cell>
          <cell r="E1118">
            <v>0.05</v>
          </cell>
          <cell r="F1118">
            <v>1395.6666666666667</v>
          </cell>
          <cell r="G1118">
            <v>69.783333333333346</v>
          </cell>
        </row>
        <row r="1119">
          <cell r="F1119" t="str">
            <v>SUBTOTAL</v>
          </cell>
          <cell r="G1119">
            <v>203.11666666666667</v>
          </cell>
        </row>
        <row r="1121">
          <cell r="A1121" t="str">
            <v>II. MATERIALES</v>
          </cell>
        </row>
        <row r="1122">
          <cell r="A1122" t="str">
            <v>CÓDIGO</v>
          </cell>
          <cell r="B1122" t="str">
            <v>DESCRIPCIÓN</v>
          </cell>
          <cell r="C1122" t="str">
            <v>UNIDAD</v>
          </cell>
          <cell r="D1122" t="str">
            <v>CANTIDAD</v>
          </cell>
          <cell r="E1122" t="str">
            <v>DESP.</v>
          </cell>
          <cell r="F1122" t="str">
            <v>PRECIO UNIT.</v>
          </cell>
          <cell r="G1122" t="str">
            <v>VR. UNITARIO</v>
          </cell>
        </row>
        <row r="1123">
          <cell r="A1123" t="str">
            <v>MA053</v>
          </cell>
          <cell r="B1123" t="str">
            <v>Malla Electrosoldada 15x15cm Diametro 4.0mm (D-084)</v>
          </cell>
          <cell r="C1123" t="str">
            <v>M2</v>
          </cell>
          <cell r="D1123">
            <v>1.1499999999999999</v>
          </cell>
          <cell r="E1123">
            <v>0.05</v>
          </cell>
          <cell r="F1123">
            <v>6500</v>
          </cell>
          <cell r="G1123">
            <v>7848.7499999999991</v>
          </cell>
        </row>
        <row r="1124">
          <cell r="A1124" t="str">
            <v>MA029</v>
          </cell>
          <cell r="B1124" t="str">
            <v>ALAMBRE RECOCIDO C 18</v>
          </cell>
          <cell r="C1124" t="str">
            <v>KG</v>
          </cell>
          <cell r="D1124">
            <v>0.03</v>
          </cell>
          <cell r="E1124">
            <v>0.05</v>
          </cell>
          <cell r="F1124">
            <v>4200</v>
          </cell>
          <cell r="G1124">
            <v>132.30000000000001</v>
          </cell>
        </row>
        <row r="1125">
          <cell r="A1125" t="str">
            <v/>
          </cell>
          <cell r="C1125" t="str">
            <v/>
          </cell>
          <cell r="F1125" t="str">
            <v/>
          </cell>
          <cell r="G1125" t="str">
            <v/>
          </cell>
        </row>
        <row r="1126">
          <cell r="F1126" t="str">
            <v>SUBTOTAL</v>
          </cell>
          <cell r="G1126">
            <v>7981.0499999999993</v>
          </cell>
        </row>
        <row r="1128">
          <cell r="A1128" t="str">
            <v>III. TRANSPORTES</v>
          </cell>
        </row>
        <row r="1129">
          <cell r="A1129" t="str">
            <v>CÓDIGO</v>
          </cell>
          <cell r="B1129" t="str">
            <v>DESCRIPCIÓN</v>
          </cell>
          <cell r="C1129" t="str">
            <v>TIPO</v>
          </cell>
          <cell r="D1129" t="str">
            <v>VOLUMEN/PESO</v>
          </cell>
          <cell r="E1129" t="str">
            <v>DISTANCIA</v>
          </cell>
          <cell r="F1129" t="str">
            <v>TARIFA</v>
          </cell>
          <cell r="G1129" t="str">
            <v>VR. UNITARIO</v>
          </cell>
        </row>
        <row r="1130">
          <cell r="A1130" t="str">
            <v>TR001</v>
          </cell>
          <cell r="B1130" t="str">
            <v>TRANSPORTE DE INSUMOS GENERALES 0-1KM</v>
          </cell>
          <cell r="C1130" t="str">
            <v>INSUMOS</v>
          </cell>
          <cell r="D1130">
            <v>1.2999999999999999E-3</v>
          </cell>
          <cell r="E1130">
            <v>1</v>
          </cell>
          <cell r="F1130">
            <v>4250</v>
          </cell>
          <cell r="G1130">
            <v>5.5249999999999995</v>
          </cell>
        </row>
        <row r="1131">
          <cell r="A1131" t="str">
            <v/>
          </cell>
          <cell r="E1131" t="str">
            <v/>
          </cell>
          <cell r="F1131" t="str">
            <v/>
          </cell>
          <cell r="G1131" t="str">
            <v/>
          </cell>
        </row>
        <row r="1132">
          <cell r="F1132" t="str">
            <v>SUBTOTAL</v>
          </cell>
          <cell r="G1132">
            <v>5.5249999999999995</v>
          </cell>
        </row>
        <row r="1134">
          <cell r="A1134" t="str">
            <v>IV. MANO DE OBRA</v>
          </cell>
        </row>
        <row r="1135">
          <cell r="A1135" t="str">
            <v>CÓDIGO</v>
          </cell>
          <cell r="B1135" t="str">
            <v>CARGOS PERSONAL</v>
          </cell>
          <cell r="D1135" t="str">
            <v>CANTIDAD</v>
          </cell>
          <cell r="E1135" t="str">
            <v>JORNAL TOTAL</v>
          </cell>
          <cell r="F1135" t="str">
            <v>RENDIMIENTO</v>
          </cell>
          <cell r="G1135" t="str">
            <v>VR. UNITARIO</v>
          </cell>
        </row>
        <row r="1136">
          <cell r="A1136" t="str">
            <v>MO031</v>
          </cell>
          <cell r="B1136" t="str">
            <v>AYUDANTE ENTENDIDO</v>
          </cell>
          <cell r="D1136">
            <v>2</v>
          </cell>
          <cell r="E1136">
            <v>104675</v>
          </cell>
          <cell r="F1136">
            <v>150</v>
          </cell>
          <cell r="G1136">
            <v>1395.6666666666667</v>
          </cell>
        </row>
        <row r="1137">
          <cell r="A1137" t="str">
            <v/>
          </cell>
          <cell r="E1137" t="str">
            <v/>
          </cell>
          <cell r="G1137" t="str">
            <v/>
          </cell>
        </row>
        <row r="1138">
          <cell r="A1138" t="str">
            <v/>
          </cell>
          <cell r="E1138" t="str">
            <v/>
          </cell>
          <cell r="G1138" t="str">
            <v/>
          </cell>
        </row>
        <row r="1139">
          <cell r="A1139" t="str">
            <v/>
          </cell>
          <cell r="E1139" t="str">
            <v/>
          </cell>
          <cell r="F1139" t="str">
            <v/>
          </cell>
          <cell r="G1139" t="str">
            <v/>
          </cell>
        </row>
        <row r="1140">
          <cell r="F1140" t="str">
            <v>SUBTOTAL</v>
          </cell>
          <cell r="G1140">
            <v>1395.6666666666667</v>
          </cell>
        </row>
        <row r="1142">
          <cell r="A1142" t="str">
            <v>V. SERVICIOS</v>
          </cell>
        </row>
        <row r="1143">
          <cell r="A1143" t="str">
            <v>CÓDIGO</v>
          </cell>
          <cell r="B1143" t="str">
            <v>DESCRIPCIÓN</v>
          </cell>
          <cell r="D1143" t="str">
            <v>UNIDAD</v>
          </cell>
          <cell r="E1143" t="str">
            <v>CANTIDAD</v>
          </cell>
          <cell r="F1143" t="str">
            <v>PRECIO UNIT.</v>
          </cell>
          <cell r="G1143" t="str">
            <v>VR. UNITARIO</v>
          </cell>
        </row>
        <row r="1144">
          <cell r="A1144" t="str">
            <v/>
          </cell>
          <cell r="D1144" t="str">
            <v/>
          </cell>
          <cell r="F1144" t="str">
            <v/>
          </cell>
          <cell r="G1144" t="str">
            <v/>
          </cell>
        </row>
        <row r="1145">
          <cell r="A1145" t="str">
            <v/>
          </cell>
          <cell r="D1145" t="str">
            <v/>
          </cell>
          <cell r="F1145" t="str">
            <v/>
          </cell>
          <cell r="G1145" t="str">
            <v/>
          </cell>
        </row>
        <row r="1146">
          <cell r="A1146" t="str">
            <v/>
          </cell>
          <cell r="D1146" t="str">
            <v/>
          </cell>
          <cell r="F1146" t="str">
            <v/>
          </cell>
          <cell r="G1146" t="str">
            <v/>
          </cell>
        </row>
        <row r="1147">
          <cell r="F1147" t="str">
            <v>SUBTOTAL</v>
          </cell>
          <cell r="G1147" t="str">
            <v/>
          </cell>
        </row>
        <row r="1149">
          <cell r="A1149" t="str">
            <v>TOTAL COSTO DIRECTO</v>
          </cell>
          <cell r="G1149">
            <v>9585</v>
          </cell>
        </row>
        <row r="1151">
          <cell r="A1151" t="str">
            <v>2. COSTOS INDIRECTOS</v>
          </cell>
        </row>
        <row r="1153">
          <cell r="A1153" t="str">
            <v>DESCRIPCIÓN</v>
          </cell>
          <cell r="F1153" t="str">
            <v>PORCENTAJE</v>
          </cell>
          <cell r="G1153" t="str">
            <v>VALOR TOTAL</v>
          </cell>
        </row>
        <row r="1154">
          <cell r="A1154" t="str">
            <v>ADMINISTRACION</v>
          </cell>
          <cell r="F1154">
            <v>0.33389999999999997</v>
          </cell>
          <cell r="G1154">
            <v>3200.4314999999997</v>
          </cell>
        </row>
        <row r="1155">
          <cell r="A1155" t="str">
            <v>IMPREVISTOS</v>
          </cell>
          <cell r="F1155" t="str">
            <v/>
          </cell>
          <cell r="G1155" t="str">
            <v/>
          </cell>
        </row>
        <row r="1156">
          <cell r="A1156" t="str">
            <v>UTILIDADES</v>
          </cell>
          <cell r="F1156">
            <v>0.05</v>
          </cell>
          <cell r="G1156">
            <v>479.25</v>
          </cell>
        </row>
        <row r="1157">
          <cell r="A1157" t="str">
            <v>TOTAL COSTO INDIRECTO</v>
          </cell>
          <cell r="F1157">
            <v>0.38389999999999996</v>
          </cell>
          <cell r="G1157">
            <v>3680</v>
          </cell>
        </row>
        <row r="1159">
          <cell r="A1159" t="str">
            <v>PRECIO UNITARIO TOTAL APROXIMADO AL PESO</v>
          </cell>
          <cell r="G1159">
            <v>13265</v>
          </cell>
        </row>
        <row r="1162">
          <cell r="B1162" t="str">
            <v>SECRETARIA DE PLANEACIÓN E INFRAESTRUCTURA</v>
          </cell>
        </row>
        <row r="1164">
          <cell r="D1164" t="str">
            <v>FIRMA RESPONSABLE</v>
          </cell>
        </row>
        <row r="1166">
          <cell r="A1166" t="str">
            <v>DEPARTAMENTO DE ANTIOQUIA</v>
          </cell>
          <cell r="F1166" t="str">
            <v/>
          </cell>
        </row>
        <row r="1167">
          <cell r="A1167" t="str">
            <v>MUNICIPIO DE DABEIBA</v>
          </cell>
        </row>
        <row r="1168">
          <cell r="A1168" t="str">
            <v>MEJORAMIENTO DE LA RED VIAL URBANA EN EL BARRIO SAN ANTONIO DEL MUNICIPIO DE DABEIBA</v>
          </cell>
        </row>
        <row r="1170">
          <cell r="A1170" t="str">
            <v>ANÁLISIS DE PRECIOS UNITARIOS</v>
          </cell>
        </row>
        <row r="1172">
          <cell r="A1172" t="str">
            <v>ITEM</v>
          </cell>
          <cell r="B1172" t="str">
            <v>DESCRIPCIÓN</v>
          </cell>
          <cell r="E1172" t="str">
            <v>UNIDAD</v>
          </cell>
          <cell r="F1172" t="str">
            <v>CANTIDAD</v>
          </cell>
          <cell r="G1172" t="str">
            <v>COSTO DIRECTO</v>
          </cell>
        </row>
        <row r="1173">
          <cell r="A1173" t="str">
            <v>9.1</v>
          </cell>
          <cell r="B1173" t="str">
            <v>Suministro, transporte e instalación de señal vertical de 75 cm x 75 cm más lámina inferior, en lámina galvanizada calibre 16, reflectivo tipo IX amarillo limón, estructura metálica tipo pedestal compuesto por un paral en ángulo de 2"x2"x1/4" y brazos en ángulo 2"x2"x1/8".</v>
          </cell>
          <cell r="E1173" t="str">
            <v>Unidad</v>
          </cell>
          <cell r="F1173">
            <v>19</v>
          </cell>
          <cell r="G1173">
            <v>298859</v>
          </cell>
        </row>
        <row r="1175">
          <cell r="A1175" t="str">
            <v>1. COSTOS DIRECTOS</v>
          </cell>
        </row>
        <row r="1177">
          <cell r="A1177" t="str">
            <v>I. EQUIPO</v>
          </cell>
        </row>
        <row r="1178">
          <cell r="A1178" t="str">
            <v>CÓDIGO</v>
          </cell>
          <cell r="B1178" t="str">
            <v>DESCRIPCIÓN</v>
          </cell>
          <cell r="D1178" t="str">
            <v>UNIDAD</v>
          </cell>
          <cell r="E1178" t="str">
            <v>TARIFA</v>
          </cell>
          <cell r="F1178" t="str">
            <v>RENDIMIENTO</v>
          </cell>
          <cell r="G1178" t="str">
            <v>VR. UNITARIO</v>
          </cell>
        </row>
        <row r="1179">
          <cell r="A1179" t="str">
            <v/>
          </cell>
          <cell r="D1179" t="str">
            <v/>
          </cell>
          <cell r="E1179" t="str">
            <v/>
          </cell>
          <cell r="G1179" t="str">
            <v/>
          </cell>
        </row>
        <row r="1180">
          <cell r="A1180" t="str">
            <v/>
          </cell>
          <cell r="D1180" t="str">
            <v/>
          </cell>
          <cell r="E1180" t="str">
            <v/>
          </cell>
          <cell r="G1180" t="str">
            <v/>
          </cell>
        </row>
        <row r="1181">
          <cell r="A1181" t="str">
            <v>EQ001</v>
          </cell>
          <cell r="B1181" t="str">
            <v>HERRAMIENTA MENOR (5% DE LA MANO DE OBRA)</v>
          </cell>
          <cell r="D1181" t="str">
            <v>%</v>
          </cell>
          <cell r="E1181">
            <v>0.05</v>
          </cell>
          <cell r="F1181">
            <v>11861.25</v>
          </cell>
          <cell r="G1181">
            <v>593.0625</v>
          </cell>
        </row>
        <row r="1182">
          <cell r="F1182" t="str">
            <v>SUBTOTAL</v>
          </cell>
          <cell r="G1182">
            <v>593.0625</v>
          </cell>
        </row>
        <row r="1184">
          <cell r="A1184" t="str">
            <v>II. MATERIALES</v>
          </cell>
        </row>
        <row r="1185">
          <cell r="A1185" t="str">
            <v>CÓDIGO</v>
          </cell>
          <cell r="B1185" t="str">
            <v>DESCRIPCIÓN</v>
          </cell>
          <cell r="C1185" t="str">
            <v>UNIDAD</v>
          </cell>
          <cell r="D1185" t="str">
            <v>CANTIDAD</v>
          </cell>
          <cell r="E1185" t="str">
            <v>DESP.</v>
          </cell>
          <cell r="F1185" t="str">
            <v>PRECIO UNIT.</v>
          </cell>
          <cell r="G1185" t="str">
            <v>VR. UNITARIO</v>
          </cell>
        </row>
        <row r="1186">
          <cell r="A1186" t="str">
            <v>MA036</v>
          </cell>
          <cell r="B1186" t="str">
            <v>PARAL EN ÁNGULO 2"X2"X1/4" Y BRAZO EN ÁNGULO 2"X2"X1/8</v>
          </cell>
          <cell r="C1186" t="str">
            <v>UN</v>
          </cell>
          <cell r="D1186">
            <v>1</v>
          </cell>
          <cell r="E1186">
            <v>0</v>
          </cell>
          <cell r="F1186">
            <v>120000</v>
          </cell>
          <cell r="G1186">
            <v>120000</v>
          </cell>
        </row>
        <row r="1187">
          <cell r="A1187" t="str">
            <v>MA031</v>
          </cell>
          <cell r="B1187" t="str">
            <v>TABLERO AGLOMERADO MDP (SUPER T) 1.83 X 2.44</v>
          </cell>
          <cell r="C1187" t="str">
            <v>UN</v>
          </cell>
          <cell r="D1187">
            <v>1</v>
          </cell>
          <cell r="E1187">
            <v>0</v>
          </cell>
          <cell r="F1187">
            <v>151900</v>
          </cell>
          <cell r="G1187">
            <v>151900</v>
          </cell>
        </row>
        <row r="1188">
          <cell r="A1188" t="str">
            <v>MA001</v>
          </cell>
          <cell r="B1188" t="str">
            <v>CONCRETO 2000 PSI (140 MPA) EN OBRA</v>
          </cell>
          <cell r="C1188" t="str">
            <v>M3</v>
          </cell>
          <cell r="D1188">
            <v>0.03</v>
          </cell>
          <cell r="E1188">
            <v>0.05</v>
          </cell>
          <cell r="F1188">
            <v>459259</v>
          </cell>
          <cell r="G1188">
            <v>14466.6585</v>
          </cell>
        </row>
        <row r="1189">
          <cell r="F1189" t="str">
            <v>SUBTOTAL</v>
          </cell>
          <cell r="G1189">
            <v>286366.65850000002</v>
          </cell>
        </row>
        <row r="1191">
          <cell r="A1191" t="str">
            <v>III. TRANSPORTES</v>
          </cell>
        </row>
        <row r="1192">
          <cell r="A1192" t="str">
            <v>CÓDIGO</v>
          </cell>
          <cell r="B1192" t="str">
            <v>DESCRIPCIÓN</v>
          </cell>
          <cell r="C1192" t="str">
            <v>TIPO</v>
          </cell>
          <cell r="D1192" t="str">
            <v>VOLUMEN/PESO</v>
          </cell>
          <cell r="E1192" t="str">
            <v>DISTANCIA</v>
          </cell>
          <cell r="F1192" t="str">
            <v>TARIFA</v>
          </cell>
          <cell r="G1192" t="str">
            <v>VR. UNITARIO</v>
          </cell>
        </row>
        <row r="1193">
          <cell r="A1193" t="str">
            <v>TR001</v>
          </cell>
          <cell r="B1193" t="str">
            <v>TRANSPORTE DE INSUMOS GENERALES 0-1KM</v>
          </cell>
          <cell r="C1193" t="str">
            <v>INSUMOS</v>
          </cell>
          <cell r="D1193">
            <v>9.0000000000000011E-3</v>
          </cell>
          <cell r="E1193">
            <v>1</v>
          </cell>
          <cell r="F1193">
            <v>4250</v>
          </cell>
          <cell r="G1193">
            <v>38.250000000000007</v>
          </cell>
        </row>
        <row r="1194">
          <cell r="A1194" t="str">
            <v/>
          </cell>
          <cell r="E1194" t="str">
            <v/>
          </cell>
          <cell r="F1194" t="str">
            <v/>
          </cell>
          <cell r="G1194" t="str">
            <v/>
          </cell>
        </row>
        <row r="1195">
          <cell r="F1195" t="str">
            <v>SUBTOTAL</v>
          </cell>
          <cell r="G1195">
            <v>38.250000000000007</v>
          </cell>
        </row>
        <row r="1197">
          <cell r="A1197" t="str">
            <v>IV. MANO DE OBRA</v>
          </cell>
        </row>
        <row r="1198">
          <cell r="A1198" t="str">
            <v>CÓDIGO</v>
          </cell>
          <cell r="B1198" t="str">
            <v>CARGOS PERSONAL</v>
          </cell>
          <cell r="D1198" t="str">
            <v>CANTIDAD</v>
          </cell>
          <cell r="E1198" t="str">
            <v>JORNAL TOTAL</v>
          </cell>
          <cell r="F1198" t="str">
            <v>RENDIMIENTO</v>
          </cell>
          <cell r="G1198" t="str">
            <v>VR. UNITARIO</v>
          </cell>
        </row>
        <row r="1199">
          <cell r="A1199" t="str">
            <v>MO029</v>
          </cell>
          <cell r="B1199" t="str">
            <v>OFICIAL DE OBRA NEGRA</v>
          </cell>
          <cell r="D1199">
            <v>1</v>
          </cell>
          <cell r="E1199">
            <v>153455</v>
          </cell>
          <cell r="F1199">
            <v>20</v>
          </cell>
          <cell r="G1199">
            <v>7672.75</v>
          </cell>
        </row>
        <row r="1200">
          <cell r="A1200" t="str">
            <v>MO032</v>
          </cell>
          <cell r="B1200" t="str">
            <v>AYUDANTE RASO</v>
          </cell>
          <cell r="D1200">
            <v>1</v>
          </cell>
          <cell r="E1200">
            <v>83770</v>
          </cell>
          <cell r="F1200">
            <v>20</v>
          </cell>
          <cell r="G1200">
            <v>4188.5</v>
          </cell>
        </row>
        <row r="1201">
          <cell r="F1201" t="str">
            <v>SUBTOTAL</v>
          </cell>
          <cell r="G1201">
            <v>11861.25</v>
          </cell>
        </row>
        <row r="1203">
          <cell r="A1203" t="str">
            <v>V. SERVICIOS</v>
          </cell>
        </row>
        <row r="1204">
          <cell r="A1204" t="str">
            <v>CÓDIGO</v>
          </cell>
          <cell r="B1204" t="str">
            <v>DESCRIPCIÓN</v>
          </cell>
          <cell r="D1204" t="str">
            <v>UNIDAD</v>
          </cell>
          <cell r="E1204" t="str">
            <v>CANTIDAD</v>
          </cell>
          <cell r="F1204" t="str">
            <v>PRECIO UNIT.</v>
          </cell>
          <cell r="G1204" t="str">
            <v>VR. UNITARIO</v>
          </cell>
        </row>
        <row r="1205">
          <cell r="A1205" t="str">
            <v/>
          </cell>
          <cell r="D1205" t="str">
            <v/>
          </cell>
          <cell r="F1205" t="str">
            <v/>
          </cell>
          <cell r="G1205" t="str">
            <v/>
          </cell>
        </row>
        <row r="1206">
          <cell r="A1206" t="str">
            <v/>
          </cell>
          <cell r="D1206" t="str">
            <v/>
          </cell>
          <cell r="F1206" t="str">
            <v/>
          </cell>
          <cell r="G1206" t="str">
            <v/>
          </cell>
        </row>
        <row r="1207">
          <cell r="A1207" t="str">
            <v/>
          </cell>
          <cell r="D1207" t="str">
            <v/>
          </cell>
          <cell r="F1207" t="str">
            <v/>
          </cell>
          <cell r="G1207" t="str">
            <v/>
          </cell>
        </row>
        <row r="1208">
          <cell r="F1208" t="str">
            <v>SUBTOTAL</v>
          </cell>
          <cell r="G1208" t="str">
            <v/>
          </cell>
        </row>
        <row r="1210">
          <cell r="A1210" t="str">
            <v>TOTAL COSTO DIRECTO</v>
          </cell>
          <cell r="G1210">
            <v>298859</v>
          </cell>
        </row>
        <row r="1212">
          <cell r="A1212" t="str">
            <v>2. COSTOS INDIRECTOS</v>
          </cell>
        </row>
        <row r="1214">
          <cell r="A1214" t="str">
            <v>DESCRIPCIÓN</v>
          </cell>
          <cell r="F1214" t="str">
            <v>PORCENTAJE</v>
          </cell>
          <cell r="G1214" t="str">
            <v>VALOR TOTAL</v>
          </cell>
        </row>
        <row r="1215">
          <cell r="A1215" t="str">
            <v>ADMINISTRACION</v>
          </cell>
          <cell r="F1215">
            <v>0.33389999999999997</v>
          </cell>
          <cell r="G1215">
            <v>99789.020099999994</v>
          </cell>
        </row>
        <row r="1216">
          <cell r="A1216" t="str">
            <v>IMPREVISTOS</v>
          </cell>
          <cell r="F1216" t="str">
            <v/>
          </cell>
          <cell r="G1216" t="str">
            <v/>
          </cell>
        </row>
        <row r="1217">
          <cell r="A1217" t="str">
            <v>UTILIDADES</v>
          </cell>
          <cell r="F1217">
            <v>0.05</v>
          </cell>
          <cell r="G1217">
            <v>14942.95</v>
          </cell>
        </row>
        <row r="1218">
          <cell r="A1218" t="str">
            <v>TOTAL COSTO INDIRECTO</v>
          </cell>
          <cell r="F1218">
            <v>0.38389999999999996</v>
          </cell>
          <cell r="G1218">
            <v>114732</v>
          </cell>
        </row>
        <row r="1220">
          <cell r="A1220" t="str">
            <v>PRECIO UNITARIO TOTAL APROXIMADO AL PESO</v>
          </cell>
          <cell r="G1220">
            <v>413591</v>
          </cell>
        </row>
        <row r="1223">
          <cell r="B1223" t="str">
            <v>SECRETARIA DE PLANEACIÓN E INFRAESTRUCTURA</v>
          </cell>
        </row>
        <row r="1225">
          <cell r="D1225" t="str">
            <v>FIRMA RESPONSABLE</v>
          </cell>
        </row>
        <row r="1227">
          <cell r="A1227" t="str">
            <v>DEPARTAMENTO DE ANTIOQUIA</v>
          </cell>
          <cell r="F1227" t="str">
            <v/>
          </cell>
        </row>
        <row r="1228">
          <cell r="A1228" t="str">
            <v>MUNICIPIO DE DABEIBA</v>
          </cell>
        </row>
        <row r="1229">
          <cell r="A1229" t="str">
            <v>MEJORAMIENTO DE LA RED VIAL URBANA EN EL BARRIO SAN ANTONIO DEL MUNICIPIO DE DABEIBA</v>
          </cell>
        </row>
        <row r="1231">
          <cell r="A1231" t="str">
            <v>ANÁLISIS DE PRECIOS UNITARIOS</v>
          </cell>
        </row>
        <row r="1233">
          <cell r="A1233" t="str">
            <v>ITEM</v>
          </cell>
          <cell r="B1233" t="str">
            <v>DESCRIPCIÓN</v>
          </cell>
          <cell r="E1233" t="str">
            <v>UNIDAD</v>
          </cell>
          <cell r="F1233" t="str">
            <v>CANTIDAD</v>
          </cell>
          <cell r="G1233" t="str">
            <v>COSTO DIRECTO</v>
          </cell>
        </row>
        <row r="1234">
          <cell r="A1234" t="str">
            <v>9.2</v>
          </cell>
          <cell r="B1234" t="str">
            <v>Suministro, transporte e instalación de pintura acrílica sobre vía en pavimento, incluye todo lo necesario para su correcta instalación</v>
          </cell>
          <cell r="E1234" t="str">
            <v>m2</v>
          </cell>
          <cell r="F1234">
            <v>77</v>
          </cell>
          <cell r="G1234">
            <v>50550</v>
          </cell>
        </row>
        <row r="1236">
          <cell r="A1236" t="str">
            <v>1. COSTOS DIRECTOS</v>
          </cell>
        </row>
        <row r="1238">
          <cell r="A1238" t="str">
            <v>I. EQUIPO</v>
          </cell>
        </row>
        <row r="1239">
          <cell r="A1239" t="str">
            <v>CÓDIGO</v>
          </cell>
          <cell r="B1239" t="str">
            <v>DESCRIPCIÓN</v>
          </cell>
          <cell r="D1239" t="str">
            <v>UNIDAD</v>
          </cell>
          <cell r="E1239" t="str">
            <v>TARIFA</v>
          </cell>
          <cell r="F1239" t="str">
            <v>RENDIMIENTO</v>
          </cell>
          <cell r="G1239" t="str">
            <v>VR. UNITARIO</v>
          </cell>
        </row>
        <row r="1240">
          <cell r="A1240" t="str">
            <v/>
          </cell>
          <cell r="D1240" t="str">
            <v/>
          </cell>
          <cell r="E1240" t="str">
            <v/>
          </cell>
          <cell r="G1240" t="str">
            <v/>
          </cell>
        </row>
        <row r="1241">
          <cell r="A1241" t="str">
            <v/>
          </cell>
          <cell r="D1241" t="str">
            <v/>
          </cell>
          <cell r="E1241" t="str">
            <v/>
          </cell>
          <cell r="G1241" t="str">
            <v/>
          </cell>
        </row>
        <row r="1242">
          <cell r="A1242" t="str">
            <v>EQ001</v>
          </cell>
          <cell r="B1242" t="str">
            <v>HERRAMIENTA MENOR (5% DE LA MANO DE OBRA)</v>
          </cell>
          <cell r="D1242" t="str">
            <v>%</v>
          </cell>
          <cell r="E1242">
            <v>0.05</v>
          </cell>
          <cell r="F1242">
            <v>39537.5</v>
          </cell>
          <cell r="G1242">
            <v>1976.875</v>
          </cell>
        </row>
        <row r="1243">
          <cell r="F1243" t="str">
            <v>SUBTOTAL</v>
          </cell>
          <cell r="G1243">
            <v>1976.875</v>
          </cell>
        </row>
        <row r="1245">
          <cell r="A1245" t="str">
            <v>II. MATERIALES</v>
          </cell>
        </row>
        <row r="1246">
          <cell r="A1246" t="str">
            <v>CÓDIGO</v>
          </cell>
          <cell r="B1246" t="str">
            <v>DESCRIPCIÓN</v>
          </cell>
          <cell r="C1246" t="str">
            <v>UNIDAD</v>
          </cell>
          <cell r="D1246" t="str">
            <v>CANTIDAD</v>
          </cell>
          <cell r="E1246" t="str">
            <v>DESP.</v>
          </cell>
          <cell r="F1246" t="str">
            <v>PRECIO UNIT.</v>
          </cell>
          <cell r="G1246" t="str">
            <v>VR. UNITARIO</v>
          </cell>
        </row>
        <row r="1247">
          <cell r="A1247" t="str">
            <v>MA034</v>
          </cell>
          <cell r="B1247" t="str">
            <v>PINTURA ACRILICA EN FRIO</v>
          </cell>
          <cell r="C1247" t="str">
            <v>GAL</v>
          </cell>
          <cell r="D1247">
            <v>9.5000000000000001E-2</v>
          </cell>
          <cell r="E1247">
            <v>0</v>
          </cell>
          <cell r="F1247">
            <v>92900</v>
          </cell>
          <cell r="G1247">
            <v>8825.5</v>
          </cell>
        </row>
        <row r="1248">
          <cell r="A1248" t="str">
            <v>MA060</v>
          </cell>
          <cell r="B1248" t="str">
            <v>Disolvente para pintura acrilica</v>
          </cell>
          <cell r="C1248" t="str">
            <v>gal</v>
          </cell>
          <cell r="D1248">
            <v>0.01</v>
          </cell>
          <cell r="E1248">
            <v>0</v>
          </cell>
          <cell r="F1248">
            <v>21000</v>
          </cell>
          <cell r="G1248">
            <v>210</v>
          </cell>
        </row>
        <row r="1249">
          <cell r="A1249" t="str">
            <v/>
          </cell>
          <cell r="C1249" t="str">
            <v/>
          </cell>
          <cell r="F1249" t="str">
            <v/>
          </cell>
          <cell r="G1249" t="str">
            <v/>
          </cell>
        </row>
        <row r="1250">
          <cell r="F1250" t="str">
            <v>SUBTOTAL</v>
          </cell>
          <cell r="G1250">
            <v>9035.5</v>
          </cell>
        </row>
        <row r="1252">
          <cell r="A1252" t="str">
            <v>III. TRANSPORTES</v>
          </cell>
        </row>
        <row r="1253">
          <cell r="A1253" t="str">
            <v>CÓDIGO</v>
          </cell>
          <cell r="B1253" t="str">
            <v>DESCRIPCIÓN</v>
          </cell>
          <cell r="C1253" t="str">
            <v>TIPO</v>
          </cell>
          <cell r="D1253" t="str">
            <v>VOLUMEN/PESO</v>
          </cell>
          <cell r="E1253" t="str">
            <v>DISTANCIA</v>
          </cell>
          <cell r="F1253" t="str">
            <v>TARIFA</v>
          </cell>
          <cell r="G1253" t="str">
            <v>VR. UNITARIO</v>
          </cell>
        </row>
        <row r="1254">
          <cell r="A1254" t="str">
            <v/>
          </cell>
          <cell r="E1254" t="str">
            <v/>
          </cell>
          <cell r="F1254" t="str">
            <v/>
          </cell>
          <cell r="G1254" t="str">
            <v/>
          </cell>
        </row>
        <row r="1255">
          <cell r="A1255" t="str">
            <v/>
          </cell>
          <cell r="E1255" t="str">
            <v/>
          </cell>
          <cell r="F1255" t="str">
            <v/>
          </cell>
          <cell r="G1255" t="str">
            <v/>
          </cell>
        </row>
        <row r="1256">
          <cell r="F1256" t="str">
            <v>SUBTOTAL</v>
          </cell>
          <cell r="G1256" t="str">
            <v/>
          </cell>
        </row>
        <row r="1258">
          <cell r="A1258" t="str">
            <v>IV. MANO DE OBRA</v>
          </cell>
        </row>
        <row r="1259">
          <cell r="A1259" t="str">
            <v>CÓDIGO</v>
          </cell>
          <cell r="B1259" t="str">
            <v>CARGOS PERSONAL</v>
          </cell>
          <cell r="D1259" t="str">
            <v>CANTIDAD</v>
          </cell>
          <cell r="E1259" t="str">
            <v>JORNAL TOTAL</v>
          </cell>
          <cell r="F1259" t="str">
            <v>RENDIMIENTO</v>
          </cell>
          <cell r="G1259" t="str">
            <v>VR. UNITARIO</v>
          </cell>
        </row>
        <row r="1260">
          <cell r="A1260" t="str">
            <v>MO029</v>
          </cell>
          <cell r="B1260" t="str">
            <v>OFICIAL DE OBRA NEGRA</v>
          </cell>
          <cell r="D1260">
            <v>1</v>
          </cell>
          <cell r="E1260">
            <v>153455</v>
          </cell>
          <cell r="F1260">
            <v>6</v>
          </cell>
          <cell r="G1260">
            <v>25575.833333333332</v>
          </cell>
        </row>
        <row r="1261">
          <cell r="A1261" t="str">
            <v>MO032</v>
          </cell>
          <cell r="B1261" t="str">
            <v>AYUDANTE RASO</v>
          </cell>
          <cell r="D1261">
            <v>1</v>
          </cell>
          <cell r="E1261">
            <v>83770</v>
          </cell>
          <cell r="F1261">
            <v>6</v>
          </cell>
          <cell r="G1261">
            <v>13961.666666666666</v>
          </cell>
        </row>
        <row r="1262">
          <cell r="F1262" t="str">
            <v>SUBTOTAL</v>
          </cell>
          <cell r="G1262">
            <v>39537.5</v>
          </cell>
        </row>
        <row r="1264">
          <cell r="A1264" t="str">
            <v>V. SERVICIOS</v>
          </cell>
        </row>
        <row r="1265">
          <cell r="A1265" t="str">
            <v>CÓDIGO</v>
          </cell>
          <cell r="B1265" t="str">
            <v>DESCRIPCIÓN</v>
          </cell>
          <cell r="D1265" t="str">
            <v>UNIDAD</v>
          </cell>
          <cell r="E1265" t="str">
            <v>CANTIDAD</v>
          </cell>
          <cell r="F1265" t="str">
            <v>PRECIO UNIT.</v>
          </cell>
          <cell r="G1265" t="str">
            <v>VR. UNITARIO</v>
          </cell>
        </row>
        <row r="1266">
          <cell r="A1266" t="str">
            <v/>
          </cell>
          <cell r="D1266" t="str">
            <v/>
          </cell>
          <cell r="F1266" t="str">
            <v/>
          </cell>
          <cell r="G1266" t="str">
            <v/>
          </cell>
        </row>
        <row r="1267">
          <cell r="A1267" t="str">
            <v/>
          </cell>
          <cell r="D1267" t="str">
            <v/>
          </cell>
          <cell r="F1267" t="str">
            <v/>
          </cell>
          <cell r="G1267" t="str">
            <v/>
          </cell>
        </row>
        <row r="1268">
          <cell r="A1268" t="str">
            <v/>
          </cell>
          <cell r="D1268" t="str">
            <v/>
          </cell>
          <cell r="F1268" t="str">
            <v/>
          </cell>
          <cell r="G1268" t="str">
            <v/>
          </cell>
        </row>
        <row r="1269">
          <cell r="F1269" t="str">
            <v>SUBTOTAL</v>
          </cell>
          <cell r="G1269" t="str">
            <v/>
          </cell>
        </row>
        <row r="1271">
          <cell r="A1271" t="str">
            <v>TOTAL COSTO DIRECTO</v>
          </cell>
          <cell r="G1271">
            <v>50550</v>
          </cell>
        </row>
        <row r="1273">
          <cell r="A1273" t="str">
            <v>2. COSTOS INDIRECTOS</v>
          </cell>
        </row>
        <row r="1275">
          <cell r="A1275" t="str">
            <v>DESCRIPCIÓN</v>
          </cell>
          <cell r="F1275" t="str">
            <v>PORCENTAJE</v>
          </cell>
          <cell r="G1275" t="str">
            <v>VALOR TOTAL</v>
          </cell>
        </row>
        <row r="1276">
          <cell r="A1276" t="str">
            <v>ADMINISTRACION</v>
          </cell>
          <cell r="F1276">
            <v>0.33389999999999997</v>
          </cell>
          <cell r="G1276">
            <v>16878.645</v>
          </cell>
        </row>
        <row r="1277">
          <cell r="A1277" t="str">
            <v>IMPREVISTOS</v>
          </cell>
          <cell r="F1277" t="str">
            <v/>
          </cell>
          <cell r="G1277" t="str">
            <v/>
          </cell>
        </row>
        <row r="1278">
          <cell r="A1278" t="str">
            <v>UTILIDADES</v>
          </cell>
          <cell r="F1278">
            <v>0.05</v>
          </cell>
          <cell r="G1278">
            <v>2527.5</v>
          </cell>
        </row>
        <row r="1279">
          <cell r="A1279" t="str">
            <v>TOTAL COSTO INDIRECTO</v>
          </cell>
          <cell r="F1279">
            <v>0.38389999999999996</v>
          </cell>
          <cell r="G1279">
            <v>19406</v>
          </cell>
        </row>
        <row r="1281">
          <cell r="A1281" t="str">
            <v>PRECIO UNITARIO TOTAL APROXIMADO AL PESO</v>
          </cell>
          <cell r="G1281">
            <v>69956</v>
          </cell>
        </row>
        <row r="1284">
          <cell r="B1284" t="str">
            <v>SECRETARIA DE PLANEACIÓN E INFRAESTRUCTURA</v>
          </cell>
        </row>
        <row r="1286">
          <cell r="D1286" t="str">
            <v>FIRMA RESPONSABLE</v>
          </cell>
        </row>
        <row r="1288">
          <cell r="A1288" t="str">
            <v>DEPARTAMENTO DE ANTIOQUIA</v>
          </cell>
          <cell r="F1288" t="str">
            <v/>
          </cell>
        </row>
        <row r="1289">
          <cell r="A1289" t="str">
            <v>MUNICIPIO DE DABEIBA</v>
          </cell>
        </row>
        <row r="1290">
          <cell r="A1290" t="str">
            <v>MEJORAMIENTO DE LA RED VIAL URBANA EN EL BARRIO SAN ANTONIO DEL MUNICIPIO DE DABEIBA</v>
          </cell>
        </row>
        <row r="1292">
          <cell r="A1292" t="str">
            <v>ANÁLISIS DE PRECIOS UNITARIOS</v>
          </cell>
        </row>
        <row r="1294">
          <cell r="A1294" t="str">
            <v>ITEM</v>
          </cell>
          <cell r="B1294" t="str">
            <v>DESCRIPCIÓN</v>
          </cell>
          <cell r="E1294" t="str">
            <v>UNIDAD</v>
          </cell>
          <cell r="F1294" t="str">
            <v>CANTIDAD</v>
          </cell>
          <cell r="G1294" t="str">
            <v>COSTO DIRECTO</v>
          </cell>
        </row>
        <row r="1295">
          <cell r="A1295" t="str">
            <v>10.1</v>
          </cell>
          <cell r="B1295" t="str">
            <v>Caja tipo sumidero en concreto de 2500 psi, 80x80 cm, incluye Rejilla tipo basculante compuesta por un marco, ala, bisagra o punto de pivote, No incluye refuerzo.</v>
          </cell>
          <cell r="E1295" t="str">
            <v>Unidad</v>
          </cell>
          <cell r="F1295">
            <v>0</v>
          </cell>
          <cell r="G1295">
            <v>665546</v>
          </cell>
        </row>
        <row r="1297">
          <cell r="A1297" t="str">
            <v>1. COSTOS DIRECTOS</v>
          </cell>
        </row>
        <row r="1299">
          <cell r="A1299" t="str">
            <v>I. EQUIPO</v>
          </cell>
        </row>
        <row r="1300">
          <cell r="A1300" t="str">
            <v>CÓDIGO</v>
          </cell>
          <cell r="B1300" t="str">
            <v>DESCRIPCIÓN</v>
          </cell>
          <cell r="D1300" t="str">
            <v>UNIDAD</v>
          </cell>
          <cell r="E1300" t="str">
            <v>TARIFA</v>
          </cell>
          <cell r="F1300" t="str">
            <v>RENDIMIENTO</v>
          </cell>
          <cell r="G1300" t="str">
            <v>VR. UNITARIO</v>
          </cell>
        </row>
        <row r="1301">
          <cell r="A1301" t="str">
            <v/>
          </cell>
          <cell r="D1301" t="str">
            <v/>
          </cell>
          <cell r="E1301" t="str">
            <v/>
          </cell>
          <cell r="G1301" t="str">
            <v/>
          </cell>
        </row>
        <row r="1302">
          <cell r="A1302" t="str">
            <v/>
          </cell>
          <cell r="D1302" t="str">
            <v/>
          </cell>
          <cell r="E1302" t="str">
            <v/>
          </cell>
          <cell r="G1302" t="str">
            <v/>
          </cell>
        </row>
        <row r="1303">
          <cell r="A1303" t="str">
            <v>EQ001</v>
          </cell>
          <cell r="B1303" t="str">
            <v>HERRAMIENTA MENOR (5% DE LA MANO DE OBRA)</v>
          </cell>
          <cell r="D1303" t="str">
            <v>%</v>
          </cell>
          <cell r="E1303">
            <v>0.05</v>
          </cell>
          <cell r="F1303">
            <v>160497.5</v>
          </cell>
          <cell r="G1303">
            <v>8024.875</v>
          </cell>
        </row>
        <row r="1304">
          <cell r="F1304" t="str">
            <v>SUBTOTAL</v>
          </cell>
          <cell r="G1304">
            <v>8024.875</v>
          </cell>
        </row>
        <row r="1306">
          <cell r="A1306" t="str">
            <v>II. MATERIALES</v>
          </cell>
        </row>
        <row r="1307">
          <cell r="A1307" t="str">
            <v>CÓDIGO</v>
          </cell>
          <cell r="B1307" t="str">
            <v>DESCRIPCIÓN</v>
          </cell>
          <cell r="C1307" t="str">
            <v>UNIDAD</v>
          </cell>
          <cell r="D1307" t="str">
            <v>CANTIDAD</v>
          </cell>
          <cell r="E1307" t="str">
            <v>DESP.</v>
          </cell>
          <cell r="F1307" t="str">
            <v>PRECIO UNIT.</v>
          </cell>
          <cell r="G1307" t="str">
            <v>VR. UNITARIO</v>
          </cell>
        </row>
        <row r="1308">
          <cell r="A1308" t="str">
            <v>MA003</v>
          </cell>
          <cell r="B1308" t="str">
            <v>CONCRETO 3000 PSI (210 MPA) EN OBRA</v>
          </cell>
          <cell r="C1308" t="str">
            <v>M3</v>
          </cell>
          <cell r="D1308">
            <v>0.40800000000000014</v>
          </cell>
          <cell r="E1308">
            <v>0.05</v>
          </cell>
          <cell r="F1308">
            <v>524205</v>
          </cell>
          <cell r="G1308">
            <v>224569.42200000008</v>
          </cell>
        </row>
        <row r="1309">
          <cell r="A1309" t="str">
            <v>MA054</v>
          </cell>
          <cell r="B1309" t="str">
            <v>Rejilla tipo basculante compuesta por un marco, ala, bisagra o punto de pivote.</v>
          </cell>
          <cell r="C1309" t="str">
            <v>UN</v>
          </cell>
          <cell r="D1309">
            <v>1</v>
          </cell>
          <cell r="E1309">
            <v>0</v>
          </cell>
          <cell r="F1309">
            <v>180000</v>
          </cell>
          <cell r="G1309">
            <v>180000</v>
          </cell>
        </row>
        <row r="1310">
          <cell r="A1310" t="str">
            <v>MA030</v>
          </cell>
          <cell r="B1310" t="str">
            <v>LARGUERO MADERA COMÚN 4CMX8CMX2.80</v>
          </cell>
          <cell r="C1310" t="str">
            <v>UN</v>
          </cell>
          <cell r="D1310">
            <v>1</v>
          </cell>
          <cell r="E1310">
            <v>0.05</v>
          </cell>
          <cell r="F1310">
            <v>12000</v>
          </cell>
          <cell r="G1310">
            <v>12600</v>
          </cell>
        </row>
        <row r="1311">
          <cell r="A1311" t="str">
            <v>MA031</v>
          </cell>
          <cell r="B1311" t="str">
            <v>TABLERO AGLOMERADO MDP (SUPER T) 1.83 X 2.44</v>
          </cell>
          <cell r="C1311" t="str">
            <v>UN</v>
          </cell>
          <cell r="D1311">
            <v>0.5</v>
          </cell>
          <cell r="E1311">
            <v>0.05</v>
          </cell>
          <cell r="F1311">
            <v>151900</v>
          </cell>
          <cell r="G1311">
            <v>79747.5</v>
          </cell>
        </row>
        <row r="1312">
          <cell r="F1312" t="str">
            <v>SUBTOTAL</v>
          </cell>
          <cell r="G1312">
            <v>496916.92200000008</v>
          </cell>
        </row>
        <row r="1314">
          <cell r="A1314" t="str">
            <v>III. TRANSPORTES</v>
          </cell>
        </row>
        <row r="1315">
          <cell r="A1315" t="str">
            <v>CÓDIGO</v>
          </cell>
          <cell r="B1315" t="str">
            <v>DESCRIPCIÓN</v>
          </cell>
          <cell r="C1315" t="str">
            <v>TIPO</v>
          </cell>
          <cell r="D1315" t="str">
            <v>VOLUMEN/PESO</v>
          </cell>
          <cell r="E1315" t="str">
            <v>DISTANCIA</v>
          </cell>
          <cell r="F1315" t="str">
            <v>TARIFA</v>
          </cell>
          <cell r="G1315" t="str">
            <v>VR. UNITARIO</v>
          </cell>
        </row>
        <row r="1316">
          <cell r="A1316" t="str">
            <v>TR001</v>
          </cell>
          <cell r="B1316" t="str">
            <v>TRANSPORTE DE INSUMOS GENERALES 0-1KM</v>
          </cell>
          <cell r="C1316" t="str">
            <v>INSUMOS</v>
          </cell>
          <cell r="D1316">
            <v>2.5000000000000001E-2</v>
          </cell>
          <cell r="E1316">
            <v>1</v>
          </cell>
          <cell r="F1316">
            <v>4250</v>
          </cell>
          <cell r="G1316">
            <v>106.25</v>
          </cell>
        </row>
        <row r="1317">
          <cell r="A1317" t="str">
            <v/>
          </cell>
          <cell r="E1317" t="str">
            <v/>
          </cell>
          <cell r="F1317" t="str">
            <v/>
          </cell>
          <cell r="G1317" t="str">
            <v/>
          </cell>
        </row>
        <row r="1318">
          <cell r="F1318" t="str">
            <v>SUBTOTAL</v>
          </cell>
          <cell r="G1318">
            <v>106.25</v>
          </cell>
        </row>
        <row r="1320">
          <cell r="A1320" t="str">
            <v>IV. MANO DE OBRA</v>
          </cell>
        </row>
        <row r="1321">
          <cell r="A1321" t="str">
            <v>CÓDIGO</v>
          </cell>
          <cell r="B1321" t="str">
            <v>CARGOS PERSONAL</v>
          </cell>
          <cell r="D1321" t="str">
            <v>CANTIDAD</v>
          </cell>
          <cell r="E1321" t="str">
            <v>JORNAL TOTAL</v>
          </cell>
          <cell r="F1321" t="str">
            <v>RENDIMIENTO</v>
          </cell>
          <cell r="G1321" t="str">
            <v>VR. UNITARIO</v>
          </cell>
        </row>
        <row r="1322">
          <cell r="A1322" t="str">
            <v>MO029</v>
          </cell>
          <cell r="B1322" t="str">
            <v>OFICIAL DE OBRA NEGRA</v>
          </cell>
          <cell r="D1322">
            <v>1</v>
          </cell>
          <cell r="E1322">
            <v>153455</v>
          </cell>
          <cell r="F1322">
            <v>2</v>
          </cell>
          <cell r="G1322">
            <v>76727.5</v>
          </cell>
        </row>
        <row r="1323">
          <cell r="A1323" t="str">
            <v>MO032</v>
          </cell>
          <cell r="B1323" t="str">
            <v>AYUDANTE RASO</v>
          </cell>
          <cell r="D1323">
            <v>2</v>
          </cell>
          <cell r="E1323">
            <v>83770</v>
          </cell>
          <cell r="F1323">
            <v>2</v>
          </cell>
          <cell r="G1323">
            <v>83770</v>
          </cell>
        </row>
        <row r="1324">
          <cell r="F1324" t="str">
            <v>SUBTOTAL</v>
          </cell>
          <cell r="G1324">
            <v>160497.5</v>
          </cell>
        </row>
        <row r="1326">
          <cell r="A1326" t="str">
            <v>V. SERVICIOS</v>
          </cell>
        </row>
        <row r="1327">
          <cell r="A1327" t="str">
            <v>CÓDIGO</v>
          </cell>
          <cell r="B1327" t="str">
            <v>DESCRIPCIÓN</v>
          </cell>
          <cell r="D1327" t="str">
            <v>UNIDAD</v>
          </cell>
          <cell r="E1327" t="str">
            <v>CANTIDAD</v>
          </cell>
          <cell r="F1327" t="str">
            <v>PRECIO UNIT.</v>
          </cell>
          <cell r="G1327" t="str">
            <v>VR. UNITARIO</v>
          </cell>
        </row>
        <row r="1328">
          <cell r="A1328" t="str">
            <v/>
          </cell>
          <cell r="D1328" t="str">
            <v/>
          </cell>
          <cell r="F1328" t="str">
            <v/>
          </cell>
          <cell r="G1328" t="str">
            <v/>
          </cell>
        </row>
        <row r="1329">
          <cell r="A1329" t="str">
            <v/>
          </cell>
          <cell r="D1329" t="str">
            <v/>
          </cell>
          <cell r="F1329" t="str">
            <v/>
          </cell>
          <cell r="G1329" t="str">
            <v/>
          </cell>
        </row>
        <row r="1330">
          <cell r="A1330" t="str">
            <v/>
          </cell>
          <cell r="D1330" t="str">
            <v/>
          </cell>
          <cell r="F1330" t="str">
            <v/>
          </cell>
          <cell r="G1330" t="str">
            <v/>
          </cell>
        </row>
        <row r="1331">
          <cell r="F1331" t="str">
            <v>SUBTOTAL</v>
          </cell>
          <cell r="G1331" t="str">
            <v/>
          </cell>
        </row>
        <row r="1333">
          <cell r="A1333" t="str">
            <v>TOTAL COSTO DIRECTO</v>
          </cell>
          <cell r="G1333">
            <v>665546</v>
          </cell>
        </row>
        <row r="1335">
          <cell r="A1335" t="str">
            <v>2. COSTOS INDIRECTOS</v>
          </cell>
        </row>
        <row r="1337">
          <cell r="A1337" t="str">
            <v>DESCRIPCIÓN</v>
          </cell>
          <cell r="F1337" t="str">
            <v>PORCENTAJE</v>
          </cell>
          <cell r="G1337" t="str">
            <v>VALOR TOTAL</v>
          </cell>
        </row>
        <row r="1338">
          <cell r="A1338" t="str">
            <v>ADMINISTRACION</v>
          </cell>
          <cell r="F1338">
            <v>0.33389999999999997</v>
          </cell>
          <cell r="G1338">
            <v>222225.80939999997</v>
          </cell>
        </row>
        <row r="1339">
          <cell r="A1339" t="str">
            <v>IMPREVISTOS</v>
          </cell>
          <cell r="F1339" t="str">
            <v/>
          </cell>
          <cell r="G1339" t="str">
            <v/>
          </cell>
        </row>
        <row r="1340">
          <cell r="A1340" t="str">
            <v>UTILIDADES</v>
          </cell>
          <cell r="F1340">
            <v>0.05</v>
          </cell>
          <cell r="G1340">
            <v>33277.300000000003</v>
          </cell>
        </row>
        <row r="1341">
          <cell r="A1341" t="str">
            <v>TOTAL COSTO INDIRECTO</v>
          </cell>
          <cell r="F1341">
            <v>0.38389999999999996</v>
          </cell>
          <cell r="G1341">
            <v>255503</v>
          </cell>
        </row>
        <row r="1343">
          <cell r="A1343" t="str">
            <v>PRECIO UNITARIO TOTAL APROXIMADO AL PESO</v>
          </cell>
          <cell r="G1343">
            <v>921049</v>
          </cell>
        </row>
        <row r="1346">
          <cell r="B1346" t="str">
            <v>SECRETARIA DE PLANEACIÓN E INFRAESTRUCTURA</v>
          </cell>
        </row>
        <row r="1348">
          <cell r="D1348" t="str">
            <v>FIRMA RESPONSABLE</v>
          </cell>
        </row>
        <row r="1350">
          <cell r="A1350" t="str">
            <v>DEPARTAMENTO DE ANTIOQUIA</v>
          </cell>
          <cell r="F1350" t="str">
            <v/>
          </cell>
        </row>
        <row r="1351">
          <cell r="A1351" t="str">
            <v>MUNICIPIO DE DABEIBA</v>
          </cell>
        </row>
        <row r="1352">
          <cell r="A1352" t="str">
            <v>MEJORAMIENTO DE LA RED VIAL URBANA EN EL BARRIO SAN ANTONIO DEL MUNICIPIO DE DABEIBA</v>
          </cell>
        </row>
        <row r="1354">
          <cell r="A1354" t="str">
            <v>ANÁLISIS DE PRECIOS UNITARIOS</v>
          </cell>
        </row>
        <row r="1356">
          <cell r="A1356" t="str">
            <v>ITEM</v>
          </cell>
          <cell r="B1356" t="str">
            <v>DESCRIPCIÓN</v>
          </cell>
          <cell r="E1356" t="str">
            <v>UNIDAD</v>
          </cell>
          <cell r="F1356" t="str">
            <v>CANTIDAD</v>
          </cell>
          <cell r="G1356" t="str">
            <v>COSTO DIRECTO</v>
          </cell>
        </row>
        <row r="1357">
          <cell r="A1357" t="str">
            <v>10.2</v>
          </cell>
          <cell r="B1357" t="str">
            <v>Base y cañuela para cámara de inspección d = 1,20 m en concreto de 280Kg/cm2 no reforzado</v>
          </cell>
          <cell r="E1357" t="str">
            <v>Unidad</v>
          </cell>
          <cell r="F1357">
            <v>0</v>
          </cell>
          <cell r="G1357">
            <v>692789</v>
          </cell>
        </row>
        <row r="1359">
          <cell r="A1359" t="str">
            <v>1. COSTOS DIRECTOS</v>
          </cell>
        </row>
        <row r="1361">
          <cell r="A1361" t="str">
            <v>I. EQUIPO</v>
          </cell>
        </row>
        <row r="1362">
          <cell r="A1362" t="str">
            <v>CÓDIGO</v>
          </cell>
          <cell r="B1362" t="str">
            <v>DESCRIPCIÓN</v>
          </cell>
          <cell r="D1362" t="str">
            <v>UNIDAD</v>
          </cell>
          <cell r="E1362" t="str">
            <v>TARIFA</v>
          </cell>
          <cell r="F1362" t="str">
            <v>RENDIMIENTO</v>
          </cell>
          <cell r="G1362" t="str">
            <v>VR. UNITARIO</v>
          </cell>
        </row>
        <row r="1363">
          <cell r="A1363" t="str">
            <v/>
          </cell>
          <cell r="D1363" t="str">
            <v/>
          </cell>
          <cell r="E1363" t="str">
            <v/>
          </cell>
          <cell r="G1363" t="str">
            <v/>
          </cell>
        </row>
        <row r="1364">
          <cell r="A1364" t="str">
            <v/>
          </cell>
          <cell r="D1364" t="str">
            <v/>
          </cell>
          <cell r="E1364" t="str">
            <v/>
          </cell>
          <cell r="G1364" t="str">
            <v/>
          </cell>
        </row>
        <row r="1365">
          <cell r="A1365" t="str">
            <v>EQ001</v>
          </cell>
          <cell r="B1365" t="str">
            <v>HERRAMIENTA MENOR (5% DE LA MANO DE OBRA)</v>
          </cell>
          <cell r="D1365" t="str">
            <v>%</v>
          </cell>
          <cell r="E1365">
            <v>0.05</v>
          </cell>
          <cell r="F1365">
            <v>160497.5</v>
          </cell>
          <cell r="G1365">
            <v>8024.875</v>
          </cell>
        </row>
        <row r="1366">
          <cell r="F1366" t="str">
            <v>SUBTOTAL</v>
          </cell>
          <cell r="G1366">
            <v>8024.875</v>
          </cell>
        </row>
        <row r="1368">
          <cell r="A1368" t="str">
            <v>II. MATERIALES</v>
          </cell>
        </row>
        <row r="1369">
          <cell r="A1369" t="str">
            <v>CÓDIGO</v>
          </cell>
          <cell r="B1369" t="str">
            <v>DESCRIPCIÓN</v>
          </cell>
          <cell r="C1369" t="str">
            <v>UNIDAD</v>
          </cell>
          <cell r="D1369" t="str">
            <v>CANTIDAD</v>
          </cell>
          <cell r="E1369" t="str">
            <v>DESP.</v>
          </cell>
          <cell r="F1369" t="str">
            <v>PRECIO UNIT.</v>
          </cell>
          <cell r="G1369" t="str">
            <v>VR. UNITARIO</v>
          </cell>
        </row>
        <row r="1370">
          <cell r="A1370" t="str">
            <v>MA005</v>
          </cell>
          <cell r="B1370" t="str">
            <v>CONCRETO 4000 PSI (280 MPA) EN OBRA</v>
          </cell>
          <cell r="C1370" t="str">
            <v>M3</v>
          </cell>
          <cell r="D1370">
            <v>0.62</v>
          </cell>
          <cell r="E1370">
            <v>0.05</v>
          </cell>
          <cell r="F1370">
            <v>782858</v>
          </cell>
          <cell r="G1370">
            <v>509640.55800000002</v>
          </cell>
        </row>
        <row r="1371">
          <cell r="A1371" t="str">
            <v>MA045</v>
          </cell>
          <cell r="B1371" t="str">
            <v>TABLA EN MADERA DE 18cmx2.5cmx3.0cm</v>
          </cell>
          <cell r="C1371" t="str">
            <v>UN</v>
          </cell>
          <cell r="D1371">
            <v>1</v>
          </cell>
          <cell r="E1371">
            <v>0</v>
          </cell>
          <cell r="F1371">
            <v>12000</v>
          </cell>
          <cell r="G1371">
            <v>12000</v>
          </cell>
        </row>
        <row r="1372">
          <cell r="A1372" t="str">
            <v>MA030</v>
          </cell>
          <cell r="B1372" t="str">
            <v>LARGUERO MADERA COMÚN 4CMX8CMX2.80</v>
          </cell>
          <cell r="C1372" t="str">
            <v>UN</v>
          </cell>
          <cell r="D1372">
            <v>0.2</v>
          </cell>
          <cell r="E1372">
            <v>0.05</v>
          </cell>
          <cell r="F1372">
            <v>12000</v>
          </cell>
          <cell r="G1372">
            <v>2520</v>
          </cell>
        </row>
        <row r="1373">
          <cell r="A1373" t="str">
            <v/>
          </cell>
          <cell r="C1373" t="str">
            <v/>
          </cell>
          <cell r="F1373" t="str">
            <v/>
          </cell>
          <cell r="G1373" t="str">
            <v/>
          </cell>
        </row>
        <row r="1374">
          <cell r="F1374" t="str">
            <v>SUBTOTAL</v>
          </cell>
          <cell r="G1374">
            <v>524160.55800000002</v>
          </cell>
        </row>
        <row r="1376">
          <cell r="A1376" t="str">
            <v>III. TRANSPORTES</v>
          </cell>
        </row>
        <row r="1377">
          <cell r="A1377" t="str">
            <v>CÓDIGO</v>
          </cell>
          <cell r="B1377" t="str">
            <v>DESCRIPCIÓN</v>
          </cell>
          <cell r="C1377" t="str">
            <v>TIPO</v>
          </cell>
          <cell r="D1377" t="str">
            <v>VOLUMEN/PESO</v>
          </cell>
          <cell r="E1377" t="str">
            <v>DISTANCIA</v>
          </cell>
          <cell r="F1377" t="str">
            <v>TARIFA</v>
          </cell>
          <cell r="G1377" t="str">
            <v>VR. UNITARIO</v>
          </cell>
        </row>
        <row r="1378">
          <cell r="A1378" t="str">
            <v>TR001</v>
          </cell>
          <cell r="B1378" t="str">
            <v>TRANSPORTE DE INSUMOS GENERALES 0-1KM</v>
          </cell>
          <cell r="C1378" t="str">
            <v>INSUMOS</v>
          </cell>
          <cell r="D1378">
            <v>2.5000000000000001E-2</v>
          </cell>
          <cell r="E1378">
            <v>1</v>
          </cell>
          <cell r="F1378">
            <v>4250</v>
          </cell>
          <cell r="G1378">
            <v>106.25</v>
          </cell>
        </row>
        <row r="1379">
          <cell r="A1379" t="str">
            <v/>
          </cell>
          <cell r="E1379" t="str">
            <v/>
          </cell>
          <cell r="F1379" t="str">
            <v/>
          </cell>
          <cell r="G1379" t="str">
            <v/>
          </cell>
        </row>
        <row r="1380">
          <cell r="F1380" t="str">
            <v>SUBTOTAL</v>
          </cell>
          <cell r="G1380">
            <v>106.25</v>
          </cell>
        </row>
        <row r="1382">
          <cell r="A1382" t="str">
            <v>IV. MANO DE OBRA</v>
          </cell>
        </row>
        <row r="1383">
          <cell r="A1383" t="str">
            <v>CÓDIGO</v>
          </cell>
          <cell r="B1383" t="str">
            <v>CARGOS PERSONAL</v>
          </cell>
          <cell r="D1383" t="str">
            <v>CANTIDAD</v>
          </cell>
          <cell r="E1383" t="str">
            <v>JORNAL TOTAL</v>
          </cell>
          <cell r="F1383" t="str">
            <v>RENDIMIENTO</v>
          </cell>
          <cell r="G1383" t="str">
            <v>VR. UNITARIO</v>
          </cell>
        </row>
        <row r="1384">
          <cell r="A1384" t="str">
            <v>MO029</v>
          </cell>
          <cell r="B1384" t="str">
            <v>OFICIAL DE OBRA NEGRA</v>
          </cell>
          <cell r="D1384">
            <v>1</v>
          </cell>
          <cell r="E1384">
            <v>153455</v>
          </cell>
          <cell r="F1384">
            <v>2</v>
          </cell>
          <cell r="G1384">
            <v>76727.5</v>
          </cell>
        </row>
        <row r="1385">
          <cell r="A1385" t="str">
            <v>MO032</v>
          </cell>
          <cell r="B1385" t="str">
            <v>AYUDANTE RASO</v>
          </cell>
          <cell r="D1385">
            <v>2</v>
          </cell>
          <cell r="E1385">
            <v>83770</v>
          </cell>
          <cell r="F1385">
            <v>2</v>
          </cell>
          <cell r="G1385">
            <v>83770</v>
          </cell>
        </row>
        <row r="1386">
          <cell r="F1386" t="str">
            <v>SUBTOTAL</v>
          </cell>
          <cell r="G1386">
            <v>160497.5</v>
          </cell>
        </row>
        <row r="1388">
          <cell r="A1388" t="str">
            <v>V. SERVICIOS</v>
          </cell>
        </row>
        <row r="1389">
          <cell r="A1389" t="str">
            <v>CÓDIGO</v>
          </cell>
          <cell r="B1389" t="str">
            <v>DESCRIPCIÓN</v>
          </cell>
          <cell r="D1389" t="str">
            <v>UNIDAD</v>
          </cell>
          <cell r="E1389" t="str">
            <v>CANTIDAD</v>
          </cell>
          <cell r="F1389" t="str">
            <v>PRECIO UNIT.</v>
          </cell>
          <cell r="G1389" t="str">
            <v>VR. UNITARIO</v>
          </cell>
        </row>
        <row r="1390">
          <cell r="A1390" t="str">
            <v/>
          </cell>
          <cell r="D1390" t="str">
            <v/>
          </cell>
          <cell r="F1390" t="str">
            <v/>
          </cell>
          <cell r="G1390" t="str">
            <v/>
          </cell>
        </row>
        <row r="1391">
          <cell r="A1391" t="str">
            <v/>
          </cell>
          <cell r="D1391" t="str">
            <v/>
          </cell>
          <cell r="F1391" t="str">
            <v/>
          </cell>
          <cell r="G1391" t="str">
            <v/>
          </cell>
        </row>
        <row r="1392">
          <cell r="A1392" t="str">
            <v/>
          </cell>
          <cell r="D1392" t="str">
            <v/>
          </cell>
          <cell r="F1392" t="str">
            <v/>
          </cell>
          <cell r="G1392" t="str">
            <v/>
          </cell>
        </row>
        <row r="1393">
          <cell r="F1393" t="str">
            <v>SUBTOTAL</v>
          </cell>
          <cell r="G1393" t="str">
            <v/>
          </cell>
        </row>
        <row r="1395">
          <cell r="A1395" t="str">
            <v>TOTAL COSTO DIRECTO</v>
          </cell>
          <cell r="G1395">
            <v>692789</v>
          </cell>
        </row>
        <row r="1397">
          <cell r="A1397" t="str">
            <v>2. COSTOS INDIRECTOS</v>
          </cell>
        </row>
        <row r="1399">
          <cell r="A1399" t="str">
            <v>DESCRIPCIÓN</v>
          </cell>
          <cell r="F1399" t="str">
            <v>PORCENTAJE</v>
          </cell>
          <cell r="G1399" t="str">
            <v>VALOR TOTAL</v>
          </cell>
        </row>
        <row r="1400">
          <cell r="A1400" t="str">
            <v>ADMINISTRACION</v>
          </cell>
          <cell r="F1400">
            <v>0.33389999999999997</v>
          </cell>
          <cell r="G1400">
            <v>231322.24709999998</v>
          </cell>
        </row>
        <row r="1401">
          <cell r="A1401" t="str">
            <v>IMPREVISTOS</v>
          </cell>
          <cell r="F1401" t="str">
            <v/>
          </cell>
          <cell r="G1401" t="str">
            <v/>
          </cell>
        </row>
        <row r="1402">
          <cell r="A1402" t="str">
            <v>UTILIDADES</v>
          </cell>
          <cell r="F1402">
            <v>0.05</v>
          </cell>
          <cell r="G1402">
            <v>34639.450000000004</v>
          </cell>
        </row>
        <row r="1403">
          <cell r="A1403" t="str">
            <v>TOTAL COSTO INDIRECTO</v>
          </cell>
          <cell r="F1403">
            <v>0.38389999999999996</v>
          </cell>
          <cell r="G1403">
            <v>265962</v>
          </cell>
        </row>
        <row r="1405">
          <cell r="A1405" t="str">
            <v>PRECIO UNITARIO TOTAL APROXIMADO AL PESO</v>
          </cell>
          <cell r="G1405">
            <v>958751</v>
          </cell>
        </row>
        <row r="1408">
          <cell r="B1408" t="str">
            <v>SECRETARIA DE PLANEACIÓN E INFRAESTRUCTURA</v>
          </cell>
        </row>
        <row r="1410">
          <cell r="D1410" t="str">
            <v>FIRMA RESPONSABLE</v>
          </cell>
        </row>
        <row r="1412">
          <cell r="A1412" t="str">
            <v>DEPARTAMENTO DE ANTIOQUIA</v>
          </cell>
          <cell r="F1412" t="str">
            <v/>
          </cell>
        </row>
        <row r="1413">
          <cell r="A1413" t="str">
            <v>MUNICIPIO DE DABEIBA</v>
          </cell>
        </row>
        <row r="1414">
          <cell r="A1414" t="str">
            <v>MEJORAMIENTO DE LA RED VIAL URBANA EN EL BARRIO SAN ANTONIO DEL MUNICIPIO DE DABEIBA</v>
          </cell>
        </row>
        <row r="1416">
          <cell r="A1416" t="str">
            <v>ANÁLISIS DE PRECIOS UNITARIOS</v>
          </cell>
        </row>
        <row r="1418">
          <cell r="A1418" t="str">
            <v>ITEM</v>
          </cell>
          <cell r="B1418" t="str">
            <v>DESCRIPCIÓN</v>
          </cell>
          <cell r="E1418" t="str">
            <v>UNIDAD</v>
          </cell>
          <cell r="F1418" t="str">
            <v>CANTIDAD</v>
          </cell>
          <cell r="G1418" t="str">
            <v>COSTO DIRECTO</v>
          </cell>
        </row>
        <row r="1419">
          <cell r="A1419" t="str">
            <v>10.3</v>
          </cell>
          <cell r="B1419" t="str">
            <v>Cuerpo para cámara de inspección d = 1,20 m, en concreto no reforzado de 280Kg/cm2, incluye suministro e instalación de peldaños en ganchos de acero ø=5/8".</v>
          </cell>
          <cell r="E1419" t="str">
            <v>ml</v>
          </cell>
          <cell r="F1419">
            <v>0</v>
          </cell>
          <cell r="G1419">
            <v>1078799</v>
          </cell>
        </row>
        <row r="1421">
          <cell r="A1421" t="str">
            <v>1. COSTOS DIRECTOS</v>
          </cell>
        </row>
        <row r="1423">
          <cell r="A1423" t="str">
            <v>I. EQUIPO</v>
          </cell>
        </row>
        <row r="1424">
          <cell r="A1424" t="str">
            <v>CÓDIGO</v>
          </cell>
          <cell r="B1424" t="str">
            <v>DESCRIPCIÓN</v>
          </cell>
          <cell r="D1424" t="str">
            <v>UNIDAD</v>
          </cell>
          <cell r="E1424" t="str">
            <v>TARIFA</v>
          </cell>
          <cell r="F1424" t="str">
            <v>RENDIMIENTO</v>
          </cell>
          <cell r="G1424" t="str">
            <v>VR. UNITARIO</v>
          </cell>
        </row>
        <row r="1425">
          <cell r="A1425" t="str">
            <v>EQ034</v>
          </cell>
          <cell r="B1425" t="str">
            <v>Formaleta de cuerpo MH D=1,20m</v>
          </cell>
          <cell r="D1425" t="str">
            <v>DIA</v>
          </cell>
          <cell r="E1425">
            <v>150000</v>
          </cell>
          <cell r="F1425">
            <v>1</v>
          </cell>
          <cell r="G1425">
            <v>150000</v>
          </cell>
        </row>
        <row r="1426">
          <cell r="A1426" t="str">
            <v>EQ001</v>
          </cell>
          <cell r="B1426" t="str">
            <v>HERRAMIENTA MENOR (5% DE LA MANO DE OBRA)</v>
          </cell>
          <cell r="D1426" t="str">
            <v>%</v>
          </cell>
          <cell r="E1426">
            <v>0.05</v>
          </cell>
          <cell r="F1426">
            <v>160497.5</v>
          </cell>
          <cell r="G1426">
            <v>8024.875</v>
          </cell>
        </row>
        <row r="1427">
          <cell r="F1427" t="str">
            <v>SUBTOTAL</v>
          </cell>
          <cell r="G1427">
            <v>158024.875</v>
          </cell>
        </row>
        <row r="1429">
          <cell r="A1429" t="str">
            <v>II. MATERIALES</v>
          </cell>
        </row>
        <row r="1430">
          <cell r="A1430" t="str">
            <v>CÓDIGO</v>
          </cell>
          <cell r="B1430" t="str">
            <v>DESCRIPCIÓN</v>
          </cell>
          <cell r="C1430" t="str">
            <v>UNIDAD</v>
          </cell>
          <cell r="D1430" t="str">
            <v>CANTIDAD</v>
          </cell>
          <cell r="E1430" t="str">
            <v>DESP.</v>
          </cell>
          <cell r="F1430" t="str">
            <v>PRECIO UNIT.</v>
          </cell>
          <cell r="G1430" t="str">
            <v>VR. UNITARIO</v>
          </cell>
        </row>
        <row r="1431">
          <cell r="A1431" t="str">
            <v>MA005</v>
          </cell>
          <cell r="B1431" t="str">
            <v>CONCRETO 4000 PSI (280 MPA) EN OBRA</v>
          </cell>
          <cell r="C1431" t="str">
            <v>M3</v>
          </cell>
          <cell r="D1431">
            <v>0.87964594300514221</v>
          </cell>
          <cell r="E1431">
            <v>0.05</v>
          </cell>
          <cell r="F1431">
            <v>782858</v>
          </cell>
          <cell r="G1431">
            <v>723069.75683157565</v>
          </cell>
        </row>
        <row r="1432">
          <cell r="A1432" t="str">
            <v>MA028</v>
          </cell>
          <cell r="B1432" t="str">
            <v>ACERO REFUERZO G-60 FIGURADO</v>
          </cell>
          <cell r="C1432" t="str">
            <v>KG</v>
          </cell>
          <cell r="D1432">
            <v>4.6560000000000006</v>
          </cell>
          <cell r="E1432">
            <v>0.05</v>
          </cell>
          <cell r="F1432">
            <v>7000</v>
          </cell>
          <cell r="G1432">
            <v>34221.600000000006</v>
          </cell>
        </row>
        <row r="1433">
          <cell r="A1433" t="str">
            <v>MA062</v>
          </cell>
          <cell r="B1433" t="str">
            <v>Sistema Epoxico para anclaje de barras</v>
          </cell>
          <cell r="C1433" t="str">
            <v>Kg</v>
          </cell>
          <cell r="D1433">
            <v>2.5000000000000001E-2</v>
          </cell>
          <cell r="E1433">
            <v>0.05</v>
          </cell>
          <cell r="F1433">
            <v>113711</v>
          </cell>
          <cell r="G1433">
            <v>2984.9137500000002</v>
          </cell>
        </row>
        <row r="1434">
          <cell r="F1434" t="str">
            <v>SUBTOTAL</v>
          </cell>
          <cell r="G1434">
            <v>760276.27058157558</v>
          </cell>
        </row>
        <row r="1436">
          <cell r="A1436" t="str">
            <v>III. TRANSPORTES</v>
          </cell>
        </row>
        <row r="1437">
          <cell r="A1437" t="str">
            <v>CÓDIGO</v>
          </cell>
          <cell r="B1437" t="str">
            <v>DESCRIPCIÓN</v>
          </cell>
          <cell r="C1437" t="str">
            <v>TIPO</v>
          </cell>
          <cell r="D1437" t="str">
            <v>VOLUMEN/PESO</v>
          </cell>
          <cell r="E1437" t="str">
            <v>DISTANCIA</v>
          </cell>
          <cell r="F1437" t="str">
            <v>TARIFA</v>
          </cell>
          <cell r="G1437" t="str">
            <v>VR. UNITARIO</v>
          </cell>
        </row>
        <row r="1438">
          <cell r="A1438" t="str">
            <v/>
          </cell>
          <cell r="E1438" t="str">
            <v/>
          </cell>
          <cell r="F1438" t="str">
            <v/>
          </cell>
          <cell r="G1438" t="str">
            <v/>
          </cell>
        </row>
        <row r="1439">
          <cell r="A1439" t="str">
            <v/>
          </cell>
          <cell r="E1439" t="str">
            <v/>
          </cell>
          <cell r="F1439" t="str">
            <v/>
          </cell>
          <cell r="G1439" t="str">
            <v/>
          </cell>
        </row>
        <row r="1440">
          <cell r="F1440" t="str">
            <v>SUBTOTAL</v>
          </cell>
          <cell r="G1440" t="str">
            <v/>
          </cell>
        </row>
        <row r="1442">
          <cell r="A1442" t="str">
            <v>IV. MANO DE OBRA</v>
          </cell>
        </row>
        <row r="1443">
          <cell r="A1443" t="str">
            <v>CÓDIGO</v>
          </cell>
          <cell r="B1443" t="str">
            <v>CARGOS PERSONAL</v>
          </cell>
          <cell r="D1443" t="str">
            <v>CANTIDAD</v>
          </cell>
          <cell r="E1443" t="str">
            <v>JORNAL TOTAL</v>
          </cell>
          <cell r="F1443" t="str">
            <v>RENDIMIENTO</v>
          </cell>
          <cell r="G1443" t="str">
            <v>VR. UNITARIO</v>
          </cell>
        </row>
        <row r="1444">
          <cell r="A1444" t="str">
            <v>MO029</v>
          </cell>
          <cell r="B1444" t="str">
            <v>OFICIAL DE OBRA NEGRA</v>
          </cell>
          <cell r="D1444">
            <v>1</v>
          </cell>
          <cell r="E1444">
            <v>153455</v>
          </cell>
          <cell r="F1444">
            <v>2</v>
          </cell>
          <cell r="G1444">
            <v>76727.5</v>
          </cell>
        </row>
        <row r="1445">
          <cell r="A1445" t="str">
            <v>MO032</v>
          </cell>
          <cell r="B1445" t="str">
            <v>AYUDANTE RASO</v>
          </cell>
          <cell r="D1445">
            <v>2</v>
          </cell>
          <cell r="E1445">
            <v>83770</v>
          </cell>
          <cell r="F1445">
            <v>2</v>
          </cell>
          <cell r="G1445">
            <v>83770</v>
          </cell>
        </row>
        <row r="1446">
          <cell r="F1446" t="str">
            <v>SUBTOTAL</v>
          </cell>
          <cell r="G1446">
            <v>160497.5</v>
          </cell>
        </row>
        <row r="1448">
          <cell r="A1448" t="str">
            <v>V. SERVICIOS</v>
          </cell>
        </row>
        <row r="1449">
          <cell r="A1449" t="str">
            <v>CÓDIGO</v>
          </cell>
          <cell r="B1449" t="str">
            <v>DESCRIPCIÓN</v>
          </cell>
          <cell r="D1449" t="str">
            <v>UNIDAD</v>
          </cell>
          <cell r="E1449" t="str">
            <v>CANTIDAD</v>
          </cell>
          <cell r="F1449" t="str">
            <v>PRECIO UNIT.</v>
          </cell>
          <cell r="G1449" t="str">
            <v>VR. UNITARIO</v>
          </cell>
        </row>
        <row r="1450">
          <cell r="A1450" t="str">
            <v/>
          </cell>
          <cell r="D1450" t="str">
            <v/>
          </cell>
          <cell r="F1450" t="str">
            <v/>
          </cell>
          <cell r="G1450" t="str">
            <v/>
          </cell>
        </row>
        <row r="1451">
          <cell r="A1451" t="str">
            <v/>
          </cell>
          <cell r="D1451" t="str">
            <v/>
          </cell>
          <cell r="F1451" t="str">
            <v/>
          </cell>
          <cell r="G1451" t="str">
            <v/>
          </cell>
        </row>
        <row r="1452">
          <cell r="A1452" t="str">
            <v/>
          </cell>
          <cell r="D1452" t="str">
            <v/>
          </cell>
          <cell r="F1452" t="str">
            <v/>
          </cell>
          <cell r="G1452" t="str">
            <v/>
          </cell>
        </row>
        <row r="1453">
          <cell r="F1453" t="str">
            <v>SUBTOTAL</v>
          </cell>
          <cell r="G1453" t="str">
            <v/>
          </cell>
        </row>
        <row r="1455">
          <cell r="A1455" t="str">
            <v>TOTAL COSTO DIRECTO</v>
          </cell>
          <cell r="G1455">
            <v>1078799</v>
          </cell>
        </row>
        <row r="1457">
          <cell r="A1457" t="str">
            <v>2. COSTOS INDIRECTOS</v>
          </cell>
        </row>
        <row r="1459">
          <cell r="A1459" t="str">
            <v>DESCRIPCIÓN</v>
          </cell>
          <cell r="F1459" t="str">
            <v>PORCENTAJE</v>
          </cell>
          <cell r="G1459" t="str">
            <v>VALOR TOTAL</v>
          </cell>
        </row>
        <row r="1460">
          <cell r="A1460" t="str">
            <v>ADMINISTRACION</v>
          </cell>
          <cell r="F1460">
            <v>0.33389999999999997</v>
          </cell>
          <cell r="G1460">
            <v>360210.98609999998</v>
          </cell>
        </row>
        <row r="1461">
          <cell r="A1461" t="str">
            <v>IMPREVISTOS</v>
          </cell>
          <cell r="F1461" t="str">
            <v/>
          </cell>
          <cell r="G1461" t="str">
            <v/>
          </cell>
        </row>
        <row r="1462">
          <cell r="A1462" t="str">
            <v>UTILIDADES</v>
          </cell>
          <cell r="F1462">
            <v>0.05</v>
          </cell>
          <cell r="G1462">
            <v>53939.950000000004</v>
          </cell>
        </row>
        <row r="1463">
          <cell r="A1463" t="str">
            <v>TOTAL COSTO INDIRECTO</v>
          </cell>
          <cell r="F1463">
            <v>0.38389999999999996</v>
          </cell>
          <cell r="G1463">
            <v>414151</v>
          </cell>
        </row>
        <row r="1465">
          <cell r="A1465" t="str">
            <v>PRECIO UNITARIO TOTAL APROXIMADO AL PESO</v>
          </cell>
          <cell r="G1465">
            <v>1492950</v>
          </cell>
        </row>
        <row r="1468">
          <cell r="B1468" t="str">
            <v>SECRETARIA DE PLANEACIÓN E INFRAESTRUCTURA</v>
          </cell>
        </row>
        <row r="1470">
          <cell r="D1470" t="str">
            <v>FIRMA RESPONSABLE</v>
          </cell>
        </row>
        <row r="1472">
          <cell r="A1472" t="str">
            <v>DEPARTAMENTO DE ANTIOQUIA</v>
          </cell>
          <cell r="F1472" t="str">
            <v/>
          </cell>
        </row>
        <row r="1473">
          <cell r="A1473" t="str">
            <v>MUNICIPIO DE DABEIBA</v>
          </cell>
        </row>
        <row r="1474">
          <cell r="A1474" t="str">
            <v>MEJORAMIENTO DE LA RED VIAL URBANA EN EL BARRIO SAN ANTONIO DEL MUNICIPIO DE DABEIBA</v>
          </cell>
        </row>
        <row r="1476">
          <cell r="A1476" t="str">
            <v>ANÁLISIS DE PRECIOS UNITARIOS</v>
          </cell>
        </row>
        <row r="1478">
          <cell r="A1478" t="str">
            <v>ITEM</v>
          </cell>
          <cell r="B1478" t="str">
            <v>DESCRIPCIÓN</v>
          </cell>
          <cell r="E1478" t="str">
            <v>UNIDAD</v>
          </cell>
          <cell r="F1478" t="str">
            <v>CANTIDAD</v>
          </cell>
          <cell r="G1478" t="str">
            <v>COSTO DIRECTO</v>
          </cell>
        </row>
        <row r="1479">
          <cell r="A1479" t="str">
            <v>10.4</v>
          </cell>
          <cell r="B1479" t="str">
            <v>Cono para cámara de inspección d = 1,20 m, en concreto reforzado de 280Kg/cm2, incluye suministro e instalación de peldaños en ganchos de acero ø=5/8". El acero de refuerzo se pagara en su respectivo item</v>
          </cell>
          <cell r="E1479" t="str">
            <v>Unidad</v>
          </cell>
          <cell r="F1479">
            <v>0</v>
          </cell>
          <cell r="G1479">
            <v>465616</v>
          </cell>
        </row>
        <row r="1481">
          <cell r="A1481" t="str">
            <v>1. COSTOS DIRECTOS</v>
          </cell>
        </row>
        <row r="1483">
          <cell r="A1483" t="str">
            <v>I. EQUIPO</v>
          </cell>
        </row>
        <row r="1484">
          <cell r="A1484" t="str">
            <v>CÓDIGO</v>
          </cell>
          <cell r="B1484" t="str">
            <v>DESCRIPCIÓN</v>
          </cell>
          <cell r="D1484" t="str">
            <v>UNIDAD</v>
          </cell>
          <cell r="E1484" t="str">
            <v>TARIFA</v>
          </cell>
          <cell r="F1484" t="str">
            <v>RENDIMIENTO</v>
          </cell>
          <cell r="G1484" t="str">
            <v>VR. UNITARIO</v>
          </cell>
        </row>
        <row r="1485">
          <cell r="A1485" t="str">
            <v>EQ030</v>
          </cell>
          <cell r="B1485" t="str">
            <v xml:space="preserve">FORMALETA METALICA (CONCRETO HIDRAULICO) </v>
          </cell>
          <cell r="D1485" t="str">
            <v>DIA</v>
          </cell>
          <cell r="E1485">
            <v>62000</v>
          </cell>
          <cell r="F1485">
            <v>1</v>
          </cell>
          <cell r="G1485">
            <v>62000</v>
          </cell>
        </row>
        <row r="1486">
          <cell r="A1486" t="str">
            <v>EQ001</v>
          </cell>
          <cell r="B1486" t="str">
            <v>HERRAMIENTA MENOR (5% DE LA MANO DE OBRA)</v>
          </cell>
          <cell r="D1486" t="str">
            <v>%</v>
          </cell>
          <cell r="E1486">
            <v>0.05</v>
          </cell>
          <cell r="F1486">
            <v>213996.66666666666</v>
          </cell>
          <cell r="G1486">
            <v>10699.833333333334</v>
          </cell>
        </row>
        <row r="1487">
          <cell r="F1487" t="str">
            <v>SUBTOTAL</v>
          </cell>
          <cell r="G1487">
            <v>72699.833333333328</v>
          </cell>
        </row>
        <row r="1489">
          <cell r="A1489" t="str">
            <v>II. MATERIALES</v>
          </cell>
        </row>
        <row r="1490">
          <cell r="A1490" t="str">
            <v>CÓDIGO</v>
          </cell>
          <cell r="B1490" t="str">
            <v>DESCRIPCIÓN</v>
          </cell>
          <cell r="C1490" t="str">
            <v>UNIDAD</v>
          </cell>
          <cell r="D1490" t="str">
            <v>CANTIDAD</v>
          </cell>
          <cell r="E1490" t="str">
            <v>DESP.</v>
          </cell>
          <cell r="F1490" t="str">
            <v>PRECIO UNIT.</v>
          </cell>
          <cell r="G1490" t="str">
            <v>VR. UNITARIO</v>
          </cell>
        </row>
        <row r="1491">
          <cell r="A1491" t="str">
            <v>MA005</v>
          </cell>
          <cell r="B1491" t="str">
            <v>CONCRETO 4000 PSI (280 MPA) EN OBRA</v>
          </cell>
          <cell r="C1491" t="str">
            <v>M3</v>
          </cell>
          <cell r="D1491">
            <v>0.1724</v>
          </cell>
          <cell r="E1491">
            <v>0.05</v>
          </cell>
          <cell r="F1491">
            <v>782858</v>
          </cell>
          <cell r="G1491">
            <v>141712.95516000001</v>
          </cell>
        </row>
        <row r="1492">
          <cell r="A1492" t="str">
            <v>MA028</v>
          </cell>
          <cell r="B1492" t="str">
            <v>ACERO REFUERZO G-60 FIGURADO</v>
          </cell>
          <cell r="C1492" t="str">
            <v>KG</v>
          </cell>
          <cell r="D1492">
            <v>4.6560000000000006</v>
          </cell>
          <cell r="E1492">
            <v>0.05</v>
          </cell>
          <cell r="F1492">
            <v>7000</v>
          </cell>
          <cell r="G1492">
            <v>34221.600000000006</v>
          </cell>
        </row>
        <row r="1493">
          <cell r="A1493" t="str">
            <v>MA062</v>
          </cell>
          <cell r="B1493" t="str">
            <v>Sistema Epoxico para anclaje de barras</v>
          </cell>
          <cell r="C1493" t="str">
            <v>Kg</v>
          </cell>
          <cell r="D1493">
            <v>2.5000000000000001E-2</v>
          </cell>
          <cell r="E1493">
            <v>0.05</v>
          </cell>
          <cell r="F1493">
            <v>113711</v>
          </cell>
          <cell r="G1493">
            <v>2984.9137500000002</v>
          </cell>
        </row>
        <row r="1494">
          <cell r="F1494" t="str">
            <v>SUBTOTAL</v>
          </cell>
          <cell r="G1494">
            <v>178919.46891000003</v>
          </cell>
        </row>
        <row r="1496">
          <cell r="A1496" t="str">
            <v>III. TRANSPORTES</v>
          </cell>
        </row>
        <row r="1497">
          <cell r="A1497" t="str">
            <v>CÓDIGO</v>
          </cell>
          <cell r="B1497" t="str">
            <v>DESCRIPCIÓN</v>
          </cell>
          <cell r="C1497" t="str">
            <v>TIPO</v>
          </cell>
          <cell r="D1497" t="str">
            <v>VOLUMEN/PESO</v>
          </cell>
          <cell r="E1497" t="str">
            <v>DISTANCIA</v>
          </cell>
          <cell r="F1497" t="str">
            <v>TARIFA</v>
          </cell>
          <cell r="G1497" t="str">
            <v>VR. UNITARIO</v>
          </cell>
        </row>
        <row r="1498">
          <cell r="A1498" t="str">
            <v/>
          </cell>
          <cell r="E1498" t="str">
            <v/>
          </cell>
          <cell r="F1498" t="str">
            <v/>
          </cell>
          <cell r="G1498" t="str">
            <v/>
          </cell>
        </row>
        <row r="1499">
          <cell r="A1499" t="str">
            <v/>
          </cell>
          <cell r="E1499" t="str">
            <v/>
          </cell>
          <cell r="F1499" t="str">
            <v/>
          </cell>
          <cell r="G1499" t="str">
            <v/>
          </cell>
        </row>
        <row r="1500">
          <cell r="F1500" t="str">
            <v>SUBTOTAL</v>
          </cell>
          <cell r="G1500" t="str">
            <v/>
          </cell>
        </row>
        <row r="1502">
          <cell r="A1502" t="str">
            <v>IV. MANO DE OBRA</v>
          </cell>
        </row>
        <row r="1503">
          <cell r="A1503" t="str">
            <v>CÓDIGO</v>
          </cell>
          <cell r="B1503" t="str">
            <v>CARGOS PERSONAL</v>
          </cell>
          <cell r="D1503" t="str">
            <v>CANTIDAD</v>
          </cell>
          <cell r="E1503" t="str">
            <v>JORNAL TOTAL</v>
          </cell>
          <cell r="F1503" t="str">
            <v>RENDIMIENTO</v>
          </cell>
          <cell r="G1503" t="str">
            <v>VR. UNITARIO</v>
          </cell>
        </row>
        <row r="1504">
          <cell r="A1504" t="str">
            <v>MO029</v>
          </cell>
          <cell r="B1504" t="str">
            <v>OFICIAL DE OBRA NEGRA</v>
          </cell>
          <cell r="D1504">
            <v>1</v>
          </cell>
          <cell r="E1504">
            <v>153455</v>
          </cell>
          <cell r="F1504">
            <v>1.5</v>
          </cell>
          <cell r="G1504">
            <v>102303.33333333333</v>
          </cell>
        </row>
        <row r="1505">
          <cell r="A1505" t="str">
            <v>MO032</v>
          </cell>
          <cell r="B1505" t="str">
            <v>AYUDANTE RASO</v>
          </cell>
          <cell r="D1505">
            <v>2</v>
          </cell>
          <cell r="E1505">
            <v>83770</v>
          </cell>
          <cell r="F1505">
            <v>1.5</v>
          </cell>
          <cell r="G1505">
            <v>111693.33333333333</v>
          </cell>
        </row>
        <row r="1506">
          <cell r="F1506" t="str">
            <v>SUBTOTAL</v>
          </cell>
          <cell r="G1506">
            <v>213996.66666666666</v>
          </cell>
        </row>
        <row r="1508">
          <cell r="A1508" t="str">
            <v>V. SERVICIOS</v>
          </cell>
        </row>
        <row r="1509">
          <cell r="A1509" t="str">
            <v>CÓDIGO</v>
          </cell>
          <cell r="B1509" t="str">
            <v>DESCRIPCIÓN</v>
          </cell>
          <cell r="D1509" t="str">
            <v>UNIDAD</v>
          </cell>
          <cell r="E1509" t="str">
            <v>CANTIDAD</v>
          </cell>
          <cell r="F1509" t="str">
            <v>PRECIO UNIT.</v>
          </cell>
          <cell r="G1509" t="str">
            <v>VR. UNITARIO</v>
          </cell>
        </row>
        <row r="1510">
          <cell r="A1510" t="str">
            <v/>
          </cell>
          <cell r="D1510" t="str">
            <v/>
          </cell>
          <cell r="F1510" t="str">
            <v/>
          </cell>
          <cell r="G1510" t="str">
            <v/>
          </cell>
        </row>
        <row r="1511">
          <cell r="A1511" t="str">
            <v/>
          </cell>
          <cell r="D1511" t="str">
            <v/>
          </cell>
          <cell r="F1511" t="str">
            <v/>
          </cell>
          <cell r="G1511" t="str">
            <v/>
          </cell>
        </row>
        <row r="1512">
          <cell r="A1512" t="str">
            <v/>
          </cell>
          <cell r="D1512" t="str">
            <v/>
          </cell>
          <cell r="F1512" t="str">
            <v/>
          </cell>
          <cell r="G1512" t="str">
            <v/>
          </cell>
        </row>
        <row r="1513">
          <cell r="F1513" t="str">
            <v>SUBTOTAL</v>
          </cell>
          <cell r="G1513" t="str">
            <v/>
          </cell>
        </row>
        <row r="1515">
          <cell r="A1515" t="str">
            <v>TOTAL COSTO DIRECTO</v>
          </cell>
          <cell r="G1515">
            <v>465616</v>
          </cell>
        </row>
        <row r="1517">
          <cell r="A1517" t="str">
            <v>2. COSTOS INDIRECTOS</v>
          </cell>
        </row>
        <row r="1519">
          <cell r="A1519" t="str">
            <v>DESCRIPCIÓN</v>
          </cell>
          <cell r="F1519" t="str">
            <v>PORCENTAJE</v>
          </cell>
          <cell r="G1519" t="str">
            <v>VALOR TOTAL</v>
          </cell>
        </row>
        <row r="1520">
          <cell r="A1520" t="str">
            <v>ADMINISTRACION</v>
          </cell>
          <cell r="F1520">
            <v>0.33389999999999997</v>
          </cell>
          <cell r="G1520">
            <v>155469.18239999999</v>
          </cell>
        </row>
        <row r="1521">
          <cell r="A1521" t="str">
            <v>IMPREVISTOS</v>
          </cell>
          <cell r="F1521" t="str">
            <v/>
          </cell>
          <cell r="G1521" t="str">
            <v/>
          </cell>
        </row>
        <row r="1522">
          <cell r="A1522" t="str">
            <v>UTILIDADES</v>
          </cell>
          <cell r="F1522">
            <v>0.05</v>
          </cell>
          <cell r="G1522">
            <v>23280.800000000003</v>
          </cell>
        </row>
        <row r="1523">
          <cell r="A1523" t="str">
            <v>TOTAL COSTO INDIRECTO</v>
          </cell>
          <cell r="F1523">
            <v>0.38389999999999996</v>
          </cell>
          <cell r="G1523">
            <v>178750</v>
          </cell>
        </row>
        <row r="1525">
          <cell r="A1525" t="str">
            <v>PRECIO UNITARIO TOTAL APROXIMADO AL PESO</v>
          </cell>
          <cell r="G1525">
            <v>644366</v>
          </cell>
        </row>
        <row r="1528">
          <cell r="B1528" t="str">
            <v>SECRETARIA DE PLANEACIÓN E INFRAESTRUCTURA</v>
          </cell>
        </row>
        <row r="1530">
          <cell r="D1530" t="str">
            <v>FIRMA RESPONSABLE</v>
          </cell>
        </row>
        <row r="1532">
          <cell r="A1532" t="str">
            <v>DEPARTAMENTO DE ANTIOQUIA</v>
          </cell>
          <cell r="F1532" t="str">
            <v/>
          </cell>
        </row>
        <row r="1533">
          <cell r="A1533" t="str">
            <v>MUNICIPIO DE DABEIBA</v>
          </cell>
        </row>
        <row r="1534">
          <cell r="A1534" t="str">
            <v>MEJORAMIENTO DE LA RED VIAL URBANA EN EL BARRIO SAN ANTONIO DEL MUNICIPIO DE DABEIBA</v>
          </cell>
        </row>
        <row r="1536">
          <cell r="A1536" t="str">
            <v>ANÁLISIS DE PRECIOS UNITARIOS</v>
          </cell>
        </row>
        <row r="1538">
          <cell r="A1538" t="str">
            <v>ITEM</v>
          </cell>
          <cell r="B1538" t="str">
            <v>DESCRIPCIÓN</v>
          </cell>
          <cell r="E1538" t="str">
            <v>UNIDAD</v>
          </cell>
          <cell r="F1538" t="str">
            <v>CANTIDAD</v>
          </cell>
          <cell r="G1538" t="str">
            <v>COSTO DIRECTO</v>
          </cell>
        </row>
        <row r="1539">
          <cell r="A1539" t="str">
            <v>10.5</v>
          </cell>
          <cell r="B1539" t="str">
            <v>Tapa en concreto reforzado de 280Kg/cm2 para cámara de inspección d = 0,60 m, incluye aro base y aro tapa. El acero de refuerzo se pagara en su respectivo item</v>
          </cell>
          <cell r="E1539" t="str">
            <v>Unidad</v>
          </cell>
          <cell r="F1539">
            <v>0</v>
          </cell>
          <cell r="G1539">
            <v>577648</v>
          </cell>
        </row>
        <row r="1541">
          <cell r="A1541" t="str">
            <v>1. COSTOS DIRECTOS</v>
          </cell>
        </row>
        <row r="1543">
          <cell r="A1543" t="str">
            <v>I. EQUIPO</v>
          </cell>
        </row>
        <row r="1544">
          <cell r="A1544" t="str">
            <v>CÓDIGO</v>
          </cell>
          <cell r="B1544" t="str">
            <v>DESCRIPCIÓN</v>
          </cell>
          <cell r="D1544" t="str">
            <v>UNIDAD</v>
          </cell>
          <cell r="E1544" t="str">
            <v>TARIFA</v>
          </cell>
          <cell r="F1544" t="str">
            <v>RENDIMIENTO</v>
          </cell>
          <cell r="G1544" t="str">
            <v>VR. UNITARIO</v>
          </cell>
        </row>
        <row r="1545">
          <cell r="A1545" t="str">
            <v>EQ030</v>
          </cell>
          <cell r="B1545" t="str">
            <v xml:space="preserve">FORMALETA METALICA (CONCRETO HIDRAULICO) </v>
          </cell>
          <cell r="D1545" t="str">
            <v>DIA</v>
          </cell>
          <cell r="E1545">
            <v>62000</v>
          </cell>
          <cell r="F1545">
            <v>1</v>
          </cell>
          <cell r="G1545">
            <v>62000</v>
          </cell>
        </row>
        <row r="1546">
          <cell r="A1546" t="str">
            <v>EQ001</v>
          </cell>
          <cell r="B1546" t="str">
            <v>HERRAMIENTA MENOR (5% DE LA MANO DE OBRA)</v>
          </cell>
          <cell r="D1546" t="str">
            <v>%</v>
          </cell>
          <cell r="E1546">
            <v>0.05</v>
          </cell>
          <cell r="F1546">
            <v>106998.33333333333</v>
          </cell>
          <cell r="G1546">
            <v>5349.916666666667</v>
          </cell>
        </row>
        <row r="1547">
          <cell r="F1547" t="str">
            <v>SUBTOTAL</v>
          </cell>
          <cell r="G1547">
            <v>67349.916666666672</v>
          </cell>
        </row>
        <row r="1549">
          <cell r="A1549" t="str">
            <v>II. MATERIALES</v>
          </cell>
        </row>
        <row r="1550">
          <cell r="A1550" t="str">
            <v>CÓDIGO</v>
          </cell>
          <cell r="B1550" t="str">
            <v>DESCRIPCIÓN</v>
          </cell>
          <cell r="C1550" t="str">
            <v>UNIDAD</v>
          </cell>
          <cell r="D1550" t="str">
            <v>CANTIDAD</v>
          </cell>
          <cell r="E1550" t="str">
            <v>DESP.</v>
          </cell>
          <cell r="F1550" t="str">
            <v>PRECIO UNIT.</v>
          </cell>
          <cell r="G1550" t="str">
            <v>VR. UNITARIO</v>
          </cell>
        </row>
        <row r="1551">
          <cell r="A1551" t="str">
            <v>MA005</v>
          </cell>
          <cell r="B1551" t="str">
            <v>CONCRETO 4000 PSI (280 MPA) EN OBRA</v>
          </cell>
          <cell r="C1551" t="str">
            <v>M3</v>
          </cell>
          <cell r="D1551">
            <v>0.15</v>
          </cell>
          <cell r="E1551">
            <v>0.05</v>
          </cell>
          <cell r="F1551">
            <v>782858</v>
          </cell>
          <cell r="G1551">
            <v>123300.13500000001</v>
          </cell>
        </row>
        <row r="1552">
          <cell r="A1552" t="str">
            <v>MA063</v>
          </cell>
          <cell r="B1552" t="str">
            <v>Aro base y aro tapa de Hierrro Fundido ø=0,60m</v>
          </cell>
          <cell r="C1552" t="str">
            <v>Unidad</v>
          </cell>
          <cell r="D1552">
            <v>1</v>
          </cell>
          <cell r="E1552">
            <v>0</v>
          </cell>
          <cell r="F1552">
            <v>280000</v>
          </cell>
          <cell r="G1552">
            <v>280000</v>
          </cell>
        </row>
        <row r="1553">
          <cell r="F1553" t="str">
            <v>SUBTOTAL</v>
          </cell>
          <cell r="G1553">
            <v>403300.13500000001</v>
          </cell>
        </row>
        <row r="1555">
          <cell r="A1555" t="str">
            <v>III. TRANSPORTES</v>
          </cell>
        </row>
        <row r="1556">
          <cell r="A1556" t="str">
            <v>CÓDIGO</v>
          </cell>
          <cell r="B1556" t="str">
            <v>DESCRIPCIÓN</v>
          </cell>
          <cell r="C1556" t="str">
            <v>TIPO</v>
          </cell>
          <cell r="D1556" t="str">
            <v>VOLUMEN/PESO</v>
          </cell>
          <cell r="E1556" t="str">
            <v>DISTANCIA</v>
          </cell>
          <cell r="F1556" t="str">
            <v>TARIFA</v>
          </cell>
          <cell r="G1556" t="str">
            <v>VR. UNITARIO</v>
          </cell>
        </row>
        <row r="1557">
          <cell r="A1557" t="str">
            <v/>
          </cell>
          <cell r="E1557" t="str">
            <v/>
          </cell>
          <cell r="F1557" t="str">
            <v/>
          </cell>
          <cell r="G1557" t="str">
            <v/>
          </cell>
        </row>
        <row r="1558">
          <cell r="A1558" t="str">
            <v/>
          </cell>
          <cell r="E1558" t="str">
            <v/>
          </cell>
          <cell r="F1558" t="str">
            <v/>
          </cell>
          <cell r="G1558" t="str">
            <v/>
          </cell>
        </row>
        <row r="1559">
          <cell r="F1559" t="str">
            <v>SUBTOTAL</v>
          </cell>
          <cell r="G1559" t="str">
            <v/>
          </cell>
        </row>
        <row r="1561">
          <cell r="A1561" t="str">
            <v>IV. MANO DE OBRA</v>
          </cell>
        </row>
        <row r="1562">
          <cell r="A1562" t="str">
            <v>CÓDIGO</v>
          </cell>
          <cell r="B1562" t="str">
            <v>CARGOS PERSONAL</v>
          </cell>
          <cell r="D1562" t="str">
            <v>CANTIDAD</v>
          </cell>
          <cell r="E1562" t="str">
            <v>JORNAL TOTAL</v>
          </cell>
          <cell r="F1562" t="str">
            <v>RENDIMIENTO</v>
          </cell>
          <cell r="G1562" t="str">
            <v>VR. UNITARIO</v>
          </cell>
        </row>
        <row r="1563">
          <cell r="A1563" t="str">
            <v>MO029</v>
          </cell>
          <cell r="B1563" t="str">
            <v>OFICIAL DE OBRA NEGRA</v>
          </cell>
          <cell r="D1563">
            <v>1</v>
          </cell>
          <cell r="E1563">
            <v>153455</v>
          </cell>
          <cell r="F1563">
            <v>3</v>
          </cell>
          <cell r="G1563">
            <v>51151.666666666664</v>
          </cell>
        </row>
        <row r="1564">
          <cell r="A1564" t="str">
            <v>MO032</v>
          </cell>
          <cell r="B1564" t="str">
            <v>AYUDANTE RASO</v>
          </cell>
          <cell r="D1564">
            <v>2</v>
          </cell>
          <cell r="E1564">
            <v>83770</v>
          </cell>
          <cell r="F1564">
            <v>3</v>
          </cell>
          <cell r="G1564">
            <v>55846.666666666664</v>
          </cell>
        </row>
        <row r="1565">
          <cell r="F1565" t="str">
            <v>SUBTOTAL</v>
          </cell>
          <cell r="G1565">
            <v>106998.33333333333</v>
          </cell>
        </row>
        <row r="1567">
          <cell r="A1567" t="str">
            <v>V. SERVICIOS</v>
          </cell>
        </row>
        <row r="1568">
          <cell r="A1568" t="str">
            <v>CÓDIGO</v>
          </cell>
          <cell r="B1568" t="str">
            <v>DESCRIPCIÓN</v>
          </cell>
          <cell r="D1568" t="str">
            <v>UNIDAD</v>
          </cell>
          <cell r="E1568" t="str">
            <v>CANTIDAD</v>
          </cell>
          <cell r="F1568" t="str">
            <v>PRECIO UNIT.</v>
          </cell>
          <cell r="G1568" t="str">
            <v>VR. UNITARIO</v>
          </cell>
        </row>
        <row r="1569">
          <cell r="A1569" t="str">
            <v/>
          </cell>
          <cell r="D1569" t="str">
            <v/>
          </cell>
          <cell r="F1569" t="str">
            <v/>
          </cell>
          <cell r="G1569" t="str">
            <v/>
          </cell>
        </row>
        <row r="1570">
          <cell r="A1570" t="str">
            <v/>
          </cell>
          <cell r="D1570" t="str">
            <v/>
          </cell>
          <cell r="F1570" t="str">
            <v/>
          </cell>
          <cell r="G1570" t="str">
            <v/>
          </cell>
        </row>
        <row r="1571">
          <cell r="A1571" t="str">
            <v/>
          </cell>
          <cell r="D1571" t="str">
            <v/>
          </cell>
          <cell r="F1571" t="str">
            <v/>
          </cell>
          <cell r="G1571" t="str">
            <v/>
          </cell>
        </row>
        <row r="1572">
          <cell r="F1572" t="str">
            <v>SUBTOTAL</v>
          </cell>
          <cell r="G1572" t="str">
            <v/>
          </cell>
        </row>
        <row r="1574">
          <cell r="A1574" t="str">
            <v>TOTAL COSTO DIRECTO</v>
          </cell>
          <cell r="G1574">
            <v>577648</v>
          </cell>
        </row>
        <row r="1576">
          <cell r="A1576" t="str">
            <v>2. COSTOS INDIRECTOS</v>
          </cell>
        </row>
        <row r="1578">
          <cell r="A1578" t="str">
            <v>DESCRIPCIÓN</v>
          </cell>
          <cell r="F1578" t="str">
            <v>PORCENTAJE</v>
          </cell>
          <cell r="G1578" t="str">
            <v>VALOR TOTAL</v>
          </cell>
        </row>
        <row r="1579">
          <cell r="A1579" t="str">
            <v>ADMINISTRACION</v>
          </cell>
          <cell r="F1579">
            <v>0.33389999999999997</v>
          </cell>
          <cell r="G1579">
            <v>192876.6672</v>
          </cell>
        </row>
        <row r="1580">
          <cell r="A1580" t="str">
            <v>IMPREVISTOS</v>
          </cell>
          <cell r="F1580" t="str">
            <v/>
          </cell>
          <cell r="G1580" t="str">
            <v/>
          </cell>
        </row>
        <row r="1581">
          <cell r="A1581" t="str">
            <v>UTILIDADES</v>
          </cell>
          <cell r="F1581">
            <v>0.05</v>
          </cell>
          <cell r="G1581">
            <v>28882.400000000001</v>
          </cell>
        </row>
        <row r="1582">
          <cell r="A1582" t="str">
            <v>TOTAL COSTO INDIRECTO</v>
          </cell>
          <cell r="F1582">
            <v>0.38389999999999996</v>
          </cell>
          <cell r="G1582">
            <v>221759</v>
          </cell>
        </row>
        <row r="1584">
          <cell r="A1584" t="str">
            <v>PRECIO UNITARIO TOTAL APROXIMADO AL PESO</v>
          </cell>
          <cell r="G1584">
            <v>799407</v>
          </cell>
        </row>
        <row r="1587">
          <cell r="B1587" t="str">
            <v>SECRETARIA DE PLANEACIÓN E INFRAESTRUCTURA</v>
          </cell>
        </row>
        <row r="1589">
          <cell r="D1589" t="str">
            <v>FIRMA RESPONSABLE</v>
          </cell>
        </row>
        <row r="1591">
          <cell r="A1591" t="str">
            <v>DEPARTAMENTO DE ANTIOQUIA</v>
          </cell>
          <cell r="F1591" t="str">
            <v/>
          </cell>
        </row>
        <row r="1592">
          <cell r="A1592" t="str">
            <v>MUNICIPIO DE DABEIBA</v>
          </cell>
        </row>
        <row r="1593">
          <cell r="A1593" t="str">
            <v>MEJORAMIENTO DE LA RED VIAL URBANA EN EL BARRIO SAN ANTONIO DEL MUNICIPIO DE DABEIBA</v>
          </cell>
        </row>
        <row r="1595">
          <cell r="A1595" t="str">
            <v>ANÁLISIS DE PRECIOS UNITARIOS</v>
          </cell>
        </row>
        <row r="1597">
          <cell r="A1597" t="str">
            <v>ITEM</v>
          </cell>
          <cell r="B1597" t="str">
            <v>DESCRIPCIÓN</v>
          </cell>
          <cell r="E1597" t="str">
            <v>UNIDAD</v>
          </cell>
          <cell r="F1597" t="str">
            <v>CANTIDAD</v>
          </cell>
          <cell r="G1597" t="str">
            <v>COSTO DIRECTO</v>
          </cell>
        </row>
        <row r="1598">
          <cell r="A1598" t="str">
            <v>11.1</v>
          </cell>
          <cell r="B1598" t="str">
            <v>Suministro, transporte y colocación de tubería novafort de Ø 20" alcantarillado lluvias. Incluye accesorios de empalme, Topografía  y todo lo necesario para su correcta instalación.  la excavación y los llenos se pagaran en su ítem respectivo.</v>
          </cell>
          <cell r="E1598">
            <v>0</v>
          </cell>
          <cell r="F1598">
            <v>0</v>
          </cell>
          <cell r="G1598">
            <v>403331</v>
          </cell>
        </row>
        <row r="1600">
          <cell r="A1600" t="str">
            <v>1. COSTOS DIRECTOS</v>
          </cell>
        </row>
        <row r="1602">
          <cell r="A1602" t="str">
            <v>I. EQUIPO</v>
          </cell>
        </row>
        <row r="1603">
          <cell r="A1603" t="str">
            <v>CÓDIGO</v>
          </cell>
          <cell r="B1603" t="str">
            <v>DESCRIPCIÓN</v>
          </cell>
          <cell r="D1603" t="str">
            <v>UNIDAD</v>
          </cell>
          <cell r="E1603" t="str">
            <v>TARIFA</v>
          </cell>
          <cell r="F1603" t="str">
            <v>RENDIMIENTO</v>
          </cell>
          <cell r="G1603" t="str">
            <v>VR. UNITARIO</v>
          </cell>
        </row>
        <row r="1604">
          <cell r="A1604" t="str">
            <v/>
          </cell>
          <cell r="D1604" t="str">
            <v/>
          </cell>
          <cell r="E1604" t="str">
            <v/>
          </cell>
          <cell r="G1604" t="str">
            <v/>
          </cell>
        </row>
        <row r="1605">
          <cell r="A1605" t="str">
            <v>EQ001</v>
          </cell>
          <cell r="B1605" t="str">
            <v>HERRAMIENTA MENOR (5% DE LA MANO DE OBRA)</v>
          </cell>
          <cell r="D1605" t="str">
            <v>%</v>
          </cell>
          <cell r="E1605">
            <v>0.05</v>
          </cell>
          <cell r="F1605">
            <v>11243.472222222223</v>
          </cell>
          <cell r="G1605">
            <v>562.1736111111112</v>
          </cell>
        </row>
        <row r="1606">
          <cell r="F1606" t="str">
            <v>SUBTOTAL</v>
          </cell>
          <cell r="G1606">
            <v>562.1736111111112</v>
          </cell>
        </row>
        <row r="1608">
          <cell r="A1608" t="str">
            <v>II. MATERIALES</v>
          </cell>
        </row>
        <row r="1609">
          <cell r="A1609" t="str">
            <v>CÓDIGO</v>
          </cell>
          <cell r="B1609" t="str">
            <v>DESCRIPCIÓN</v>
          </cell>
          <cell r="C1609" t="str">
            <v>UNIDAD</v>
          </cell>
          <cell r="D1609" t="str">
            <v>CANTIDAD</v>
          </cell>
          <cell r="E1609" t="str">
            <v>DESP.</v>
          </cell>
          <cell r="F1609" t="str">
            <v>PRECIO UNIT.</v>
          </cell>
          <cell r="G1609" t="str">
            <v>VR. UNITARIO</v>
          </cell>
        </row>
        <row r="1610">
          <cell r="A1610" t="str">
            <v>MA077</v>
          </cell>
          <cell r="B1610" t="str">
            <v>Tubería PVC Sanitaria de 20"</v>
          </cell>
          <cell r="C1610" t="str">
            <v>ml</v>
          </cell>
          <cell r="D1610">
            <v>1</v>
          </cell>
          <cell r="E1610">
            <v>0.05</v>
          </cell>
          <cell r="F1610">
            <v>316666.66666666669</v>
          </cell>
          <cell r="G1610">
            <v>332500.00000000006</v>
          </cell>
        </row>
        <row r="1611">
          <cell r="A1611" t="str">
            <v>MA078</v>
          </cell>
          <cell r="B1611" t="str">
            <v>Accesorios de empalme - anillo caucho 20"</v>
          </cell>
          <cell r="C1611" t="str">
            <v>unidad</v>
          </cell>
          <cell r="D1611">
            <v>0.5</v>
          </cell>
          <cell r="E1611">
            <v>0</v>
          </cell>
          <cell r="F1611">
            <v>93172</v>
          </cell>
          <cell r="G1611">
            <v>46586</v>
          </cell>
        </row>
        <row r="1612">
          <cell r="A1612" t="str">
            <v>MA066</v>
          </cell>
          <cell r="B1612" t="str">
            <v>Lubricante para instalación de tubería</v>
          </cell>
          <cell r="C1612" t="str">
            <v>lb</v>
          </cell>
          <cell r="D1612">
            <v>0.15</v>
          </cell>
          <cell r="E1612">
            <v>0.05</v>
          </cell>
          <cell r="F1612">
            <v>18000</v>
          </cell>
          <cell r="G1612">
            <v>2835</v>
          </cell>
        </row>
        <row r="1613">
          <cell r="A1613" t="str">
            <v>MA067</v>
          </cell>
          <cell r="B1613" t="str">
            <v>Estopa peinada</v>
          </cell>
          <cell r="C1613" t="str">
            <v>bolsa</v>
          </cell>
          <cell r="D1613">
            <v>0.3</v>
          </cell>
          <cell r="E1613">
            <v>0.05</v>
          </cell>
          <cell r="F1613">
            <v>2000</v>
          </cell>
          <cell r="G1613">
            <v>630</v>
          </cell>
        </row>
        <row r="1614">
          <cell r="A1614" t="str">
            <v/>
          </cell>
          <cell r="C1614" t="str">
            <v/>
          </cell>
          <cell r="F1614" t="str">
            <v/>
          </cell>
          <cell r="G1614" t="str">
            <v/>
          </cell>
        </row>
        <row r="1615">
          <cell r="F1615" t="str">
            <v>SUBTOTAL</v>
          </cell>
          <cell r="G1615">
            <v>382551.00000000006</v>
          </cell>
        </row>
        <row r="1617">
          <cell r="A1617" t="str">
            <v>III. TRANSPORTES</v>
          </cell>
        </row>
        <row r="1618">
          <cell r="A1618" t="str">
            <v>CÓDIGO</v>
          </cell>
          <cell r="B1618" t="str">
            <v>DESCRIPCIÓN</v>
          </cell>
          <cell r="C1618" t="str">
            <v>TIPO</v>
          </cell>
          <cell r="D1618" t="str">
            <v>VOLUMEN/PESO</v>
          </cell>
          <cell r="E1618" t="str">
            <v>DISTANCIA</v>
          </cell>
          <cell r="F1618" t="str">
            <v>TARIFA</v>
          </cell>
          <cell r="G1618" t="str">
            <v>VR. UNITARIO</v>
          </cell>
        </row>
        <row r="1619">
          <cell r="A1619" t="str">
            <v>TR001</v>
          </cell>
          <cell r="B1619" t="str">
            <v>TRANSPORTE DE INSUMOS GENERALES 0-1KM</v>
          </cell>
          <cell r="C1619" t="str">
            <v>INSUMOS</v>
          </cell>
          <cell r="D1619">
            <v>5.0000000000000001E-3</v>
          </cell>
          <cell r="E1619">
            <v>1</v>
          </cell>
          <cell r="F1619">
            <v>4250</v>
          </cell>
          <cell r="G1619">
            <v>21.25</v>
          </cell>
        </row>
        <row r="1620">
          <cell r="A1620" t="str">
            <v/>
          </cell>
          <cell r="E1620" t="str">
            <v/>
          </cell>
          <cell r="F1620" t="str">
            <v/>
          </cell>
          <cell r="G1620" t="str">
            <v/>
          </cell>
        </row>
        <row r="1621">
          <cell r="F1621" t="str">
            <v>SUBTOTAL</v>
          </cell>
          <cell r="G1621">
            <v>21.25</v>
          </cell>
        </row>
        <row r="1623">
          <cell r="A1623" t="str">
            <v>IV. MANO DE OBRA</v>
          </cell>
        </row>
        <row r="1624">
          <cell r="A1624" t="str">
            <v>CÓDIGO</v>
          </cell>
          <cell r="B1624" t="str">
            <v>CARGOS PERSONAL</v>
          </cell>
          <cell r="D1624" t="str">
            <v>CANTIDAD</v>
          </cell>
          <cell r="E1624" t="str">
            <v>JORNAL TOTAL</v>
          </cell>
          <cell r="F1624" t="str">
            <v>RENDIMIENTO</v>
          </cell>
          <cell r="G1624" t="str">
            <v>VR. UNITARIO</v>
          </cell>
        </row>
        <row r="1625">
          <cell r="A1625" t="str">
            <v>MO029</v>
          </cell>
          <cell r="B1625" t="str">
            <v>OFICIAL DE OBRA NEGRA</v>
          </cell>
          <cell r="D1625">
            <v>1</v>
          </cell>
          <cell r="E1625">
            <v>153455</v>
          </cell>
          <cell r="F1625">
            <v>36</v>
          </cell>
          <cell r="G1625">
            <v>4262.6388888888887</v>
          </cell>
        </row>
        <row r="1626">
          <cell r="A1626" t="str">
            <v>MO032</v>
          </cell>
          <cell r="B1626" t="str">
            <v>AYUDANTE RASO</v>
          </cell>
          <cell r="D1626">
            <v>3</v>
          </cell>
          <cell r="E1626">
            <v>83770</v>
          </cell>
          <cell r="F1626">
            <v>36</v>
          </cell>
          <cell r="G1626">
            <v>6980.833333333333</v>
          </cell>
        </row>
        <row r="1627">
          <cell r="F1627" t="str">
            <v>SUBTOTAL</v>
          </cell>
          <cell r="G1627">
            <v>11243.472222222223</v>
          </cell>
        </row>
        <row r="1629">
          <cell r="A1629" t="str">
            <v>V. SERVICIOS</v>
          </cell>
        </row>
        <row r="1630">
          <cell r="A1630" t="str">
            <v>CÓDIGO</v>
          </cell>
          <cell r="B1630" t="str">
            <v>DESCRIPCIÓN</v>
          </cell>
          <cell r="D1630" t="str">
            <v>UNIDAD</v>
          </cell>
          <cell r="E1630" t="str">
            <v>CANTIDAD</v>
          </cell>
          <cell r="F1630" t="str">
            <v>PRECIO UNIT.</v>
          </cell>
          <cell r="G1630" t="str">
            <v>VR. UNITARIO</v>
          </cell>
        </row>
        <row r="1631">
          <cell r="A1631" t="str">
            <v>SE002</v>
          </cell>
          <cell r="B1631" t="str">
            <v>COMISIÓN TOPOGRÁFICA (1 TOP. + 1 CAD. 1)</v>
          </cell>
          <cell r="D1631" t="str">
            <v>DÍA</v>
          </cell>
          <cell r="E1631">
            <v>0.02</v>
          </cell>
          <cell r="F1631">
            <v>447639.43886027398</v>
          </cell>
          <cell r="G1631">
            <v>8952.7887772054801</v>
          </cell>
        </row>
        <row r="1632">
          <cell r="A1632" t="str">
            <v/>
          </cell>
          <cell r="D1632" t="str">
            <v/>
          </cell>
          <cell r="F1632" t="str">
            <v/>
          </cell>
          <cell r="G1632" t="str">
            <v/>
          </cell>
        </row>
        <row r="1633">
          <cell r="A1633" t="str">
            <v/>
          </cell>
          <cell r="D1633" t="str">
            <v/>
          </cell>
          <cell r="F1633" t="str">
            <v/>
          </cell>
          <cell r="G1633" t="str">
            <v/>
          </cell>
        </row>
        <row r="1634">
          <cell r="F1634" t="str">
            <v>SUBTOTAL</v>
          </cell>
          <cell r="G1634">
            <v>8952.7887772054801</v>
          </cell>
        </row>
        <row r="1636">
          <cell r="A1636" t="str">
            <v>TOTAL COSTO DIRECTO</v>
          </cell>
          <cell r="G1636">
            <v>403331</v>
          </cell>
        </row>
        <row r="1638">
          <cell r="A1638" t="str">
            <v>2. COSTOS INDIRECTOS</v>
          </cell>
        </row>
        <row r="1640">
          <cell r="A1640" t="str">
            <v>DESCRIPCIÓN</v>
          </cell>
          <cell r="F1640" t="str">
            <v>PORCENTAJE</v>
          </cell>
          <cell r="G1640" t="str">
            <v>VALOR TOTAL</v>
          </cell>
        </row>
        <row r="1641">
          <cell r="A1641" t="str">
            <v>ADMINISTRACION</v>
          </cell>
          <cell r="F1641">
            <v>0.33389999999999997</v>
          </cell>
          <cell r="G1641">
            <v>134672.22089999999</v>
          </cell>
        </row>
        <row r="1642">
          <cell r="A1642" t="str">
            <v>IMPREVISTOS</v>
          </cell>
          <cell r="F1642" t="str">
            <v/>
          </cell>
          <cell r="G1642" t="str">
            <v/>
          </cell>
        </row>
        <row r="1643">
          <cell r="A1643" t="str">
            <v>UTILIDADES</v>
          </cell>
          <cell r="F1643">
            <v>0.05</v>
          </cell>
          <cell r="G1643">
            <v>20166.550000000003</v>
          </cell>
        </row>
        <row r="1644">
          <cell r="A1644" t="str">
            <v>TOTAL COSTO INDIRECTO</v>
          </cell>
          <cell r="F1644">
            <v>0.38389999999999996</v>
          </cell>
          <cell r="G1644">
            <v>154839</v>
          </cell>
        </row>
        <row r="1646">
          <cell r="A1646" t="str">
            <v>PRECIO UNITARIO TOTAL APROXIMADO AL PESO</v>
          </cell>
          <cell r="G1646">
            <v>558170</v>
          </cell>
        </row>
        <row r="1649">
          <cell r="B1649" t="str">
            <v>SECRETARIA DE PLANEACIÓN E INFRAESTRUCTURA</v>
          </cell>
        </row>
        <row r="1651">
          <cell r="D1651" t="str">
            <v>FIRMA RESPONSABLE</v>
          </cell>
        </row>
        <row r="1653">
          <cell r="A1653" t="str">
            <v>DEPARTAMENTO DE ANTIOQUIA</v>
          </cell>
          <cell r="F1653" t="str">
            <v/>
          </cell>
        </row>
        <row r="1654">
          <cell r="A1654" t="str">
            <v>MUNICIPIO DE DABEIBA</v>
          </cell>
        </row>
        <row r="1655">
          <cell r="A1655" t="str">
            <v>MEJORAMIENTO DE LA RED VIAL URBANA EN EL BARRIO SAN ANTONIO DEL MUNICIPIO DE DABEIBA</v>
          </cell>
        </row>
        <row r="1657">
          <cell r="A1657" t="str">
            <v>ANÁLISIS DE PRECIOS UNITARIOS</v>
          </cell>
        </row>
        <row r="1659">
          <cell r="A1659" t="str">
            <v>ITEM</v>
          </cell>
          <cell r="B1659" t="str">
            <v>DESCRIPCIÓN</v>
          </cell>
          <cell r="E1659" t="str">
            <v>UNIDAD</v>
          </cell>
          <cell r="F1659" t="str">
            <v>CANTIDAD</v>
          </cell>
          <cell r="G1659" t="str">
            <v>COSTO DIRECTO</v>
          </cell>
        </row>
        <row r="1660">
          <cell r="A1660" t="str">
            <v>11.2</v>
          </cell>
          <cell r="B1660" t="str">
            <v>Suministro, transporte y colocación de tubería novafort de Ø 12" para salida de sumideros. Incluye accesorios de empalme, Topografía y todo lo necesario para su correcta instalación.  La excavación y los llenos se pagaran en su ítem respectivo.</v>
          </cell>
          <cell r="E1660" t="str">
            <v>ml</v>
          </cell>
          <cell r="F1660">
            <v>734</v>
          </cell>
          <cell r="G1660">
            <v>113495</v>
          </cell>
        </row>
        <row r="1662">
          <cell r="A1662" t="str">
            <v>1. COSTOS DIRECTOS</v>
          </cell>
        </row>
        <row r="1664">
          <cell r="A1664" t="str">
            <v>I. EQUIPO</v>
          </cell>
        </row>
        <row r="1665">
          <cell r="A1665" t="str">
            <v>CÓDIGO</v>
          </cell>
          <cell r="B1665" t="str">
            <v>DESCRIPCIÓN</v>
          </cell>
          <cell r="D1665" t="str">
            <v>UNIDAD</v>
          </cell>
          <cell r="E1665" t="str">
            <v>TARIFA</v>
          </cell>
          <cell r="F1665" t="str">
            <v>RENDIMIENTO</v>
          </cell>
          <cell r="G1665" t="str">
            <v>VR. UNITARIO</v>
          </cell>
        </row>
        <row r="1666">
          <cell r="A1666" t="str">
            <v/>
          </cell>
          <cell r="D1666" t="str">
            <v/>
          </cell>
          <cell r="E1666" t="str">
            <v/>
          </cell>
          <cell r="G1666" t="str">
            <v/>
          </cell>
        </row>
        <row r="1667">
          <cell r="A1667" t="str">
            <v>EQ001</v>
          </cell>
          <cell r="B1667" t="str">
            <v>HERRAMIENTA MENOR (5% DE LA MANO DE OBRA)</v>
          </cell>
          <cell r="D1667" t="str">
            <v>%</v>
          </cell>
          <cell r="E1667">
            <v>0.05</v>
          </cell>
          <cell r="F1667">
            <v>11243.472222222223</v>
          </cell>
          <cell r="G1667">
            <v>562.1736111111112</v>
          </cell>
        </row>
        <row r="1668">
          <cell r="F1668" t="str">
            <v>SUBTOTAL</v>
          </cell>
          <cell r="G1668">
            <v>562.1736111111112</v>
          </cell>
        </row>
        <row r="1670">
          <cell r="A1670" t="str">
            <v>II. MATERIALES</v>
          </cell>
        </row>
        <row r="1671">
          <cell r="A1671" t="str">
            <v>CÓDIGO</v>
          </cell>
          <cell r="B1671" t="str">
            <v>DESCRIPCIÓN</v>
          </cell>
          <cell r="C1671" t="str">
            <v>UNIDAD</v>
          </cell>
          <cell r="D1671" t="str">
            <v>CANTIDAD</v>
          </cell>
          <cell r="E1671" t="str">
            <v>DESP.</v>
          </cell>
          <cell r="F1671" t="str">
            <v>PRECIO UNIT.</v>
          </cell>
          <cell r="G1671" t="str">
            <v>VR. UNITARIO</v>
          </cell>
        </row>
        <row r="1672">
          <cell r="A1672" t="str">
            <v>MA065</v>
          </cell>
          <cell r="B1672" t="str">
            <v>Tubería PVC Sanitaria de 12"</v>
          </cell>
          <cell r="C1672" t="str">
            <v>ml</v>
          </cell>
          <cell r="D1672">
            <v>1</v>
          </cell>
          <cell r="E1672">
            <v>0.05</v>
          </cell>
          <cell r="F1672">
            <v>85000</v>
          </cell>
          <cell r="G1672">
            <v>89250</v>
          </cell>
        </row>
        <row r="1673">
          <cell r="A1673" t="str">
            <v>MA066</v>
          </cell>
          <cell r="B1673" t="str">
            <v>Lubricante para instalación de tubería</v>
          </cell>
          <cell r="C1673" t="str">
            <v>lb</v>
          </cell>
          <cell r="D1673">
            <v>0.15</v>
          </cell>
          <cell r="E1673">
            <v>0.05</v>
          </cell>
          <cell r="F1673">
            <v>18000</v>
          </cell>
          <cell r="G1673">
            <v>2835</v>
          </cell>
        </row>
        <row r="1674">
          <cell r="A1674" t="str">
            <v>MA067</v>
          </cell>
          <cell r="B1674" t="str">
            <v>Estopa peinada</v>
          </cell>
          <cell r="C1674" t="str">
            <v>bolsa</v>
          </cell>
          <cell r="D1674">
            <v>0.3</v>
          </cell>
          <cell r="E1674">
            <v>0.05</v>
          </cell>
          <cell r="F1674">
            <v>2000</v>
          </cell>
          <cell r="G1674">
            <v>630</v>
          </cell>
        </row>
        <row r="1675">
          <cell r="A1675" t="str">
            <v/>
          </cell>
          <cell r="C1675" t="str">
            <v/>
          </cell>
          <cell r="F1675" t="str">
            <v/>
          </cell>
          <cell r="G1675" t="str">
            <v/>
          </cell>
        </row>
        <row r="1676">
          <cell r="F1676" t="str">
            <v>SUBTOTAL</v>
          </cell>
          <cell r="G1676">
            <v>92715</v>
          </cell>
        </row>
        <row r="1678">
          <cell r="A1678" t="str">
            <v>III. TRANSPORTES</v>
          </cell>
        </row>
        <row r="1679">
          <cell r="A1679" t="str">
            <v>CÓDIGO</v>
          </cell>
          <cell r="B1679" t="str">
            <v>DESCRIPCIÓN</v>
          </cell>
          <cell r="C1679" t="str">
            <v>TIPO</v>
          </cell>
          <cell r="D1679" t="str">
            <v>VOLUMEN/PESO</v>
          </cell>
          <cell r="E1679" t="str">
            <v>DISTANCIA</v>
          </cell>
          <cell r="F1679" t="str">
            <v>TARIFA</v>
          </cell>
          <cell r="G1679" t="str">
            <v>VR. UNITARIO</v>
          </cell>
        </row>
        <row r="1680">
          <cell r="A1680" t="str">
            <v>TR001</v>
          </cell>
          <cell r="B1680" t="str">
            <v>TRANSPORTE DE INSUMOS GENERALES 0-1KM</v>
          </cell>
          <cell r="C1680" t="str">
            <v>INSUMOS</v>
          </cell>
          <cell r="D1680">
            <v>5.0000000000000001E-3</v>
          </cell>
          <cell r="E1680">
            <v>1</v>
          </cell>
          <cell r="F1680">
            <v>4250</v>
          </cell>
          <cell r="G1680">
            <v>21.25</v>
          </cell>
        </row>
        <row r="1681">
          <cell r="A1681" t="str">
            <v/>
          </cell>
          <cell r="E1681" t="str">
            <v/>
          </cell>
          <cell r="F1681" t="str">
            <v/>
          </cell>
          <cell r="G1681" t="str">
            <v/>
          </cell>
        </row>
        <row r="1682">
          <cell r="F1682" t="str">
            <v>SUBTOTAL</v>
          </cell>
          <cell r="G1682">
            <v>21.25</v>
          </cell>
        </row>
        <row r="1684">
          <cell r="A1684" t="str">
            <v>IV. MANO DE OBRA</v>
          </cell>
        </row>
        <row r="1685">
          <cell r="A1685" t="str">
            <v>CÓDIGO</v>
          </cell>
          <cell r="B1685" t="str">
            <v>CARGOS PERSONAL</v>
          </cell>
          <cell r="D1685" t="str">
            <v>CANTIDAD</v>
          </cell>
          <cell r="E1685" t="str">
            <v>JORNAL TOTAL</v>
          </cell>
          <cell r="F1685" t="str">
            <v>RENDIMIENTO</v>
          </cell>
          <cell r="G1685" t="str">
            <v>VR. UNITARIO</v>
          </cell>
        </row>
        <row r="1686">
          <cell r="A1686" t="str">
            <v>MO029</v>
          </cell>
          <cell r="B1686" t="str">
            <v>OFICIAL DE OBRA NEGRA</v>
          </cell>
          <cell r="D1686">
            <v>1</v>
          </cell>
          <cell r="E1686">
            <v>153455</v>
          </cell>
          <cell r="F1686">
            <v>36</v>
          </cell>
          <cell r="G1686">
            <v>4262.6388888888887</v>
          </cell>
        </row>
        <row r="1687">
          <cell r="A1687" t="str">
            <v>MO032</v>
          </cell>
          <cell r="B1687" t="str">
            <v>AYUDANTE RASO</v>
          </cell>
          <cell r="D1687">
            <v>3</v>
          </cell>
          <cell r="E1687">
            <v>83770</v>
          </cell>
          <cell r="F1687">
            <v>36</v>
          </cell>
          <cell r="G1687">
            <v>6980.833333333333</v>
          </cell>
        </row>
        <row r="1688">
          <cell r="F1688" t="str">
            <v>SUBTOTAL</v>
          </cell>
          <cell r="G1688">
            <v>11243.472222222223</v>
          </cell>
        </row>
        <row r="1690">
          <cell r="A1690" t="str">
            <v>V. SERVICIOS</v>
          </cell>
        </row>
        <row r="1691">
          <cell r="A1691" t="str">
            <v>CÓDIGO</v>
          </cell>
          <cell r="B1691" t="str">
            <v>DESCRIPCIÓN</v>
          </cell>
          <cell r="D1691" t="str">
            <v>UNIDAD</v>
          </cell>
          <cell r="E1691" t="str">
            <v>CANTIDAD</v>
          </cell>
          <cell r="F1691" t="str">
            <v>PRECIO UNIT.</v>
          </cell>
          <cell r="G1691" t="str">
            <v>VR. UNITARIO</v>
          </cell>
        </row>
        <row r="1692">
          <cell r="A1692" t="str">
            <v>SE002</v>
          </cell>
          <cell r="B1692" t="str">
            <v>COMISIÓN TOPOGRÁFICA (1 TOP. + 1 CAD. 1)</v>
          </cell>
          <cell r="D1692" t="str">
            <v>DÍA</v>
          </cell>
          <cell r="E1692">
            <v>0.02</v>
          </cell>
          <cell r="F1692">
            <v>447639.43886027398</v>
          </cell>
          <cell r="G1692">
            <v>8952.7887772054801</v>
          </cell>
        </row>
        <row r="1693">
          <cell r="A1693" t="str">
            <v/>
          </cell>
          <cell r="D1693" t="str">
            <v/>
          </cell>
          <cell r="F1693" t="str">
            <v/>
          </cell>
          <cell r="G1693" t="str">
            <v/>
          </cell>
        </row>
        <row r="1694">
          <cell r="A1694" t="str">
            <v/>
          </cell>
          <cell r="D1694" t="str">
            <v/>
          </cell>
          <cell r="F1694" t="str">
            <v/>
          </cell>
          <cell r="G1694" t="str">
            <v/>
          </cell>
        </row>
        <row r="1695">
          <cell r="F1695" t="str">
            <v>SUBTOTAL</v>
          </cell>
          <cell r="G1695">
            <v>8952.7887772054801</v>
          </cell>
        </row>
        <row r="1697">
          <cell r="A1697" t="str">
            <v>TOTAL COSTO DIRECTO</v>
          </cell>
          <cell r="G1697">
            <v>113495</v>
          </cell>
        </row>
        <row r="1699">
          <cell r="A1699" t="str">
            <v>2. COSTOS INDIRECTOS</v>
          </cell>
        </row>
        <row r="1701">
          <cell r="A1701" t="str">
            <v>DESCRIPCIÓN</v>
          </cell>
          <cell r="F1701" t="str">
            <v>PORCENTAJE</v>
          </cell>
          <cell r="G1701" t="str">
            <v>VALOR TOTAL</v>
          </cell>
        </row>
        <row r="1702">
          <cell r="A1702" t="str">
            <v>ADMINISTRACION</v>
          </cell>
          <cell r="F1702">
            <v>0.33389999999999997</v>
          </cell>
          <cell r="G1702">
            <v>37895.980499999998</v>
          </cell>
        </row>
        <row r="1703">
          <cell r="A1703" t="str">
            <v>IMPREVISTOS</v>
          </cell>
          <cell r="F1703" t="str">
            <v/>
          </cell>
          <cell r="G1703" t="str">
            <v/>
          </cell>
        </row>
        <row r="1704">
          <cell r="A1704" t="str">
            <v>UTILIDADES</v>
          </cell>
          <cell r="F1704">
            <v>0.05</v>
          </cell>
          <cell r="G1704">
            <v>5674.75</v>
          </cell>
        </row>
        <row r="1705">
          <cell r="A1705" t="str">
            <v>TOTAL COSTO INDIRECTO</v>
          </cell>
          <cell r="F1705">
            <v>0.38389999999999996</v>
          </cell>
          <cell r="G1705">
            <v>43571</v>
          </cell>
        </row>
        <row r="1707">
          <cell r="A1707" t="str">
            <v>PRECIO UNITARIO TOTAL APROXIMADO AL PESO</v>
          </cell>
          <cell r="G1707">
            <v>157066</v>
          </cell>
        </row>
        <row r="1710">
          <cell r="B1710" t="str">
            <v>SECRETARIA DE PLANEACIÓN E INFRAESTRUCTURA</v>
          </cell>
        </row>
        <row r="1712">
          <cell r="D1712" t="str">
            <v>FIRMA RESPONSABLE</v>
          </cell>
        </row>
        <row r="1714">
          <cell r="A1714" t="str">
            <v>DEPARTAMENTO DE ANTIOQUIA</v>
          </cell>
          <cell r="F1714" t="str">
            <v/>
          </cell>
        </row>
        <row r="1715">
          <cell r="A1715" t="str">
            <v>MUNICIPIO DE DABEIBA</v>
          </cell>
        </row>
        <row r="1716">
          <cell r="A1716" t="str">
            <v>MEJORAMIENTO DE LA RED VIAL URBANA EN EL BARRIO SAN ANTONIO DEL MUNICIPIO DE DABEIBA</v>
          </cell>
        </row>
        <row r="1718">
          <cell r="A1718" t="str">
            <v>ANÁLISIS DE PRECIOS UNITARIOS</v>
          </cell>
        </row>
        <row r="1720">
          <cell r="A1720" t="str">
            <v>ITEM</v>
          </cell>
          <cell r="B1720" t="str">
            <v>DESCRIPCIÓN</v>
          </cell>
          <cell r="E1720" t="str">
            <v>UNIDAD</v>
          </cell>
          <cell r="F1720" t="str">
            <v>CANTIDAD</v>
          </cell>
          <cell r="G1720" t="str">
            <v>COSTO DIRECTO</v>
          </cell>
        </row>
        <row r="1721">
          <cell r="A1721" t="str">
            <v>2.3</v>
          </cell>
          <cell r="B1721" t="str">
            <v>Demolición de muros en mampostería de cualquier espesor, incluye cargue y disposición final. No incluye transporte.</v>
          </cell>
          <cell r="E1721" t="str">
            <v>m3</v>
          </cell>
          <cell r="F1721">
            <v>3</v>
          </cell>
          <cell r="G1721">
            <v>88487</v>
          </cell>
        </row>
        <row r="1723">
          <cell r="A1723" t="str">
            <v>1. COSTOS DIRECTOS</v>
          </cell>
        </row>
        <row r="1725">
          <cell r="A1725" t="str">
            <v>I. EQUIPO</v>
          </cell>
        </row>
        <row r="1726">
          <cell r="A1726" t="str">
            <v>CÓDIGO</v>
          </cell>
          <cell r="B1726" t="str">
            <v>DESCRIPCIÓN</v>
          </cell>
          <cell r="D1726" t="str">
            <v>UNIDAD</v>
          </cell>
          <cell r="E1726" t="str">
            <v>TARIFA</v>
          </cell>
          <cell r="F1726" t="str">
            <v>RENDIMIENTO</v>
          </cell>
          <cell r="G1726" t="str">
            <v>VR. UNITARIO</v>
          </cell>
        </row>
        <row r="1727">
          <cell r="A1727" t="str">
            <v>EQ029</v>
          </cell>
          <cell r="B1727" t="str">
            <v>COMPRESOR NEUMATICO 1 MARTILLO</v>
          </cell>
          <cell r="D1727" t="str">
            <v>HORA</v>
          </cell>
          <cell r="E1727">
            <v>46000</v>
          </cell>
          <cell r="F1727">
            <v>3.75</v>
          </cell>
          <cell r="G1727">
            <v>12266.666666666666</v>
          </cell>
        </row>
        <row r="1728">
          <cell r="A1728" t="str">
            <v>EQ001</v>
          </cell>
          <cell r="B1728" t="str">
            <v>HERRAMIENTA MENOR (5% DE LA MANO DE OBRA)</v>
          </cell>
          <cell r="D1728" t="str">
            <v>%</v>
          </cell>
          <cell r="E1728">
            <v>0.05</v>
          </cell>
          <cell r="F1728">
            <v>72590.666666666672</v>
          </cell>
          <cell r="G1728">
            <v>3629.5333333333338</v>
          </cell>
        </row>
        <row r="1729">
          <cell r="F1729" t="str">
            <v>SUBTOTAL</v>
          </cell>
          <cell r="G1729">
            <v>15896.2</v>
          </cell>
        </row>
        <row r="1731">
          <cell r="A1731" t="str">
            <v>II. MATERIALES</v>
          </cell>
        </row>
        <row r="1732">
          <cell r="A1732" t="str">
            <v>CÓDIGO</v>
          </cell>
          <cell r="B1732" t="str">
            <v>DESCRIPCIÓN</v>
          </cell>
          <cell r="C1732" t="str">
            <v>UNIDAD</v>
          </cell>
          <cell r="D1732" t="str">
            <v>CANTIDAD</v>
          </cell>
          <cell r="E1732" t="str">
            <v>DESP.</v>
          </cell>
          <cell r="F1732" t="str">
            <v>PRECIO UNIT.</v>
          </cell>
          <cell r="G1732" t="str">
            <v>VR. UNITARIO</v>
          </cell>
        </row>
        <row r="1733">
          <cell r="A1733" t="str">
            <v/>
          </cell>
          <cell r="C1733" t="str">
            <v/>
          </cell>
          <cell r="F1733" t="str">
            <v/>
          </cell>
          <cell r="G1733" t="str">
            <v/>
          </cell>
        </row>
        <row r="1734">
          <cell r="A1734" t="str">
            <v/>
          </cell>
          <cell r="C1734" t="str">
            <v/>
          </cell>
          <cell r="F1734" t="str">
            <v/>
          </cell>
          <cell r="G1734" t="str">
            <v/>
          </cell>
        </row>
        <row r="1735">
          <cell r="F1735" t="str">
            <v>SUBTOTAL</v>
          </cell>
          <cell r="G1735" t="str">
            <v/>
          </cell>
        </row>
        <row r="1737">
          <cell r="A1737" t="str">
            <v>III. TRANSPORTES</v>
          </cell>
        </row>
        <row r="1738">
          <cell r="A1738" t="str">
            <v>CÓDIGO</v>
          </cell>
          <cell r="B1738" t="str">
            <v>DESCRIPCIÓN</v>
          </cell>
          <cell r="C1738" t="str">
            <v>TIPO</v>
          </cell>
          <cell r="D1738" t="str">
            <v>VOLUMEN/PESO</v>
          </cell>
          <cell r="E1738" t="str">
            <v>DISTANCIA</v>
          </cell>
          <cell r="F1738" t="str">
            <v>TARIFA</v>
          </cell>
          <cell r="G1738" t="str">
            <v>VR. UNITARIO</v>
          </cell>
        </row>
        <row r="1739">
          <cell r="A1739" t="str">
            <v/>
          </cell>
          <cell r="E1739" t="str">
            <v/>
          </cell>
          <cell r="F1739" t="str">
            <v/>
          </cell>
          <cell r="G1739" t="str">
            <v/>
          </cell>
        </row>
        <row r="1740">
          <cell r="A1740" t="str">
            <v/>
          </cell>
          <cell r="E1740" t="str">
            <v/>
          </cell>
          <cell r="F1740" t="str">
            <v/>
          </cell>
          <cell r="G1740" t="str">
            <v/>
          </cell>
        </row>
        <row r="1741">
          <cell r="F1741" t="str">
            <v>SUBTOTAL</v>
          </cell>
          <cell r="G1741" t="str">
            <v/>
          </cell>
        </row>
        <row r="1743">
          <cell r="A1743" t="str">
            <v>IV. MANO DE OBRA</v>
          </cell>
        </row>
        <row r="1744">
          <cell r="A1744" t="str">
            <v>CÓDIGO</v>
          </cell>
          <cell r="B1744" t="str">
            <v>CARGOS PERSONAL</v>
          </cell>
          <cell r="D1744" t="str">
            <v>CANTIDAD</v>
          </cell>
          <cell r="E1744" t="str">
            <v>JORNAL TOTAL</v>
          </cell>
          <cell r="F1744" t="str">
            <v>RENDIMIENTO</v>
          </cell>
          <cell r="G1744" t="str">
            <v>VR. UNITARIO</v>
          </cell>
        </row>
        <row r="1745">
          <cell r="A1745" t="str">
            <v>MO033</v>
          </cell>
          <cell r="B1745" t="str">
            <v>OPERADOR EQUIPO LIVIANO</v>
          </cell>
          <cell r="D1745">
            <v>1</v>
          </cell>
          <cell r="E1745">
            <v>104675</v>
          </cell>
          <cell r="F1745">
            <v>3.75</v>
          </cell>
          <cell r="G1745">
            <v>27913.333333333332</v>
          </cell>
        </row>
        <row r="1746">
          <cell r="A1746" t="str">
            <v>MO032</v>
          </cell>
          <cell r="B1746" t="str">
            <v>AYUDANTE RASO</v>
          </cell>
          <cell r="D1746">
            <v>2</v>
          </cell>
          <cell r="E1746">
            <v>83770</v>
          </cell>
          <cell r="F1746">
            <v>3.75</v>
          </cell>
          <cell r="G1746">
            <v>44677.333333333336</v>
          </cell>
        </row>
        <row r="1747">
          <cell r="F1747" t="str">
            <v>SUBTOTAL</v>
          </cell>
          <cell r="G1747">
            <v>72590.666666666672</v>
          </cell>
        </row>
        <row r="1749">
          <cell r="A1749" t="str">
            <v>V. SERVICIOS</v>
          </cell>
        </row>
        <row r="1750">
          <cell r="A1750" t="str">
            <v>CÓDIGO</v>
          </cell>
          <cell r="B1750" t="str">
            <v>DESCRIPCIÓN</v>
          </cell>
          <cell r="D1750" t="str">
            <v>UNIDAD</v>
          </cell>
          <cell r="E1750" t="str">
            <v>CANTIDAD</v>
          </cell>
          <cell r="F1750" t="str">
            <v>PRECIO UNIT.</v>
          </cell>
          <cell r="G1750" t="str">
            <v>VR. UNITARIO</v>
          </cell>
        </row>
        <row r="1751">
          <cell r="A1751" t="str">
            <v/>
          </cell>
          <cell r="D1751" t="str">
            <v/>
          </cell>
          <cell r="F1751" t="str">
            <v/>
          </cell>
          <cell r="G1751" t="str">
            <v/>
          </cell>
        </row>
        <row r="1752">
          <cell r="A1752" t="str">
            <v/>
          </cell>
          <cell r="D1752" t="str">
            <v/>
          </cell>
          <cell r="F1752" t="str">
            <v/>
          </cell>
          <cell r="G1752" t="str">
            <v/>
          </cell>
        </row>
        <row r="1753">
          <cell r="A1753" t="str">
            <v/>
          </cell>
          <cell r="D1753" t="str">
            <v/>
          </cell>
          <cell r="F1753" t="str">
            <v/>
          </cell>
          <cell r="G1753" t="str">
            <v/>
          </cell>
        </row>
        <row r="1754">
          <cell r="F1754" t="str">
            <v>SUBTOTAL</v>
          </cell>
          <cell r="G1754" t="str">
            <v/>
          </cell>
        </row>
        <row r="1756">
          <cell r="A1756" t="str">
            <v>TOTAL COSTO DIRECTO</v>
          </cell>
          <cell r="G1756">
            <v>88487</v>
          </cell>
        </row>
        <row r="1758">
          <cell r="A1758" t="str">
            <v>2. COSTOS INDIRECTOS</v>
          </cell>
        </row>
        <row r="1760">
          <cell r="A1760" t="str">
            <v>DESCRIPCIÓN</v>
          </cell>
          <cell r="F1760" t="str">
            <v>PORCENTAJE</v>
          </cell>
          <cell r="G1760" t="str">
            <v>VALOR TOTAL</v>
          </cell>
        </row>
        <row r="1761">
          <cell r="A1761" t="str">
            <v>ADMINISTRACION</v>
          </cell>
          <cell r="F1761">
            <v>0.33389999999999997</v>
          </cell>
          <cell r="G1761">
            <v>29545.809299999997</v>
          </cell>
        </row>
        <row r="1762">
          <cell r="A1762" t="str">
            <v>IMPREVISTOS</v>
          </cell>
          <cell r="F1762" t="str">
            <v/>
          </cell>
          <cell r="G1762" t="str">
            <v/>
          </cell>
        </row>
        <row r="1763">
          <cell r="A1763" t="str">
            <v>UTILIDADES</v>
          </cell>
          <cell r="F1763">
            <v>0.05</v>
          </cell>
          <cell r="G1763">
            <v>4424.3500000000004</v>
          </cell>
        </row>
        <row r="1764">
          <cell r="A1764" t="str">
            <v>TOTAL COSTO INDIRECTO</v>
          </cell>
          <cell r="F1764">
            <v>0.38389999999999996</v>
          </cell>
          <cell r="G1764">
            <v>33970</v>
          </cell>
        </row>
        <row r="1766">
          <cell r="A1766" t="str">
            <v>PRECIO UNITARIO TOTAL APROXIMADO AL PESO</v>
          </cell>
          <cell r="G1766">
            <v>122457</v>
          </cell>
        </row>
        <row r="1769">
          <cell r="B1769" t="str">
            <v>SECRETARIA DE PLANEACIÓN E INFRAESTRUCTURA</v>
          </cell>
        </row>
        <row r="1771">
          <cell r="D1771" t="str">
            <v>FIRMA RESPONSABLE</v>
          </cell>
        </row>
        <row r="1773">
          <cell r="A1773" t="str">
            <v>DEPARTAMENTO DE ANTIOQUIA</v>
          </cell>
          <cell r="F1773" t="str">
            <v/>
          </cell>
        </row>
        <row r="1774">
          <cell r="A1774" t="str">
            <v>MUNICIPIO DE DABEIBA</v>
          </cell>
        </row>
        <row r="1775">
          <cell r="A1775" t="str">
            <v>MEJORAMIENTO DE LA RED VIAL URBANA EN EL BARRIO SAN ANTONIO DEL MUNICIPIO DE DABEIBA</v>
          </cell>
        </row>
        <row r="1777">
          <cell r="A1777" t="str">
            <v>ANÁLISIS DE PRECIOS UNITARIOS</v>
          </cell>
        </row>
        <row r="1779">
          <cell r="A1779" t="str">
            <v>ITEM</v>
          </cell>
          <cell r="B1779" t="str">
            <v>DESCRIPCIÓN</v>
          </cell>
          <cell r="E1779" t="str">
            <v>UNIDAD</v>
          </cell>
          <cell r="F1779" t="str">
            <v>CANTIDAD</v>
          </cell>
          <cell r="G1779" t="str">
            <v>COSTO DIRECTO</v>
          </cell>
        </row>
        <row r="1780">
          <cell r="A1780" t="str">
            <v>2.4</v>
          </cell>
          <cell r="B1780" t="str">
            <v>Demolición de anden en concreto de cualquier resistencia y espesor max=0,10m. Incluye retiro de entresuelo adherido, de acero de refuerzo, el cargue y disposición final. No incluye transporte</v>
          </cell>
          <cell r="E1780" t="str">
            <v>m3</v>
          </cell>
          <cell r="F1780">
            <v>9</v>
          </cell>
          <cell r="G1780">
            <v>58991</v>
          </cell>
        </row>
        <row r="1782">
          <cell r="A1782" t="str">
            <v>1. COSTOS DIRECTOS</v>
          </cell>
        </row>
        <row r="1784">
          <cell r="A1784" t="str">
            <v>I. EQUIPO</v>
          </cell>
        </row>
        <row r="1785">
          <cell r="A1785" t="str">
            <v>CÓDIGO</v>
          </cell>
          <cell r="B1785" t="str">
            <v>DESCRIPCIÓN</v>
          </cell>
          <cell r="D1785" t="str">
            <v>UNIDAD</v>
          </cell>
          <cell r="E1785" t="str">
            <v>TARIFA</v>
          </cell>
          <cell r="F1785" t="str">
            <v>RENDIMIENTO</v>
          </cell>
          <cell r="G1785" t="str">
            <v>VR. UNITARIO</v>
          </cell>
        </row>
        <row r="1786">
          <cell r="A1786" t="str">
            <v>EQ029</v>
          </cell>
          <cell r="B1786" t="str">
            <v>COMPRESOR NEUMATICO 1 MARTILLO</v>
          </cell>
          <cell r="D1786" t="str">
            <v>HORA</v>
          </cell>
          <cell r="E1786">
            <v>46000</v>
          </cell>
          <cell r="F1786">
            <v>5.625</v>
          </cell>
          <cell r="G1786">
            <v>8177.7777777777774</v>
          </cell>
        </row>
        <row r="1787">
          <cell r="A1787" t="str">
            <v>EQ001</v>
          </cell>
          <cell r="B1787" t="str">
            <v>HERRAMIENTA MENOR (5% DE LA MANO DE OBRA)</v>
          </cell>
          <cell r="D1787" t="str">
            <v>%</v>
          </cell>
          <cell r="E1787">
            <v>0.05</v>
          </cell>
          <cell r="F1787">
            <v>48393.777777777781</v>
          </cell>
          <cell r="G1787">
            <v>2419.6888888888893</v>
          </cell>
        </row>
        <row r="1788">
          <cell r="F1788" t="str">
            <v>SUBTOTAL</v>
          </cell>
          <cell r="G1788">
            <v>10597.466666666667</v>
          </cell>
        </row>
        <row r="1790">
          <cell r="A1790" t="str">
            <v>II. MATERIALES</v>
          </cell>
        </row>
        <row r="1791">
          <cell r="A1791" t="str">
            <v>CÓDIGO</v>
          </cell>
          <cell r="B1791" t="str">
            <v>DESCRIPCIÓN</v>
          </cell>
          <cell r="C1791" t="str">
            <v>UNIDAD</v>
          </cell>
          <cell r="D1791" t="str">
            <v>CANTIDAD</v>
          </cell>
          <cell r="E1791" t="str">
            <v>DESP.</v>
          </cell>
          <cell r="F1791" t="str">
            <v>PRECIO UNIT.</v>
          </cell>
          <cell r="G1791" t="str">
            <v>VR. UNITARIO</v>
          </cell>
        </row>
        <row r="1792">
          <cell r="A1792" t="str">
            <v/>
          </cell>
          <cell r="C1792" t="str">
            <v/>
          </cell>
          <cell r="F1792" t="str">
            <v/>
          </cell>
          <cell r="G1792" t="str">
            <v/>
          </cell>
        </row>
        <row r="1793">
          <cell r="A1793" t="str">
            <v/>
          </cell>
          <cell r="C1793" t="str">
            <v/>
          </cell>
          <cell r="F1793" t="str">
            <v/>
          </cell>
          <cell r="G1793" t="str">
            <v/>
          </cell>
        </row>
        <row r="1794">
          <cell r="F1794" t="str">
            <v>SUBTOTAL</v>
          </cell>
          <cell r="G1794" t="str">
            <v/>
          </cell>
        </row>
        <row r="1796">
          <cell r="A1796" t="str">
            <v>III. TRANSPORTES</v>
          </cell>
        </row>
        <row r="1797">
          <cell r="A1797" t="str">
            <v>CÓDIGO</v>
          </cell>
          <cell r="B1797" t="str">
            <v>DESCRIPCIÓN</v>
          </cell>
          <cell r="C1797" t="str">
            <v>TIPO</v>
          </cell>
          <cell r="D1797" t="str">
            <v>VOLUMEN/PESO</v>
          </cell>
          <cell r="E1797" t="str">
            <v>DISTANCIA</v>
          </cell>
          <cell r="F1797" t="str">
            <v>TARIFA</v>
          </cell>
          <cell r="G1797" t="str">
            <v>VR. UNITARIO</v>
          </cell>
        </row>
        <row r="1798">
          <cell r="A1798" t="str">
            <v/>
          </cell>
          <cell r="E1798" t="str">
            <v/>
          </cell>
          <cell r="F1798" t="str">
            <v/>
          </cell>
          <cell r="G1798" t="str">
            <v/>
          </cell>
        </row>
        <row r="1799">
          <cell r="A1799" t="str">
            <v/>
          </cell>
          <cell r="E1799" t="str">
            <v/>
          </cell>
          <cell r="F1799" t="str">
            <v/>
          </cell>
          <cell r="G1799" t="str">
            <v/>
          </cell>
        </row>
        <row r="1800">
          <cell r="F1800" t="str">
            <v>SUBTOTAL</v>
          </cell>
          <cell r="G1800" t="str">
            <v/>
          </cell>
        </row>
        <row r="1802">
          <cell r="A1802" t="str">
            <v>IV. MANO DE OBRA</v>
          </cell>
        </row>
        <row r="1803">
          <cell r="A1803" t="str">
            <v>CÓDIGO</v>
          </cell>
          <cell r="B1803" t="str">
            <v>CARGOS PERSONAL</v>
          </cell>
          <cell r="D1803" t="str">
            <v>CANTIDAD</v>
          </cell>
          <cell r="E1803" t="str">
            <v>JORNAL TOTAL</v>
          </cell>
          <cell r="F1803" t="str">
            <v>RENDIMIENTO</v>
          </cell>
          <cell r="G1803" t="str">
            <v>VR. UNITARIO</v>
          </cell>
        </row>
        <row r="1804">
          <cell r="A1804" t="str">
            <v>MO033</v>
          </cell>
          <cell r="B1804" t="str">
            <v>OPERADOR EQUIPO LIVIANO</v>
          </cell>
          <cell r="D1804">
            <v>1</v>
          </cell>
          <cell r="E1804">
            <v>104675</v>
          </cell>
          <cell r="F1804">
            <v>5.625</v>
          </cell>
          <cell r="G1804">
            <v>18608.888888888891</v>
          </cell>
        </row>
        <row r="1805">
          <cell r="A1805" t="str">
            <v>MO032</v>
          </cell>
          <cell r="B1805" t="str">
            <v>AYUDANTE RASO</v>
          </cell>
          <cell r="D1805">
            <v>2</v>
          </cell>
          <cell r="E1805">
            <v>83770</v>
          </cell>
          <cell r="F1805">
            <v>5.625</v>
          </cell>
          <cell r="G1805">
            <v>29784.888888888891</v>
          </cell>
        </row>
        <row r="1806">
          <cell r="F1806" t="str">
            <v>SUBTOTAL</v>
          </cell>
          <cell r="G1806">
            <v>48393.777777777781</v>
          </cell>
        </row>
        <row r="1808">
          <cell r="A1808" t="str">
            <v>V. SERVICIOS</v>
          </cell>
        </row>
        <row r="1809">
          <cell r="A1809" t="str">
            <v>CÓDIGO</v>
          </cell>
          <cell r="B1809" t="str">
            <v>DESCRIPCIÓN</v>
          </cell>
          <cell r="D1809" t="str">
            <v>UNIDAD</v>
          </cell>
          <cell r="E1809" t="str">
            <v>CANTIDAD</v>
          </cell>
          <cell r="F1809" t="str">
            <v>PRECIO UNIT.</v>
          </cell>
          <cell r="G1809" t="str">
            <v>VR. UNITARIO</v>
          </cell>
        </row>
        <row r="1810">
          <cell r="A1810" t="str">
            <v/>
          </cell>
          <cell r="D1810" t="str">
            <v/>
          </cell>
          <cell r="F1810" t="str">
            <v/>
          </cell>
          <cell r="G1810" t="str">
            <v/>
          </cell>
        </row>
        <row r="1811">
          <cell r="A1811" t="str">
            <v/>
          </cell>
          <cell r="D1811" t="str">
            <v/>
          </cell>
          <cell r="F1811" t="str">
            <v/>
          </cell>
          <cell r="G1811" t="str">
            <v/>
          </cell>
        </row>
        <row r="1812">
          <cell r="A1812" t="str">
            <v/>
          </cell>
          <cell r="D1812" t="str">
            <v/>
          </cell>
          <cell r="F1812" t="str">
            <v/>
          </cell>
          <cell r="G1812" t="str">
            <v/>
          </cell>
        </row>
        <row r="1813">
          <cell r="F1813" t="str">
            <v>SUBTOTAL</v>
          </cell>
          <cell r="G1813" t="str">
            <v/>
          </cell>
        </row>
        <row r="1815">
          <cell r="A1815" t="str">
            <v>TOTAL COSTO DIRECTO</v>
          </cell>
          <cell r="G1815">
            <v>58991</v>
          </cell>
        </row>
        <row r="1817">
          <cell r="A1817" t="str">
            <v>2. COSTOS INDIRECTOS</v>
          </cell>
        </row>
        <row r="1819">
          <cell r="A1819" t="str">
            <v>DESCRIPCIÓN</v>
          </cell>
          <cell r="F1819" t="str">
            <v>PORCENTAJE</v>
          </cell>
          <cell r="G1819" t="str">
            <v>VALOR TOTAL</v>
          </cell>
        </row>
        <row r="1820">
          <cell r="A1820" t="str">
            <v>ADMINISTRACION</v>
          </cell>
          <cell r="F1820">
            <v>0.33389999999999997</v>
          </cell>
          <cell r="G1820">
            <v>19697.0949</v>
          </cell>
        </row>
        <row r="1821">
          <cell r="A1821" t="str">
            <v>IMPREVISTOS</v>
          </cell>
          <cell r="F1821" t="str">
            <v/>
          </cell>
          <cell r="G1821" t="str">
            <v/>
          </cell>
        </row>
        <row r="1822">
          <cell r="A1822" t="str">
            <v>UTILIDADES</v>
          </cell>
          <cell r="F1822">
            <v>0.05</v>
          </cell>
          <cell r="G1822">
            <v>2949.55</v>
          </cell>
        </row>
        <row r="1823">
          <cell r="A1823" t="str">
            <v>TOTAL COSTO INDIRECTO</v>
          </cell>
          <cell r="F1823">
            <v>0.38389999999999996</v>
          </cell>
          <cell r="G1823">
            <v>22647</v>
          </cell>
        </row>
        <row r="1825">
          <cell r="A1825" t="str">
            <v>PRECIO UNITARIO TOTAL APROXIMADO AL PESO</v>
          </cell>
          <cell r="G1825">
            <v>81638</v>
          </cell>
        </row>
        <row r="1828">
          <cell r="B1828" t="str">
            <v>SECRETARIA DE PLANEACIÓN E INFRAESTRUCTURA</v>
          </cell>
        </row>
        <row r="1830">
          <cell r="D1830" t="str">
            <v>FIRMA RESPONSABLE</v>
          </cell>
        </row>
        <row r="1832">
          <cell r="A1832" t="str">
            <v>DEPARTAMENTO DE ANTIOQUIA</v>
          </cell>
          <cell r="F1832" t="str">
            <v/>
          </cell>
        </row>
        <row r="1833">
          <cell r="A1833" t="str">
            <v>MUNICIPIO DE DABEIBA</v>
          </cell>
        </row>
        <row r="1834">
          <cell r="A1834" t="str">
            <v>MEJORAMIENTO DE LA RED VIAL URBANA EN EL BARRIO SAN ANTONIO DEL MUNICIPIO DE DABEIBA</v>
          </cell>
        </row>
        <row r="1836">
          <cell r="A1836" t="str">
            <v>ANÁLISIS DE PRECIOS UNITARIOS</v>
          </cell>
        </row>
        <row r="1838">
          <cell r="A1838" t="str">
            <v>ITEM</v>
          </cell>
          <cell r="B1838" t="str">
            <v>DESCRIPCIÓN</v>
          </cell>
          <cell r="E1838" t="str">
            <v>UNIDAD</v>
          </cell>
          <cell r="F1838" t="str">
            <v>CANTIDAD</v>
          </cell>
          <cell r="G1838" t="str">
            <v>COSTO DIRECTO</v>
          </cell>
        </row>
        <row r="1839">
          <cell r="A1839" t="str">
            <v>11.3</v>
          </cell>
          <cell r="B1839" t="str">
            <v>Suministro, transporte y colocación de tubería PVC D=4" RDE 21  para reposición de red acueducto. Incluye accesorios de empalme, Topografía y todo lo necesario para su correcta instalación.  La excavación y los llenos se pagaran en su ítem respectivo.</v>
          </cell>
          <cell r="E1839">
            <v>0</v>
          </cell>
          <cell r="F1839">
            <v>0</v>
          </cell>
          <cell r="G1839">
            <v>62333</v>
          </cell>
        </row>
        <row r="1841">
          <cell r="A1841" t="str">
            <v>1. COSTOS DIRECTOS</v>
          </cell>
        </row>
        <row r="1843">
          <cell r="A1843" t="str">
            <v>I. EQUIPO</v>
          </cell>
        </row>
        <row r="1844">
          <cell r="A1844" t="str">
            <v>CÓDIGO</v>
          </cell>
          <cell r="B1844" t="str">
            <v>DESCRIPCIÓN</v>
          </cell>
          <cell r="D1844" t="str">
            <v>UNIDAD</v>
          </cell>
          <cell r="E1844" t="str">
            <v>TARIFA</v>
          </cell>
          <cell r="F1844" t="str">
            <v>RENDIMIENTO</v>
          </cell>
          <cell r="G1844" t="str">
            <v>VR. UNITARIO</v>
          </cell>
        </row>
        <row r="1845">
          <cell r="A1845" t="str">
            <v/>
          </cell>
          <cell r="D1845" t="str">
            <v/>
          </cell>
          <cell r="E1845" t="str">
            <v/>
          </cell>
          <cell r="G1845" t="str">
            <v/>
          </cell>
        </row>
        <row r="1846">
          <cell r="A1846" t="str">
            <v>EQ001</v>
          </cell>
          <cell r="B1846" t="str">
            <v>HERRAMIENTA MENOR (5% DE LA MANO DE OBRA)</v>
          </cell>
          <cell r="D1846" t="str">
            <v>%</v>
          </cell>
          <cell r="E1846">
            <v>0.05</v>
          </cell>
          <cell r="F1846">
            <v>11243.472222222223</v>
          </cell>
          <cell r="G1846">
            <v>562.1736111111112</v>
          </cell>
        </row>
        <row r="1847">
          <cell r="F1847" t="str">
            <v>SUBTOTAL</v>
          </cell>
          <cell r="G1847">
            <v>562.1736111111112</v>
          </cell>
        </row>
        <row r="1849">
          <cell r="A1849" t="str">
            <v>II. MATERIALES</v>
          </cell>
        </row>
        <row r="1850">
          <cell r="A1850" t="str">
            <v>CÓDIGO</v>
          </cell>
          <cell r="B1850" t="str">
            <v>DESCRIPCIÓN</v>
          </cell>
          <cell r="C1850" t="str">
            <v>UNIDAD</v>
          </cell>
          <cell r="D1850" t="str">
            <v>CANTIDAD</v>
          </cell>
          <cell r="E1850" t="str">
            <v>DESP.</v>
          </cell>
          <cell r="F1850" t="str">
            <v>PRECIO UNIT.</v>
          </cell>
          <cell r="G1850" t="str">
            <v>VR. UNITARIO</v>
          </cell>
        </row>
        <row r="1851">
          <cell r="A1851" t="str">
            <v>MA069</v>
          </cell>
          <cell r="B1851" t="str">
            <v>Tuberia PVC Acueducto D=4" RDE 21</v>
          </cell>
          <cell r="C1851" t="str">
            <v>ml</v>
          </cell>
          <cell r="D1851">
            <v>1</v>
          </cell>
          <cell r="E1851">
            <v>0.05</v>
          </cell>
          <cell r="F1851">
            <v>46000</v>
          </cell>
          <cell r="G1851">
            <v>48300</v>
          </cell>
        </row>
        <row r="1852">
          <cell r="A1852" t="str">
            <v>MA066</v>
          </cell>
          <cell r="B1852" t="str">
            <v>Lubricante para instalación de tubería</v>
          </cell>
          <cell r="C1852" t="str">
            <v>lb</v>
          </cell>
          <cell r="D1852">
            <v>0.04</v>
          </cell>
          <cell r="E1852">
            <v>0.05</v>
          </cell>
          <cell r="F1852">
            <v>18000</v>
          </cell>
          <cell r="G1852">
            <v>756</v>
          </cell>
        </row>
        <row r="1853">
          <cell r="A1853" t="str">
            <v>MA071</v>
          </cell>
          <cell r="B1853" t="str">
            <v>Limpiador PVC</v>
          </cell>
          <cell r="C1853" t="str">
            <v>1/4 galon</v>
          </cell>
          <cell r="D1853">
            <v>0.03</v>
          </cell>
          <cell r="E1853">
            <v>0.05</v>
          </cell>
          <cell r="F1853">
            <v>27000</v>
          </cell>
          <cell r="G1853">
            <v>850.5</v>
          </cell>
        </row>
        <row r="1854">
          <cell r="A1854" t="str">
            <v>MA067</v>
          </cell>
          <cell r="B1854" t="str">
            <v>Estopa peinada</v>
          </cell>
          <cell r="C1854" t="str">
            <v>bolsa</v>
          </cell>
          <cell r="D1854">
            <v>0.3</v>
          </cell>
          <cell r="F1854">
            <v>2000</v>
          </cell>
          <cell r="G1854">
            <v>600</v>
          </cell>
        </row>
        <row r="1855">
          <cell r="F1855" t="str">
            <v>SUBTOTAL</v>
          </cell>
          <cell r="G1855">
            <v>50506.5</v>
          </cell>
        </row>
        <row r="1857">
          <cell r="A1857" t="str">
            <v>III. TRANSPORTES</v>
          </cell>
        </row>
        <row r="1858">
          <cell r="A1858" t="str">
            <v>CÓDIGO</v>
          </cell>
          <cell r="B1858" t="str">
            <v>DESCRIPCIÓN</v>
          </cell>
          <cell r="C1858" t="str">
            <v>TIPO</v>
          </cell>
          <cell r="D1858" t="str">
            <v>VOLUMEN/PESO</v>
          </cell>
          <cell r="E1858" t="str">
            <v>DISTANCIA</v>
          </cell>
          <cell r="F1858" t="str">
            <v>TARIFA</v>
          </cell>
          <cell r="G1858" t="str">
            <v>VR. UNITARIO</v>
          </cell>
        </row>
        <row r="1859">
          <cell r="A1859" t="str">
            <v>TR001</v>
          </cell>
          <cell r="B1859" t="str">
            <v>TRANSPORTE DE INSUMOS GENERALES 0-1KM</v>
          </cell>
          <cell r="C1859" t="str">
            <v>INSUMOS</v>
          </cell>
          <cell r="D1859">
            <v>5.0000000000000001E-3</v>
          </cell>
          <cell r="E1859">
            <v>1</v>
          </cell>
          <cell r="F1859">
            <v>4250</v>
          </cell>
          <cell r="G1859">
            <v>21.25</v>
          </cell>
        </row>
        <row r="1860">
          <cell r="A1860" t="str">
            <v/>
          </cell>
          <cell r="E1860" t="str">
            <v/>
          </cell>
          <cell r="F1860" t="str">
            <v/>
          </cell>
          <cell r="G1860" t="str">
            <v/>
          </cell>
        </row>
        <row r="1861">
          <cell r="F1861" t="str">
            <v>SUBTOTAL</v>
          </cell>
          <cell r="G1861">
            <v>21.25</v>
          </cell>
        </row>
        <row r="1863">
          <cell r="A1863" t="str">
            <v>IV. MANO DE OBRA</v>
          </cell>
        </row>
        <row r="1864">
          <cell r="A1864" t="str">
            <v>CÓDIGO</v>
          </cell>
          <cell r="B1864" t="str">
            <v>CARGOS PERSONAL</v>
          </cell>
          <cell r="D1864" t="str">
            <v>CANTIDAD</v>
          </cell>
          <cell r="E1864" t="str">
            <v>JORNAL TOTAL</v>
          </cell>
          <cell r="F1864" t="str">
            <v>RENDIMIENTO</v>
          </cell>
          <cell r="G1864" t="str">
            <v>VR. UNITARIO</v>
          </cell>
        </row>
        <row r="1865">
          <cell r="A1865" t="str">
            <v>MO029</v>
          </cell>
          <cell r="B1865" t="str">
            <v>OFICIAL DE OBRA NEGRA</v>
          </cell>
          <cell r="D1865">
            <v>1</v>
          </cell>
          <cell r="E1865">
            <v>153455</v>
          </cell>
          <cell r="F1865">
            <v>36</v>
          </cell>
          <cell r="G1865">
            <v>4262.6388888888887</v>
          </cell>
        </row>
        <row r="1866">
          <cell r="A1866" t="str">
            <v>MO032</v>
          </cell>
          <cell r="B1866" t="str">
            <v>AYUDANTE RASO</v>
          </cell>
          <cell r="D1866">
            <v>3</v>
          </cell>
          <cell r="E1866">
            <v>83770</v>
          </cell>
          <cell r="F1866">
            <v>36</v>
          </cell>
          <cell r="G1866">
            <v>6980.833333333333</v>
          </cell>
        </row>
        <row r="1867">
          <cell r="F1867" t="str">
            <v>SUBTOTAL</v>
          </cell>
          <cell r="G1867">
            <v>11243.472222222223</v>
          </cell>
        </row>
        <row r="1869">
          <cell r="A1869" t="str">
            <v>V. SERVICIOS</v>
          </cell>
        </row>
        <row r="1870">
          <cell r="A1870" t="str">
            <v>CÓDIGO</v>
          </cell>
          <cell r="B1870" t="str">
            <v>DESCRIPCIÓN</v>
          </cell>
          <cell r="D1870" t="str">
            <v>UNIDAD</v>
          </cell>
          <cell r="E1870" t="str">
            <v>CANTIDAD</v>
          </cell>
          <cell r="F1870" t="str">
            <v>PRECIO UNIT.</v>
          </cell>
          <cell r="G1870" t="str">
            <v>VR. UNITARIO</v>
          </cell>
        </row>
        <row r="1871">
          <cell r="A1871" t="str">
            <v/>
          </cell>
          <cell r="D1871" t="str">
            <v/>
          </cell>
          <cell r="F1871" t="str">
            <v/>
          </cell>
          <cell r="G1871" t="str">
            <v/>
          </cell>
        </row>
        <row r="1872">
          <cell r="A1872" t="str">
            <v/>
          </cell>
          <cell r="D1872" t="str">
            <v/>
          </cell>
          <cell r="F1872" t="str">
            <v/>
          </cell>
          <cell r="G1872" t="str">
            <v/>
          </cell>
        </row>
        <row r="1873">
          <cell r="A1873" t="str">
            <v/>
          </cell>
          <cell r="D1873" t="str">
            <v/>
          </cell>
          <cell r="F1873" t="str">
            <v/>
          </cell>
          <cell r="G1873" t="str">
            <v/>
          </cell>
        </row>
        <row r="1874">
          <cell r="F1874" t="str">
            <v>SUBTOTAL</v>
          </cell>
          <cell r="G1874" t="str">
            <v/>
          </cell>
        </row>
        <row r="1876">
          <cell r="A1876" t="str">
            <v>TOTAL COSTO DIRECTO</v>
          </cell>
          <cell r="G1876">
            <v>62333</v>
          </cell>
        </row>
        <row r="1878">
          <cell r="A1878" t="str">
            <v>2. COSTOS INDIRECTOS</v>
          </cell>
        </row>
        <row r="1880">
          <cell r="A1880" t="str">
            <v>DESCRIPCIÓN</v>
          </cell>
          <cell r="F1880" t="str">
            <v>PORCENTAJE</v>
          </cell>
          <cell r="G1880" t="str">
            <v>VALOR TOTAL</v>
          </cell>
        </row>
        <row r="1881">
          <cell r="A1881" t="str">
            <v>ADMINISTRACION</v>
          </cell>
          <cell r="F1881">
            <v>0.33389999999999997</v>
          </cell>
          <cell r="G1881">
            <v>20812.988699999998</v>
          </cell>
        </row>
        <row r="1882">
          <cell r="A1882" t="str">
            <v>IMPREVISTOS</v>
          </cell>
          <cell r="F1882" t="str">
            <v/>
          </cell>
          <cell r="G1882" t="str">
            <v/>
          </cell>
        </row>
        <row r="1883">
          <cell r="A1883" t="str">
            <v>UTILIDADES</v>
          </cell>
          <cell r="F1883">
            <v>0.05</v>
          </cell>
          <cell r="G1883">
            <v>3116.65</v>
          </cell>
        </row>
        <row r="1884">
          <cell r="A1884" t="str">
            <v>TOTAL COSTO INDIRECTO</v>
          </cell>
          <cell r="F1884">
            <v>0.38389999999999996</v>
          </cell>
          <cell r="G1884">
            <v>23930</v>
          </cell>
        </row>
        <row r="1886">
          <cell r="A1886" t="str">
            <v>PRECIO UNITARIO TOTAL APROXIMADO AL PESO</v>
          </cell>
          <cell r="G1886">
            <v>86263</v>
          </cell>
        </row>
        <row r="1889">
          <cell r="B1889" t="str">
            <v>SECRETARIA DE PLANEACIÓN E INFRAESTRUCTURA</v>
          </cell>
        </row>
        <row r="1891">
          <cell r="D1891" t="str">
            <v>FIRMA RESPONSABLE</v>
          </cell>
        </row>
        <row r="1893">
          <cell r="A1893" t="str">
            <v>DEPARTAMENTO DE ANTIOQUIA</v>
          </cell>
          <cell r="F1893" t="str">
            <v/>
          </cell>
        </row>
        <row r="1894">
          <cell r="A1894" t="str">
            <v>MUNICIPIO DE DABEIBA</v>
          </cell>
        </row>
        <row r="1895">
          <cell r="A1895" t="str">
            <v>MEJORAMIENTO DE LA RED VIAL URBANA EN EL BARRIO SAN ANTONIO DEL MUNICIPIO DE DABEIBA</v>
          </cell>
        </row>
        <row r="1897">
          <cell r="A1897" t="str">
            <v>ANÁLISIS DE PRECIOS UNITARIOS</v>
          </cell>
        </row>
        <row r="1899">
          <cell r="A1899" t="str">
            <v>ITEM</v>
          </cell>
          <cell r="B1899" t="str">
            <v>DESCRIPCIÓN</v>
          </cell>
          <cell r="E1899" t="str">
            <v>UNIDAD</v>
          </cell>
          <cell r="F1899" t="str">
            <v>CANTIDAD</v>
          </cell>
          <cell r="G1899" t="str">
            <v>COSTO DIRECTO</v>
          </cell>
        </row>
        <row r="1900">
          <cell r="A1900" t="str">
            <v>11.4</v>
          </cell>
          <cell r="B1900" t="str">
            <v>Suministro, transporte y colocación de tubería PVC D=2" RDE 21  para reposición de red acueducto. Incluye accesorios de empalme, Topografía y todo lo necesario para su correcta instalación.  La excavación y los llenos se pagaran en su ítem respectivo.</v>
          </cell>
          <cell r="E1900">
            <v>0</v>
          </cell>
          <cell r="F1900">
            <v>0</v>
          </cell>
          <cell r="G1900">
            <v>29813</v>
          </cell>
        </row>
        <row r="1902">
          <cell r="A1902" t="str">
            <v>1. COSTOS DIRECTOS</v>
          </cell>
        </row>
        <row r="1904">
          <cell r="A1904" t="str">
            <v>I. EQUIPO</v>
          </cell>
        </row>
        <row r="1905">
          <cell r="A1905" t="str">
            <v>CÓDIGO</v>
          </cell>
          <cell r="B1905" t="str">
            <v>DESCRIPCIÓN</v>
          </cell>
          <cell r="D1905" t="str">
            <v>UNIDAD</v>
          </cell>
          <cell r="E1905" t="str">
            <v>TARIFA</v>
          </cell>
          <cell r="F1905" t="str">
            <v>RENDIMIENTO</v>
          </cell>
          <cell r="G1905" t="str">
            <v>VR. UNITARIO</v>
          </cell>
        </row>
        <row r="1906">
          <cell r="A1906" t="str">
            <v/>
          </cell>
          <cell r="D1906" t="str">
            <v/>
          </cell>
          <cell r="E1906" t="str">
            <v/>
          </cell>
          <cell r="G1906" t="str">
            <v/>
          </cell>
        </row>
        <row r="1907">
          <cell r="A1907" t="str">
            <v>EQ001</v>
          </cell>
          <cell r="B1907" t="str">
            <v>HERRAMIENTA MENOR (5% DE LA MANO DE OBRA)</v>
          </cell>
          <cell r="D1907" t="str">
            <v>%</v>
          </cell>
          <cell r="E1907">
            <v>0.05</v>
          </cell>
          <cell r="F1907">
            <v>11243.472222222223</v>
          </cell>
          <cell r="G1907">
            <v>562.1736111111112</v>
          </cell>
        </row>
        <row r="1908">
          <cell r="F1908" t="str">
            <v>SUBTOTAL</v>
          </cell>
          <cell r="G1908">
            <v>562.1736111111112</v>
          </cell>
        </row>
        <row r="1910">
          <cell r="A1910" t="str">
            <v>II. MATERIALES</v>
          </cell>
        </row>
        <row r="1911">
          <cell r="A1911" t="str">
            <v>CÓDIGO</v>
          </cell>
          <cell r="B1911" t="str">
            <v>DESCRIPCIÓN</v>
          </cell>
          <cell r="C1911" t="str">
            <v>UNIDAD</v>
          </cell>
          <cell r="D1911" t="str">
            <v>CANTIDAD</v>
          </cell>
          <cell r="E1911" t="str">
            <v>DESP.</v>
          </cell>
          <cell r="F1911" t="str">
            <v>PRECIO UNIT.</v>
          </cell>
          <cell r="G1911" t="str">
            <v>VR. UNITARIO</v>
          </cell>
        </row>
        <row r="1912">
          <cell r="A1912" t="str">
            <v>MA070</v>
          </cell>
          <cell r="B1912" t="str">
            <v>Tuberia PVC Acueducto D=2" RDE 21</v>
          </cell>
          <cell r="C1912" t="str">
            <v>ml</v>
          </cell>
          <cell r="D1912">
            <v>1</v>
          </cell>
          <cell r="E1912">
            <v>0.05</v>
          </cell>
          <cell r="F1912">
            <v>15000</v>
          </cell>
          <cell r="G1912">
            <v>15750</v>
          </cell>
        </row>
        <row r="1913">
          <cell r="A1913" t="str">
            <v>MA066</v>
          </cell>
          <cell r="B1913" t="str">
            <v>Lubricante para instalación de tubería</v>
          </cell>
          <cell r="C1913" t="str">
            <v>lb</v>
          </cell>
          <cell r="D1913">
            <v>0.04</v>
          </cell>
          <cell r="E1913">
            <v>0.05</v>
          </cell>
          <cell r="F1913">
            <v>18000</v>
          </cell>
          <cell r="G1913">
            <v>756</v>
          </cell>
        </row>
        <row r="1914">
          <cell r="A1914" t="str">
            <v>MA071</v>
          </cell>
          <cell r="B1914" t="str">
            <v>Limpiador PVC</v>
          </cell>
          <cell r="C1914" t="str">
            <v>1/4 galon</v>
          </cell>
          <cell r="D1914">
            <v>0.03</v>
          </cell>
          <cell r="E1914">
            <v>0.05</v>
          </cell>
          <cell r="F1914">
            <v>27000</v>
          </cell>
          <cell r="G1914">
            <v>850.5</v>
          </cell>
        </row>
        <row r="1915">
          <cell r="A1915" t="str">
            <v>MA067</v>
          </cell>
          <cell r="B1915" t="str">
            <v>Estopa peinada</v>
          </cell>
          <cell r="C1915" t="str">
            <v>bolsa</v>
          </cell>
          <cell r="D1915">
            <v>0.3</v>
          </cell>
          <cell r="E1915">
            <v>0.05</v>
          </cell>
          <cell r="F1915">
            <v>2000</v>
          </cell>
          <cell r="G1915">
            <v>630</v>
          </cell>
        </row>
        <row r="1916">
          <cell r="F1916" t="str">
            <v>SUBTOTAL</v>
          </cell>
          <cell r="G1916">
            <v>17986.5</v>
          </cell>
        </row>
        <row r="1918">
          <cell r="A1918" t="str">
            <v>III. TRANSPORTES</v>
          </cell>
        </row>
        <row r="1919">
          <cell r="A1919" t="str">
            <v>CÓDIGO</v>
          </cell>
          <cell r="B1919" t="str">
            <v>DESCRIPCIÓN</v>
          </cell>
          <cell r="C1919" t="str">
            <v>TIPO</v>
          </cell>
          <cell r="D1919" t="str">
            <v>VOLUMEN/PESO</v>
          </cell>
          <cell r="E1919" t="str">
            <v>DISTANCIA</v>
          </cell>
          <cell r="F1919" t="str">
            <v>TARIFA</v>
          </cell>
          <cell r="G1919" t="str">
            <v>VR. UNITARIO</v>
          </cell>
        </row>
        <row r="1920">
          <cell r="A1920" t="str">
            <v>TR001</v>
          </cell>
          <cell r="B1920" t="str">
            <v>TRANSPORTE DE INSUMOS GENERALES 0-1KM</v>
          </cell>
          <cell r="C1920" t="str">
            <v>INSUMOS</v>
          </cell>
          <cell r="D1920">
            <v>5.0000000000000001E-3</v>
          </cell>
          <cell r="E1920">
            <v>1</v>
          </cell>
          <cell r="F1920">
            <v>4250</v>
          </cell>
          <cell r="G1920">
            <v>21.25</v>
          </cell>
        </row>
        <row r="1921">
          <cell r="A1921" t="str">
            <v/>
          </cell>
          <cell r="E1921" t="str">
            <v/>
          </cell>
          <cell r="F1921" t="str">
            <v/>
          </cell>
          <cell r="G1921" t="str">
            <v/>
          </cell>
        </row>
        <row r="1922">
          <cell r="F1922" t="str">
            <v>SUBTOTAL</v>
          </cell>
          <cell r="G1922">
            <v>21.25</v>
          </cell>
        </row>
        <row r="1924">
          <cell r="A1924" t="str">
            <v>IV. MANO DE OBRA</v>
          </cell>
        </row>
        <row r="1925">
          <cell r="A1925" t="str">
            <v>CÓDIGO</v>
          </cell>
          <cell r="B1925" t="str">
            <v>CARGOS PERSONAL</v>
          </cell>
          <cell r="D1925" t="str">
            <v>CANTIDAD</v>
          </cell>
          <cell r="E1925" t="str">
            <v>JORNAL TOTAL</v>
          </cell>
          <cell r="F1925" t="str">
            <v>RENDIMIENTO</v>
          </cell>
          <cell r="G1925" t="str">
            <v>VR. UNITARIO</v>
          </cell>
        </row>
        <row r="1926">
          <cell r="A1926" t="str">
            <v>MO029</v>
          </cell>
          <cell r="B1926" t="str">
            <v>OFICIAL DE OBRA NEGRA</v>
          </cell>
          <cell r="D1926">
            <v>1</v>
          </cell>
          <cell r="E1926">
            <v>153455</v>
          </cell>
          <cell r="F1926">
            <v>36</v>
          </cell>
          <cell r="G1926">
            <v>4262.6388888888887</v>
          </cell>
        </row>
        <row r="1927">
          <cell r="A1927" t="str">
            <v>MO032</v>
          </cell>
          <cell r="B1927" t="str">
            <v>AYUDANTE RASO</v>
          </cell>
          <cell r="D1927">
            <v>3</v>
          </cell>
          <cell r="E1927">
            <v>83770</v>
          </cell>
          <cell r="F1927">
            <v>36</v>
          </cell>
          <cell r="G1927">
            <v>6980.833333333333</v>
          </cell>
        </row>
        <row r="1928">
          <cell r="F1928" t="str">
            <v>SUBTOTAL</v>
          </cell>
          <cell r="G1928">
            <v>11243.472222222223</v>
          </cell>
        </row>
        <row r="1930">
          <cell r="A1930" t="str">
            <v>V. SERVICIOS</v>
          </cell>
        </row>
        <row r="1931">
          <cell r="A1931" t="str">
            <v>CÓDIGO</v>
          </cell>
          <cell r="B1931" t="str">
            <v>DESCRIPCIÓN</v>
          </cell>
          <cell r="D1931" t="str">
            <v>UNIDAD</v>
          </cell>
          <cell r="E1931" t="str">
            <v>CANTIDAD</v>
          </cell>
          <cell r="F1931" t="str">
            <v>PRECIO UNIT.</v>
          </cell>
          <cell r="G1931" t="str">
            <v>VR. UNITARIO</v>
          </cell>
        </row>
        <row r="1932">
          <cell r="A1932" t="str">
            <v/>
          </cell>
          <cell r="D1932" t="str">
            <v/>
          </cell>
          <cell r="F1932" t="str">
            <v/>
          </cell>
          <cell r="G1932" t="str">
            <v/>
          </cell>
        </row>
        <row r="1933">
          <cell r="A1933" t="str">
            <v/>
          </cell>
          <cell r="D1933" t="str">
            <v/>
          </cell>
          <cell r="F1933" t="str">
            <v/>
          </cell>
          <cell r="G1933" t="str">
            <v/>
          </cell>
        </row>
        <row r="1934">
          <cell r="A1934" t="str">
            <v/>
          </cell>
          <cell r="D1934" t="str">
            <v/>
          </cell>
          <cell r="F1934" t="str">
            <v/>
          </cell>
          <cell r="G1934" t="str">
            <v/>
          </cell>
        </row>
        <row r="1935">
          <cell r="F1935" t="str">
            <v>SUBTOTAL</v>
          </cell>
          <cell r="G1935" t="str">
            <v/>
          </cell>
        </row>
        <row r="1937">
          <cell r="A1937" t="str">
            <v>TOTAL COSTO DIRECTO</v>
          </cell>
          <cell r="G1937">
            <v>29813</v>
          </cell>
        </row>
        <row r="1939">
          <cell r="A1939" t="str">
            <v>2. COSTOS INDIRECTOS</v>
          </cell>
        </row>
        <row r="1941">
          <cell r="A1941" t="str">
            <v>DESCRIPCIÓN</v>
          </cell>
          <cell r="F1941" t="str">
            <v>PORCENTAJE</v>
          </cell>
          <cell r="G1941" t="str">
            <v>VALOR TOTAL</v>
          </cell>
        </row>
        <row r="1942">
          <cell r="A1942" t="str">
            <v>ADMINISTRACION</v>
          </cell>
          <cell r="F1942">
            <v>0.33389999999999997</v>
          </cell>
          <cell r="G1942">
            <v>9954.5607</v>
          </cell>
        </row>
        <row r="1943">
          <cell r="A1943" t="str">
            <v>IMPREVISTOS</v>
          </cell>
          <cell r="F1943" t="str">
            <v/>
          </cell>
          <cell r="G1943" t="str">
            <v/>
          </cell>
        </row>
        <row r="1944">
          <cell r="A1944" t="str">
            <v>UTILIDADES</v>
          </cell>
          <cell r="F1944">
            <v>0.05</v>
          </cell>
          <cell r="G1944">
            <v>1490.65</v>
          </cell>
        </row>
        <row r="1945">
          <cell r="A1945" t="str">
            <v>TOTAL COSTO INDIRECTO</v>
          </cell>
          <cell r="F1945">
            <v>0.38389999999999996</v>
          </cell>
          <cell r="G1945">
            <v>11445</v>
          </cell>
        </row>
        <row r="1947">
          <cell r="A1947" t="str">
            <v>PRECIO UNITARIO TOTAL APROXIMADO AL PESO</v>
          </cell>
          <cell r="G1947">
            <v>41258</v>
          </cell>
        </row>
        <row r="1950">
          <cell r="B1950" t="str">
            <v>SECRETARIA DE PLANEACIÓN E INFRAESTRUCTURA</v>
          </cell>
        </row>
        <row r="1952">
          <cell r="D1952" t="str">
            <v>FIRMA RESPONSABLE</v>
          </cell>
        </row>
        <row r="1954">
          <cell r="A1954" t="str">
            <v>DEPARTAMENTO DE ANTIOQUIA</v>
          </cell>
          <cell r="F1954" t="str">
            <v/>
          </cell>
        </row>
        <row r="1955">
          <cell r="A1955" t="str">
            <v>MUNICIPIO DE DABEIBA</v>
          </cell>
        </row>
        <row r="1956">
          <cell r="A1956" t="str">
            <v>MEJORAMIENTO DE LA RED VIAL URBANA EN EL BARRIO SAN ANTONIO DEL MUNICIPIO DE DABEIBA</v>
          </cell>
        </row>
        <row r="1958">
          <cell r="A1958" t="str">
            <v>ANÁLISIS DE PRECIOS UNITARIOS</v>
          </cell>
        </row>
        <row r="1960">
          <cell r="A1960" t="str">
            <v>ITEM</v>
          </cell>
          <cell r="B1960" t="str">
            <v>DESCRIPCIÓN</v>
          </cell>
          <cell r="E1960" t="str">
            <v>UNIDAD</v>
          </cell>
          <cell r="F1960" t="str">
            <v>CANTIDAD</v>
          </cell>
          <cell r="G1960" t="str">
            <v>COSTO DIRECTO</v>
          </cell>
        </row>
        <row r="1961">
          <cell r="A1961" t="str">
            <v>11.5</v>
          </cell>
          <cell r="B1961" t="str">
            <v>Suministro, transporte y colocación de acometida de acueducto de 4" a 1/2" . Incluye collarin de 4" a 1/2", registro de incorporación y tuberia PVC 1/2" desde la tuberia de distribucción hasta el registro. y los demas accesorios de empalme</v>
          </cell>
          <cell r="E1961">
            <v>0</v>
          </cell>
          <cell r="F1961">
            <v>0</v>
          </cell>
          <cell r="G1961">
            <v>72642</v>
          </cell>
        </row>
        <row r="1963">
          <cell r="A1963" t="str">
            <v>1. COSTOS DIRECTOS</v>
          </cell>
        </row>
        <row r="1965">
          <cell r="A1965" t="str">
            <v>I. EQUIPO</v>
          </cell>
        </row>
        <row r="1966">
          <cell r="A1966" t="str">
            <v>CÓDIGO</v>
          </cell>
          <cell r="B1966" t="str">
            <v>DESCRIPCIÓN</v>
          </cell>
          <cell r="D1966" t="str">
            <v>UNIDAD</v>
          </cell>
          <cell r="E1966" t="str">
            <v>TARIFA</v>
          </cell>
          <cell r="F1966" t="str">
            <v>RENDIMIENTO</v>
          </cell>
          <cell r="G1966" t="str">
            <v>VR. UNITARIO</v>
          </cell>
        </row>
        <row r="1967">
          <cell r="A1967" t="str">
            <v/>
          </cell>
          <cell r="D1967" t="str">
            <v/>
          </cell>
          <cell r="E1967" t="str">
            <v/>
          </cell>
          <cell r="G1967" t="str">
            <v/>
          </cell>
        </row>
        <row r="1968">
          <cell r="A1968" t="str">
            <v>EQ001</v>
          </cell>
          <cell r="B1968" t="str">
            <v>HERRAMIENTA MENOR (5% DE LA MANO DE OBRA)</v>
          </cell>
          <cell r="D1968" t="str">
            <v>%</v>
          </cell>
          <cell r="E1968">
            <v>0.05</v>
          </cell>
          <cell r="F1968">
            <v>7907.5</v>
          </cell>
          <cell r="G1968">
            <v>395.375</v>
          </cell>
        </row>
        <row r="1969">
          <cell r="F1969" t="str">
            <v>SUBTOTAL</v>
          </cell>
          <cell r="G1969">
            <v>395.375</v>
          </cell>
        </row>
        <row r="1971">
          <cell r="A1971" t="str">
            <v>II. MATERIALES</v>
          </cell>
        </row>
        <row r="1972">
          <cell r="A1972" t="str">
            <v>CÓDIGO</v>
          </cell>
          <cell r="B1972" t="str">
            <v>DESCRIPCIÓN</v>
          </cell>
          <cell r="C1972" t="str">
            <v>UNIDAD</v>
          </cell>
          <cell r="D1972" t="str">
            <v>CANTIDAD</v>
          </cell>
          <cell r="E1972" t="str">
            <v>DESP.</v>
          </cell>
          <cell r="F1972" t="str">
            <v>PRECIO UNIT.</v>
          </cell>
          <cell r="G1972" t="str">
            <v>VR. UNITARIO</v>
          </cell>
        </row>
        <row r="1973">
          <cell r="A1973" t="str">
            <v>MA072</v>
          </cell>
          <cell r="B1973" t="str">
            <v xml:space="preserve">Tubo de presión D= 1/2" RDE 9 PVC 500 PSI </v>
          </cell>
          <cell r="C1973" t="str">
            <v>ml</v>
          </cell>
          <cell r="D1973">
            <v>3</v>
          </cell>
          <cell r="E1973">
            <v>0.05</v>
          </cell>
          <cell r="F1973">
            <v>3500</v>
          </cell>
          <cell r="G1973">
            <v>11025</v>
          </cell>
        </row>
        <row r="1974">
          <cell r="A1974" t="str">
            <v>MA066</v>
          </cell>
          <cell r="B1974" t="str">
            <v>Lubricante para instalación de tubería</v>
          </cell>
          <cell r="C1974" t="str">
            <v>lb</v>
          </cell>
          <cell r="D1974">
            <v>0.05</v>
          </cell>
          <cell r="E1974">
            <v>0.05</v>
          </cell>
          <cell r="F1974">
            <v>18000</v>
          </cell>
          <cell r="G1974">
            <v>945</v>
          </cell>
        </row>
        <row r="1975">
          <cell r="A1975" t="str">
            <v>MA071</v>
          </cell>
          <cell r="B1975" t="str">
            <v>Limpiador PVC</v>
          </cell>
          <cell r="C1975" t="str">
            <v>1/4 galon</v>
          </cell>
          <cell r="D1975">
            <v>0.05</v>
          </cell>
          <cell r="E1975">
            <v>0.05</v>
          </cell>
          <cell r="F1975">
            <v>27000</v>
          </cell>
          <cell r="G1975">
            <v>1417.5</v>
          </cell>
        </row>
        <row r="1976">
          <cell r="A1976" t="str">
            <v>MA067</v>
          </cell>
          <cell r="B1976" t="str">
            <v>Estopa peinada</v>
          </cell>
          <cell r="C1976" t="str">
            <v>bolsa</v>
          </cell>
          <cell r="D1976">
            <v>0.3</v>
          </cell>
          <cell r="E1976">
            <v>0.05</v>
          </cell>
          <cell r="F1976">
            <v>2000</v>
          </cell>
          <cell r="G1976">
            <v>630</v>
          </cell>
        </row>
        <row r="1977">
          <cell r="A1977" t="str">
            <v>MA073</v>
          </cell>
          <cell r="B1977" t="str">
            <v xml:space="preserve">Collarin de derivación PVC 4"X1/2" para acueducto </v>
          </cell>
          <cell r="C1977" t="str">
            <v>unidad</v>
          </cell>
          <cell r="D1977">
            <v>1</v>
          </cell>
          <cell r="F1977">
            <v>27000</v>
          </cell>
          <cell r="G1977">
            <v>27000</v>
          </cell>
        </row>
        <row r="1978">
          <cell r="A1978" t="str">
            <v>MA075</v>
          </cell>
          <cell r="B1978" t="str">
            <v>Registro de corte incorporación de 1/2" para acueducto</v>
          </cell>
          <cell r="C1978" t="str">
            <v>unidad</v>
          </cell>
          <cell r="D1978">
            <v>1</v>
          </cell>
          <cell r="F1978">
            <v>23300</v>
          </cell>
          <cell r="G1978">
            <v>23300</v>
          </cell>
        </row>
        <row r="1979">
          <cell r="F1979" t="str">
            <v>SUBTOTAL</v>
          </cell>
          <cell r="G1979">
            <v>64317.5</v>
          </cell>
        </row>
        <row r="1981">
          <cell r="A1981" t="str">
            <v>III. TRANSPORTES</v>
          </cell>
        </row>
        <row r="1982">
          <cell r="A1982" t="str">
            <v>CÓDIGO</v>
          </cell>
          <cell r="B1982" t="str">
            <v>DESCRIPCIÓN</v>
          </cell>
          <cell r="C1982" t="str">
            <v>TIPO</v>
          </cell>
          <cell r="D1982" t="str">
            <v>VOLUMEN/PESO</v>
          </cell>
          <cell r="E1982" t="str">
            <v>DISTANCIA</v>
          </cell>
          <cell r="F1982" t="str">
            <v>TARIFA</v>
          </cell>
          <cell r="G1982" t="str">
            <v>VR. UNITARIO</v>
          </cell>
        </row>
        <row r="1983">
          <cell r="A1983" t="str">
            <v>TR001</v>
          </cell>
          <cell r="B1983" t="str">
            <v>TRANSPORTE DE INSUMOS GENERALES 0-1KM</v>
          </cell>
          <cell r="C1983" t="str">
            <v>INSUMOS</v>
          </cell>
          <cell r="D1983">
            <v>5.0000000000000001E-3</v>
          </cell>
          <cell r="E1983">
            <v>1</v>
          </cell>
          <cell r="F1983">
            <v>4250</v>
          </cell>
          <cell r="G1983">
            <v>21.25</v>
          </cell>
        </row>
        <row r="1984">
          <cell r="A1984" t="str">
            <v/>
          </cell>
          <cell r="E1984" t="str">
            <v/>
          </cell>
          <cell r="F1984" t="str">
            <v/>
          </cell>
          <cell r="G1984" t="str">
            <v/>
          </cell>
        </row>
        <row r="1985">
          <cell r="F1985" t="str">
            <v>SUBTOTAL</v>
          </cell>
          <cell r="G1985">
            <v>21.25</v>
          </cell>
        </row>
        <row r="1987">
          <cell r="A1987" t="str">
            <v>IV. MANO DE OBRA</v>
          </cell>
        </row>
        <row r="1988">
          <cell r="A1988" t="str">
            <v>CÓDIGO</v>
          </cell>
          <cell r="B1988" t="str">
            <v>CARGOS PERSONAL</v>
          </cell>
          <cell r="D1988" t="str">
            <v>CANTIDAD</v>
          </cell>
          <cell r="E1988" t="str">
            <v>JORNAL TOTAL</v>
          </cell>
          <cell r="F1988" t="str">
            <v>RENDIMIENTO</v>
          </cell>
          <cell r="G1988" t="str">
            <v>VR. UNITARIO</v>
          </cell>
        </row>
        <row r="1989">
          <cell r="A1989" t="str">
            <v>MO029</v>
          </cell>
          <cell r="B1989" t="str">
            <v>OFICIAL DE OBRA NEGRA</v>
          </cell>
          <cell r="D1989">
            <v>1</v>
          </cell>
          <cell r="E1989">
            <v>153455</v>
          </cell>
          <cell r="F1989">
            <v>30</v>
          </cell>
          <cell r="G1989">
            <v>5115.166666666667</v>
          </cell>
        </row>
        <row r="1990">
          <cell r="A1990" t="str">
            <v>MO032</v>
          </cell>
          <cell r="B1990" t="str">
            <v>AYUDANTE RASO</v>
          </cell>
          <cell r="D1990">
            <v>1</v>
          </cell>
          <cell r="E1990">
            <v>83770</v>
          </cell>
          <cell r="F1990">
            <v>30</v>
          </cell>
          <cell r="G1990">
            <v>2792.3333333333335</v>
          </cell>
        </row>
        <row r="1991">
          <cell r="F1991" t="str">
            <v>SUBTOTAL</v>
          </cell>
          <cell r="G1991">
            <v>7907.5</v>
          </cell>
        </row>
        <row r="1993">
          <cell r="A1993" t="str">
            <v>V. SERVICIOS</v>
          </cell>
        </row>
        <row r="1994">
          <cell r="A1994" t="str">
            <v>CÓDIGO</v>
          </cell>
          <cell r="B1994" t="str">
            <v>DESCRIPCIÓN</v>
          </cell>
          <cell r="D1994" t="str">
            <v>UNIDAD</v>
          </cell>
          <cell r="E1994" t="str">
            <v>CANTIDAD</v>
          </cell>
          <cell r="F1994" t="str">
            <v>PRECIO UNIT.</v>
          </cell>
          <cell r="G1994" t="str">
            <v>VR. UNITARIO</v>
          </cell>
        </row>
        <row r="1995">
          <cell r="A1995" t="str">
            <v/>
          </cell>
          <cell r="D1995" t="str">
            <v/>
          </cell>
          <cell r="F1995" t="str">
            <v/>
          </cell>
          <cell r="G1995" t="str">
            <v/>
          </cell>
        </row>
        <row r="1996">
          <cell r="A1996" t="str">
            <v/>
          </cell>
          <cell r="D1996" t="str">
            <v/>
          </cell>
          <cell r="F1996" t="str">
            <v/>
          </cell>
          <cell r="G1996" t="str">
            <v/>
          </cell>
        </row>
        <row r="1997">
          <cell r="A1997" t="str">
            <v/>
          </cell>
          <cell r="D1997" t="str">
            <v/>
          </cell>
          <cell r="F1997" t="str">
            <v/>
          </cell>
          <cell r="G1997" t="str">
            <v/>
          </cell>
        </row>
        <row r="1998">
          <cell r="F1998" t="str">
            <v>SUBTOTAL</v>
          </cell>
          <cell r="G1998" t="str">
            <v/>
          </cell>
        </row>
        <row r="2000">
          <cell r="A2000" t="str">
            <v>TOTAL COSTO DIRECTO</v>
          </cell>
          <cell r="G2000">
            <v>72642</v>
          </cell>
        </row>
        <row r="2002">
          <cell r="A2002" t="str">
            <v>2. COSTOS INDIRECTOS</v>
          </cell>
        </row>
        <row r="2004">
          <cell r="A2004" t="str">
            <v>DESCRIPCIÓN</v>
          </cell>
          <cell r="F2004" t="str">
            <v>PORCENTAJE</v>
          </cell>
          <cell r="G2004" t="str">
            <v>VALOR TOTAL</v>
          </cell>
        </row>
        <row r="2005">
          <cell r="A2005" t="str">
            <v>ADMINISTRACION</v>
          </cell>
          <cell r="F2005">
            <v>0.33389999999999997</v>
          </cell>
          <cell r="G2005">
            <v>24255.163799999998</v>
          </cell>
        </row>
        <row r="2006">
          <cell r="A2006" t="str">
            <v>IMPREVISTOS</v>
          </cell>
          <cell r="F2006" t="str">
            <v/>
          </cell>
          <cell r="G2006" t="str">
            <v/>
          </cell>
        </row>
        <row r="2007">
          <cell r="A2007" t="str">
            <v>UTILIDADES</v>
          </cell>
          <cell r="F2007">
            <v>0.05</v>
          </cell>
          <cell r="G2007">
            <v>3632.1000000000004</v>
          </cell>
        </row>
        <row r="2008">
          <cell r="A2008" t="str">
            <v>TOTAL COSTO INDIRECTO</v>
          </cell>
          <cell r="F2008">
            <v>0.38389999999999996</v>
          </cell>
          <cell r="G2008">
            <v>27887</v>
          </cell>
        </row>
        <row r="2010">
          <cell r="A2010" t="str">
            <v>PRECIO UNITARIO TOTAL APROXIMADO AL PESO</v>
          </cell>
          <cell r="G2010">
            <v>100529</v>
          </cell>
        </row>
        <row r="2013">
          <cell r="B2013" t="str">
            <v>SECRETARIA DE PLANEACIÓN E INFRAESTRUCTURA</v>
          </cell>
        </row>
        <row r="2015">
          <cell r="D2015" t="str">
            <v>FIRMA RESPONSABLE</v>
          </cell>
        </row>
        <row r="2017">
          <cell r="A2017" t="str">
            <v>DEPARTAMENTO DE ANTIOQUIA</v>
          </cell>
          <cell r="F2017" t="str">
            <v/>
          </cell>
        </row>
        <row r="2018">
          <cell r="A2018" t="str">
            <v>MUNICIPIO DE DABEIBA</v>
          </cell>
        </row>
        <row r="2019">
          <cell r="A2019" t="str">
            <v>MEJORAMIENTO DE LA RED VIAL URBANA EN EL BARRIO SAN ANTONIO DEL MUNICIPIO DE DABEIBA</v>
          </cell>
        </row>
        <row r="2021">
          <cell r="A2021" t="str">
            <v>ANÁLISIS DE PRECIOS UNITARIOS</v>
          </cell>
        </row>
        <row r="2023">
          <cell r="A2023" t="str">
            <v>ITEM</v>
          </cell>
          <cell r="B2023" t="str">
            <v>DESCRIPCIÓN</v>
          </cell>
          <cell r="E2023" t="str">
            <v>UNIDAD</v>
          </cell>
          <cell r="F2023" t="str">
            <v>CANTIDAD</v>
          </cell>
          <cell r="G2023" t="str">
            <v>COSTO DIRECTO</v>
          </cell>
        </row>
        <row r="2024">
          <cell r="A2024" t="str">
            <v>11.6</v>
          </cell>
          <cell r="B2024" t="str">
            <v>Suministro, transporte y colocación de acometida de acueducto de 2" a 1/2" . Incluye collarin de 4" a 1/2", registro de incorporación y tuberia PVC 1/2" desde la tuberia de distribucción hasta el registro. y los demas accesorios de empalme</v>
          </cell>
          <cell r="E2024">
            <v>0</v>
          </cell>
          <cell r="F2024">
            <v>0</v>
          </cell>
          <cell r="G2024">
            <v>61642</v>
          </cell>
        </row>
        <row r="2026">
          <cell r="A2026" t="str">
            <v>1. COSTOS DIRECTOS</v>
          </cell>
        </row>
        <row r="2028">
          <cell r="A2028" t="str">
            <v>I. EQUIPO</v>
          </cell>
        </row>
        <row r="2029">
          <cell r="A2029" t="str">
            <v>CÓDIGO</v>
          </cell>
          <cell r="B2029" t="str">
            <v>DESCRIPCIÓN</v>
          </cell>
          <cell r="D2029" t="str">
            <v>UNIDAD</v>
          </cell>
          <cell r="E2029" t="str">
            <v>TARIFA</v>
          </cell>
          <cell r="F2029" t="str">
            <v>RENDIMIENTO</v>
          </cell>
          <cell r="G2029" t="str">
            <v>VR. UNITARIO</v>
          </cell>
        </row>
        <row r="2030">
          <cell r="A2030" t="str">
            <v/>
          </cell>
          <cell r="D2030" t="str">
            <v/>
          </cell>
          <cell r="E2030" t="str">
            <v/>
          </cell>
          <cell r="G2030" t="str">
            <v/>
          </cell>
        </row>
        <row r="2031">
          <cell r="A2031" t="str">
            <v>EQ001</v>
          </cell>
          <cell r="B2031" t="str">
            <v>HERRAMIENTA MENOR (5% DE LA MANO DE OBRA)</v>
          </cell>
          <cell r="D2031" t="str">
            <v>%</v>
          </cell>
          <cell r="E2031">
            <v>0.05</v>
          </cell>
          <cell r="F2031">
            <v>7907.5</v>
          </cell>
          <cell r="G2031">
            <v>395.375</v>
          </cell>
        </row>
        <row r="2032">
          <cell r="F2032" t="str">
            <v>SUBTOTAL</v>
          </cell>
          <cell r="G2032">
            <v>395.375</v>
          </cell>
        </row>
        <row r="2034">
          <cell r="A2034" t="str">
            <v>II. MATERIALES</v>
          </cell>
        </row>
        <row r="2035">
          <cell r="A2035" t="str">
            <v>CÓDIGO</v>
          </cell>
          <cell r="B2035" t="str">
            <v>DESCRIPCIÓN</v>
          </cell>
          <cell r="C2035" t="str">
            <v>UNIDAD</v>
          </cell>
          <cell r="D2035" t="str">
            <v>CANTIDAD</v>
          </cell>
          <cell r="E2035" t="str">
            <v>DESP.</v>
          </cell>
          <cell r="F2035" t="str">
            <v>PRECIO UNIT.</v>
          </cell>
          <cell r="G2035" t="str">
            <v>VR. UNITARIO</v>
          </cell>
        </row>
        <row r="2036">
          <cell r="A2036" t="str">
            <v>MA072</v>
          </cell>
          <cell r="B2036" t="str">
            <v xml:space="preserve">Tubo de presión D= 1/2" RDE 9 PVC 500 PSI </v>
          </cell>
          <cell r="C2036" t="str">
            <v>ml</v>
          </cell>
          <cell r="D2036">
            <v>3</v>
          </cell>
          <cell r="E2036">
            <v>0.05</v>
          </cell>
          <cell r="F2036">
            <v>3500</v>
          </cell>
          <cell r="G2036">
            <v>11025</v>
          </cell>
        </row>
        <row r="2037">
          <cell r="A2037" t="str">
            <v>MA066</v>
          </cell>
          <cell r="B2037" t="str">
            <v>Lubricante para instalación de tubería</v>
          </cell>
          <cell r="C2037" t="str">
            <v>lb</v>
          </cell>
          <cell r="D2037">
            <v>0.05</v>
          </cell>
          <cell r="E2037">
            <v>0.05</v>
          </cell>
          <cell r="F2037">
            <v>18000</v>
          </cell>
          <cell r="G2037">
            <v>945</v>
          </cell>
        </row>
        <row r="2038">
          <cell r="A2038" t="str">
            <v>MA071</v>
          </cell>
          <cell r="B2038" t="str">
            <v>Limpiador PVC</v>
          </cell>
          <cell r="C2038" t="str">
            <v>1/4 galon</v>
          </cell>
          <cell r="D2038">
            <v>0.05</v>
          </cell>
          <cell r="E2038">
            <v>0.05</v>
          </cell>
          <cell r="F2038">
            <v>27000</v>
          </cell>
          <cell r="G2038">
            <v>1417.5</v>
          </cell>
        </row>
        <row r="2039">
          <cell r="A2039" t="str">
            <v>MA067</v>
          </cell>
          <cell r="B2039" t="str">
            <v>Estopa peinada</v>
          </cell>
          <cell r="C2039" t="str">
            <v>bolsa</v>
          </cell>
          <cell r="D2039">
            <v>0.3</v>
          </cell>
          <cell r="E2039">
            <v>0.05</v>
          </cell>
          <cell r="F2039">
            <v>2000</v>
          </cell>
          <cell r="G2039">
            <v>630</v>
          </cell>
        </row>
        <row r="2040">
          <cell r="A2040" t="str">
            <v>MA074</v>
          </cell>
          <cell r="B2040" t="str">
            <v xml:space="preserve">Collarin de derivación PVC 2"X1/2" para acueducto </v>
          </cell>
          <cell r="C2040" t="str">
            <v>unidad</v>
          </cell>
          <cell r="D2040">
            <v>1</v>
          </cell>
          <cell r="F2040">
            <v>16000</v>
          </cell>
          <cell r="G2040">
            <v>16000</v>
          </cell>
        </row>
        <row r="2041">
          <cell r="A2041" t="str">
            <v>MA075</v>
          </cell>
          <cell r="B2041" t="str">
            <v>Registro de corte incorporación de 1/2" para acueducto</v>
          </cell>
          <cell r="C2041" t="str">
            <v>unidad</v>
          </cell>
          <cell r="D2041">
            <v>1</v>
          </cell>
          <cell r="F2041">
            <v>23300</v>
          </cell>
          <cell r="G2041">
            <v>23300</v>
          </cell>
        </row>
        <row r="2042">
          <cell r="F2042" t="str">
            <v>SUBTOTAL</v>
          </cell>
          <cell r="G2042">
            <v>53317.5</v>
          </cell>
        </row>
        <row r="2044">
          <cell r="A2044" t="str">
            <v>III. TRANSPORTES</v>
          </cell>
        </row>
        <row r="2045">
          <cell r="A2045" t="str">
            <v>CÓDIGO</v>
          </cell>
          <cell r="B2045" t="str">
            <v>DESCRIPCIÓN</v>
          </cell>
          <cell r="C2045" t="str">
            <v>TIPO</v>
          </cell>
          <cell r="D2045" t="str">
            <v>VOLUMEN/PESO</v>
          </cell>
          <cell r="E2045" t="str">
            <v>DISTANCIA</v>
          </cell>
          <cell r="F2045" t="str">
            <v>TARIFA</v>
          </cell>
          <cell r="G2045" t="str">
            <v>VR. UNITARIO</v>
          </cell>
        </row>
        <row r="2046">
          <cell r="A2046" t="str">
            <v>TR001</v>
          </cell>
          <cell r="B2046" t="str">
            <v>TRANSPORTE DE INSUMOS GENERALES 0-1KM</v>
          </cell>
          <cell r="C2046" t="str">
            <v>INSUMOS</v>
          </cell>
          <cell r="D2046">
            <v>5.0000000000000001E-3</v>
          </cell>
          <cell r="E2046">
            <v>1</v>
          </cell>
          <cell r="F2046">
            <v>4250</v>
          </cell>
          <cell r="G2046">
            <v>21.25</v>
          </cell>
        </row>
        <row r="2047">
          <cell r="A2047" t="str">
            <v/>
          </cell>
          <cell r="E2047" t="str">
            <v/>
          </cell>
          <cell r="F2047" t="str">
            <v/>
          </cell>
          <cell r="G2047" t="str">
            <v/>
          </cell>
        </row>
        <row r="2048">
          <cell r="F2048" t="str">
            <v>SUBTOTAL</v>
          </cell>
          <cell r="G2048">
            <v>21.25</v>
          </cell>
        </row>
        <row r="2050">
          <cell r="A2050" t="str">
            <v>IV. MANO DE OBRA</v>
          </cell>
        </row>
        <row r="2051">
          <cell r="A2051" t="str">
            <v>CÓDIGO</v>
          </cell>
          <cell r="B2051" t="str">
            <v>CARGOS PERSONAL</v>
          </cell>
          <cell r="D2051" t="str">
            <v>CANTIDAD</v>
          </cell>
          <cell r="E2051" t="str">
            <v>JORNAL TOTAL</v>
          </cell>
          <cell r="F2051" t="str">
            <v>RENDIMIENTO</v>
          </cell>
          <cell r="G2051" t="str">
            <v>VR. UNITARIO</v>
          </cell>
        </row>
        <row r="2052">
          <cell r="A2052" t="str">
            <v>MO029</v>
          </cell>
          <cell r="B2052" t="str">
            <v>OFICIAL DE OBRA NEGRA</v>
          </cell>
          <cell r="D2052">
            <v>1</v>
          </cell>
          <cell r="E2052">
            <v>153455</v>
          </cell>
          <cell r="F2052">
            <v>30</v>
          </cell>
          <cell r="G2052">
            <v>5115.166666666667</v>
          </cell>
        </row>
        <row r="2053">
          <cell r="A2053" t="str">
            <v>MO032</v>
          </cell>
          <cell r="B2053" t="str">
            <v>AYUDANTE RASO</v>
          </cell>
          <cell r="D2053">
            <v>1</v>
          </cell>
          <cell r="E2053">
            <v>83770</v>
          </cell>
          <cell r="F2053">
            <v>30</v>
          </cell>
          <cell r="G2053">
            <v>2792.3333333333335</v>
          </cell>
        </row>
        <row r="2054">
          <cell r="F2054" t="str">
            <v>SUBTOTAL</v>
          </cell>
          <cell r="G2054">
            <v>7907.5</v>
          </cell>
        </row>
        <row r="2056">
          <cell r="A2056" t="str">
            <v>V. SERVICIOS</v>
          </cell>
        </row>
        <row r="2057">
          <cell r="A2057" t="str">
            <v>CÓDIGO</v>
          </cell>
          <cell r="B2057" t="str">
            <v>DESCRIPCIÓN</v>
          </cell>
          <cell r="D2057" t="str">
            <v>UNIDAD</v>
          </cell>
          <cell r="E2057" t="str">
            <v>CANTIDAD</v>
          </cell>
          <cell r="F2057" t="str">
            <v>PRECIO UNIT.</v>
          </cell>
          <cell r="G2057" t="str">
            <v>VR. UNITARIO</v>
          </cell>
        </row>
        <row r="2058">
          <cell r="A2058" t="str">
            <v/>
          </cell>
          <cell r="D2058" t="str">
            <v/>
          </cell>
          <cell r="F2058" t="str">
            <v/>
          </cell>
          <cell r="G2058" t="str">
            <v/>
          </cell>
        </row>
        <row r="2059">
          <cell r="A2059" t="str">
            <v/>
          </cell>
          <cell r="D2059" t="str">
            <v/>
          </cell>
          <cell r="F2059" t="str">
            <v/>
          </cell>
          <cell r="G2059" t="str">
            <v/>
          </cell>
        </row>
        <row r="2060">
          <cell r="A2060" t="str">
            <v/>
          </cell>
          <cell r="D2060" t="str">
            <v/>
          </cell>
          <cell r="F2060" t="str">
            <v/>
          </cell>
          <cell r="G2060" t="str">
            <v/>
          </cell>
        </row>
        <row r="2061">
          <cell r="F2061" t="str">
            <v>SUBTOTAL</v>
          </cell>
          <cell r="G2061" t="str">
            <v/>
          </cell>
        </row>
        <row r="2063">
          <cell r="A2063" t="str">
            <v>TOTAL COSTO DIRECTO</v>
          </cell>
          <cell r="G2063">
            <v>61642</v>
          </cell>
        </row>
        <row r="2065">
          <cell r="A2065" t="str">
            <v>2. COSTOS INDIRECTOS</v>
          </cell>
        </row>
        <row r="2067">
          <cell r="A2067" t="str">
            <v>DESCRIPCIÓN</v>
          </cell>
          <cell r="F2067" t="str">
            <v>PORCENTAJE</v>
          </cell>
          <cell r="G2067" t="str">
            <v>VALOR TOTAL</v>
          </cell>
        </row>
        <row r="2068">
          <cell r="A2068" t="str">
            <v>ADMINISTRACION</v>
          </cell>
          <cell r="F2068">
            <v>0.33389999999999997</v>
          </cell>
          <cell r="G2068">
            <v>20582.263799999997</v>
          </cell>
        </row>
        <row r="2069">
          <cell r="A2069" t="str">
            <v>IMPREVISTOS</v>
          </cell>
          <cell r="F2069" t="str">
            <v/>
          </cell>
          <cell r="G2069" t="str">
            <v/>
          </cell>
        </row>
        <row r="2070">
          <cell r="A2070" t="str">
            <v>UTILIDADES</v>
          </cell>
          <cell r="F2070">
            <v>0.05</v>
          </cell>
          <cell r="G2070">
            <v>3082.1000000000004</v>
          </cell>
        </row>
        <row r="2071">
          <cell r="A2071" t="str">
            <v>TOTAL COSTO INDIRECTO</v>
          </cell>
          <cell r="F2071">
            <v>0.38389999999999996</v>
          </cell>
          <cell r="G2071">
            <v>23664</v>
          </cell>
        </row>
        <row r="2073">
          <cell r="A2073" t="str">
            <v>PRECIO UNITARIO TOTAL APROXIMADO AL PESO</v>
          </cell>
          <cell r="G2073">
            <v>85306</v>
          </cell>
        </row>
        <row r="2076">
          <cell r="B2076" t="str">
            <v>SECRETARIA DE PLANEACIÓN E INFRAESTRUCTURA</v>
          </cell>
        </row>
        <row r="2078">
          <cell r="D2078" t="str">
            <v>FIRMA RESPONSABLE</v>
          </cell>
        </row>
        <row r="2080">
          <cell r="A2080" t="str">
            <v>DEPARTAMENTO DE ANTIOQUIA</v>
          </cell>
          <cell r="F2080" t="str">
            <v/>
          </cell>
        </row>
        <row r="2081">
          <cell r="A2081" t="str">
            <v>MUNICIPIO DE DABEIBA</v>
          </cell>
        </row>
        <row r="2082">
          <cell r="A2082" t="str">
            <v>MEJORAMIENTO DE LA RED VIAL URBANA EN EL BARRIO SAN ANTONIO DEL MUNICIPIO DE DABEIBA</v>
          </cell>
        </row>
        <row r="2084">
          <cell r="A2084" t="str">
            <v>ANÁLISIS DE PRECIOS UNITARIOS</v>
          </cell>
        </row>
        <row r="2086">
          <cell r="A2086" t="str">
            <v>ITEM</v>
          </cell>
          <cell r="B2086" t="str">
            <v>DESCRIPCIÓN</v>
          </cell>
          <cell r="E2086" t="str">
            <v>UNIDAD</v>
          </cell>
          <cell r="F2086" t="str">
            <v>CANTIDAD</v>
          </cell>
          <cell r="G2086" t="str">
            <v>COSTO DIRECTO</v>
          </cell>
        </row>
        <row r="2087">
          <cell r="A2087" t="str">
            <v>4.4</v>
          </cell>
          <cell r="B2087" t="str">
            <v>Suministro, transporte y colocación de cama de arenilla para apoyo de andenes y material de lleno en tubería alcantarillado</v>
          </cell>
          <cell r="E2087" t="str">
            <v>m3</v>
          </cell>
          <cell r="F2087">
            <v>105</v>
          </cell>
          <cell r="G2087">
            <v>77925</v>
          </cell>
        </row>
        <row r="2089">
          <cell r="A2089" t="str">
            <v>1. COSTOS DIRECTOS</v>
          </cell>
        </row>
        <row r="2091">
          <cell r="A2091" t="str">
            <v>I. EQUIPO</v>
          </cell>
        </row>
        <row r="2092">
          <cell r="A2092" t="str">
            <v>CÓDIGO</v>
          </cell>
          <cell r="B2092" t="str">
            <v>DESCRIPCIÓN</v>
          </cell>
          <cell r="D2092" t="str">
            <v>UNIDAD</v>
          </cell>
          <cell r="E2092" t="str">
            <v>TARIFA</v>
          </cell>
          <cell r="F2092" t="str">
            <v>RENDIMIENTO</v>
          </cell>
          <cell r="G2092" t="str">
            <v>VR. UNITARIO</v>
          </cell>
        </row>
        <row r="2093">
          <cell r="A2093" t="str">
            <v>EQ019</v>
          </cell>
          <cell r="B2093" t="str">
            <v>COMPACTADOR TIPO RANA A GASOLINA (INCLUYE COMBUSTIBLE)</v>
          </cell>
          <cell r="D2093" t="str">
            <v>DÍA</v>
          </cell>
          <cell r="E2093">
            <v>65000</v>
          </cell>
          <cell r="F2093">
            <v>10</v>
          </cell>
          <cell r="G2093">
            <v>6500</v>
          </cell>
        </row>
        <row r="2094">
          <cell r="A2094" t="str">
            <v>EQ001</v>
          </cell>
          <cell r="B2094" t="str">
            <v>HERRAMIENTA MENOR (5% DE LA MANO DE OBRA)</v>
          </cell>
          <cell r="D2094" t="str">
            <v>%</v>
          </cell>
          <cell r="E2094">
            <v>0.05</v>
          </cell>
          <cell r="F2094">
            <v>16754</v>
          </cell>
          <cell r="G2094">
            <v>837.7</v>
          </cell>
        </row>
        <row r="2095">
          <cell r="F2095" t="str">
            <v>SUBTOTAL</v>
          </cell>
          <cell r="G2095">
            <v>7337.7</v>
          </cell>
        </row>
        <row r="2097">
          <cell r="A2097" t="str">
            <v>II. MATERIALES</v>
          </cell>
        </row>
        <row r="2098">
          <cell r="A2098" t="str">
            <v>CÓDIGO</v>
          </cell>
          <cell r="B2098" t="str">
            <v>DESCRIPCIÓN</v>
          </cell>
          <cell r="C2098" t="str">
            <v>UNIDAD</v>
          </cell>
          <cell r="D2098" t="str">
            <v>CANTIDAD</v>
          </cell>
          <cell r="E2098" t="str">
            <v>DESP.</v>
          </cell>
          <cell r="F2098" t="str">
            <v>PRECIO UNIT.</v>
          </cell>
          <cell r="G2098" t="str">
            <v>VR. UNITARIO</v>
          </cell>
        </row>
        <row r="2099">
          <cell r="A2099" t="str">
            <v>MA023</v>
          </cell>
          <cell r="B2099" t="str">
            <v>ARENA FINA PARA CONCRETOS</v>
          </cell>
          <cell r="C2099" t="str">
            <v>M3</v>
          </cell>
          <cell r="D2099">
            <v>1</v>
          </cell>
          <cell r="E2099">
            <v>0.05</v>
          </cell>
          <cell r="F2099">
            <v>45460</v>
          </cell>
          <cell r="G2099">
            <v>47733</v>
          </cell>
        </row>
        <row r="2100">
          <cell r="A2100" t="str">
            <v/>
          </cell>
          <cell r="C2100" t="str">
            <v/>
          </cell>
          <cell r="F2100" t="str">
            <v/>
          </cell>
          <cell r="G2100" t="str">
            <v/>
          </cell>
        </row>
        <row r="2101">
          <cell r="F2101" t="str">
            <v>SUBTOTAL</v>
          </cell>
          <cell r="G2101">
            <v>47733</v>
          </cell>
        </row>
        <row r="2103">
          <cell r="A2103" t="str">
            <v>III. TRANSPORTES</v>
          </cell>
        </row>
        <row r="2104">
          <cell r="A2104" t="str">
            <v>CÓDIGO</v>
          </cell>
          <cell r="B2104" t="str">
            <v>DESCRIPCIÓN</v>
          </cell>
          <cell r="C2104" t="str">
            <v>TIPO</v>
          </cell>
          <cell r="D2104" t="str">
            <v>VOLUMEN/PESO</v>
          </cell>
          <cell r="E2104" t="str">
            <v>DISTANCIA</v>
          </cell>
          <cell r="F2104" t="str">
            <v>TARIFA</v>
          </cell>
          <cell r="G2104" t="str">
            <v>VR. UNITARIO</v>
          </cell>
        </row>
        <row r="2105">
          <cell r="A2105" t="str">
            <v>TR002</v>
          </cell>
          <cell r="B2105" t="str">
            <v>TRANSPORTE DE MATERIALES DE PLAYA (ARENILLON, PIEDRA RODADA DE RIO DMAX=1") 0-1KM</v>
          </cell>
          <cell r="C2105" t="str">
            <v>INSUMOS</v>
          </cell>
          <cell r="D2105">
            <v>1</v>
          </cell>
          <cell r="E2105">
            <v>1</v>
          </cell>
          <cell r="F2105">
            <v>6100</v>
          </cell>
          <cell r="G2105">
            <v>6100</v>
          </cell>
        </row>
        <row r="2106">
          <cell r="A2106" t="str">
            <v/>
          </cell>
          <cell r="E2106" t="str">
            <v/>
          </cell>
          <cell r="F2106" t="str">
            <v/>
          </cell>
          <cell r="G2106" t="str">
            <v/>
          </cell>
        </row>
        <row r="2107">
          <cell r="F2107" t="str">
            <v>SUBTOTAL</v>
          </cell>
          <cell r="G2107">
            <v>6100</v>
          </cell>
        </row>
        <row r="2109">
          <cell r="A2109" t="str">
            <v>IV. MANO DE OBRA</v>
          </cell>
        </row>
        <row r="2110">
          <cell r="A2110" t="str">
            <v>CÓDIGO</v>
          </cell>
          <cell r="B2110" t="str">
            <v>CARGOS PERSONAL</v>
          </cell>
          <cell r="D2110" t="str">
            <v>CANTIDAD</v>
          </cell>
          <cell r="E2110" t="str">
            <v>JORNAL TOTAL</v>
          </cell>
          <cell r="F2110" t="str">
            <v>RENDIMIENTO</v>
          </cell>
          <cell r="G2110" t="str">
            <v>VR. UNITARIO</v>
          </cell>
        </row>
        <row r="2111">
          <cell r="A2111" t="str">
            <v>MO032</v>
          </cell>
          <cell r="B2111" t="str">
            <v>AYUDANTE RASO</v>
          </cell>
          <cell r="D2111">
            <v>2</v>
          </cell>
          <cell r="E2111">
            <v>83770</v>
          </cell>
          <cell r="F2111">
            <v>10</v>
          </cell>
          <cell r="G2111">
            <v>16754</v>
          </cell>
        </row>
        <row r="2112">
          <cell r="F2112" t="str">
            <v>SUBTOTAL</v>
          </cell>
          <cell r="G2112">
            <v>16754</v>
          </cell>
        </row>
        <row r="2114">
          <cell r="A2114" t="str">
            <v>V. SERVICIOS</v>
          </cell>
        </row>
        <row r="2115">
          <cell r="A2115" t="str">
            <v>CÓDIGO</v>
          </cell>
          <cell r="B2115" t="str">
            <v>DESCRIPCIÓN</v>
          </cell>
          <cell r="D2115" t="str">
            <v>UNIDAD</v>
          </cell>
          <cell r="E2115" t="str">
            <v>CANTIDAD</v>
          </cell>
          <cell r="F2115" t="str">
            <v>PRECIO UNIT.</v>
          </cell>
          <cell r="G2115" t="str">
            <v>VR. UNITARIO</v>
          </cell>
        </row>
        <row r="2116">
          <cell r="A2116" t="str">
            <v/>
          </cell>
          <cell r="D2116" t="str">
            <v/>
          </cell>
          <cell r="F2116" t="str">
            <v/>
          </cell>
          <cell r="G2116" t="str">
            <v/>
          </cell>
        </row>
        <row r="2117">
          <cell r="A2117" t="str">
            <v/>
          </cell>
          <cell r="D2117" t="str">
            <v/>
          </cell>
          <cell r="F2117" t="str">
            <v/>
          </cell>
          <cell r="G2117" t="str">
            <v/>
          </cell>
        </row>
        <row r="2118">
          <cell r="A2118" t="str">
            <v/>
          </cell>
          <cell r="D2118" t="str">
            <v/>
          </cell>
          <cell r="F2118" t="str">
            <v/>
          </cell>
          <cell r="G2118" t="str">
            <v/>
          </cell>
        </row>
        <row r="2119">
          <cell r="F2119" t="str">
            <v>SUBTOTAL</v>
          </cell>
          <cell r="G2119" t="str">
            <v/>
          </cell>
        </row>
        <row r="2121">
          <cell r="A2121" t="str">
            <v>TOTAL COSTO DIRECTO</v>
          </cell>
          <cell r="G2121">
            <v>77925</v>
          </cell>
        </row>
        <row r="2123">
          <cell r="A2123" t="str">
            <v>2. COSTOS INDIRECTOS</v>
          </cell>
        </row>
        <row r="2125">
          <cell r="A2125" t="str">
            <v>DESCRIPCIÓN</v>
          </cell>
          <cell r="F2125" t="str">
            <v>PORCENTAJE</v>
          </cell>
          <cell r="G2125" t="str">
            <v>VALOR TOTAL</v>
          </cell>
        </row>
        <row r="2126">
          <cell r="A2126" t="str">
            <v>ADMINISTRACION</v>
          </cell>
          <cell r="F2126">
            <v>0.33389999999999997</v>
          </cell>
          <cell r="G2126">
            <v>26019.157499999998</v>
          </cell>
        </row>
        <row r="2127">
          <cell r="A2127" t="str">
            <v>IMPREVISTOS</v>
          </cell>
          <cell r="F2127" t="str">
            <v/>
          </cell>
          <cell r="G2127" t="str">
            <v/>
          </cell>
        </row>
        <row r="2128">
          <cell r="A2128" t="str">
            <v>UTILIDADES</v>
          </cell>
          <cell r="F2128">
            <v>0.05</v>
          </cell>
          <cell r="G2128">
            <v>3896.25</v>
          </cell>
        </row>
        <row r="2129">
          <cell r="A2129" t="str">
            <v>TOTAL COSTO INDIRECTO</v>
          </cell>
          <cell r="F2129">
            <v>0.38389999999999996</v>
          </cell>
          <cell r="G2129">
            <v>29915</v>
          </cell>
        </row>
        <row r="2131">
          <cell r="A2131" t="str">
            <v>PRECIO UNITARIO TOTAL APROXIMADO AL PESO</v>
          </cell>
          <cell r="G2131">
            <v>107840</v>
          </cell>
        </row>
        <row r="2134">
          <cell r="B2134" t="str">
            <v>SECRETARIA DE PLANEACIÓN E INFRAESTRUCTURA</v>
          </cell>
        </row>
        <row r="2136">
          <cell r="D2136" t="str">
            <v>FIRMA RESPONSABLE</v>
          </cell>
        </row>
        <row r="2137">
          <cell r="A2137" t="str">
            <v>DEPARTAMENTO DE ANTIOQUIA</v>
          </cell>
          <cell r="F2137" t="str">
            <v/>
          </cell>
        </row>
        <row r="2138">
          <cell r="A2138" t="str">
            <v>MUNICIPIO DE DABEIBA</v>
          </cell>
        </row>
        <row r="2139">
          <cell r="A2139" t="str">
            <v>MEJORAMIENTO DE LA RED VIAL URBANA EN EL BARRIO SAN ANTONIO DEL MUNICIPIO DE DABEIBA</v>
          </cell>
        </row>
        <row r="2141">
          <cell r="A2141" t="str">
            <v>ANÁLISIS DE PRECIOS UNITARIOS</v>
          </cell>
        </row>
        <row r="2143">
          <cell r="A2143" t="str">
            <v>ITEM</v>
          </cell>
          <cell r="B2143" t="str">
            <v>DESCRIPCIÓN</v>
          </cell>
          <cell r="E2143" t="str">
            <v>UNIDAD</v>
          </cell>
          <cell r="F2143" t="str">
            <v>CANTIDAD</v>
          </cell>
          <cell r="G2143" t="str">
            <v>COSTO DIRECTO</v>
          </cell>
        </row>
        <row r="2144">
          <cell r="A2144" t="str">
            <v>11.7</v>
          </cell>
          <cell r="B2144" t="str">
            <v>Suministro, transporte y colocación de tubería novafort de Ø 24" alcantarillado lluvias. Incluye accesorios de empalme, Topografía  y todo lo necesario para su correcta instalación.  la excavación y los llenos se pagaran en su ítem respectivo.</v>
          </cell>
          <cell r="E2144">
            <v>0</v>
          </cell>
          <cell r="F2144">
            <v>0</v>
          </cell>
          <cell r="G2144">
            <v>495129</v>
          </cell>
        </row>
        <row r="2146">
          <cell r="A2146" t="str">
            <v>1. COSTOS DIRECTOS</v>
          </cell>
        </row>
        <row r="2148">
          <cell r="A2148" t="str">
            <v>I. EQUIPO</v>
          </cell>
        </row>
        <row r="2149">
          <cell r="A2149" t="str">
            <v>CÓDIGO</v>
          </cell>
          <cell r="B2149" t="str">
            <v>DESCRIPCIÓN</v>
          </cell>
          <cell r="D2149" t="str">
            <v>UNIDAD</v>
          </cell>
          <cell r="E2149" t="str">
            <v>TARIFA</v>
          </cell>
          <cell r="F2149" t="str">
            <v>RENDIMIENTO</v>
          </cell>
          <cell r="G2149" t="str">
            <v>VR. UNITARIO</v>
          </cell>
        </row>
        <row r="2150">
          <cell r="A2150" t="str">
            <v/>
          </cell>
          <cell r="D2150" t="str">
            <v/>
          </cell>
          <cell r="E2150" t="str">
            <v/>
          </cell>
          <cell r="G2150" t="str">
            <v/>
          </cell>
        </row>
        <row r="2151">
          <cell r="A2151" t="str">
            <v>EQ001</v>
          </cell>
          <cell r="B2151" t="str">
            <v>HERRAMIENTA MENOR (5% DE LA MANO DE OBRA)</v>
          </cell>
          <cell r="D2151" t="str">
            <v>%</v>
          </cell>
          <cell r="E2151">
            <v>0.05</v>
          </cell>
          <cell r="F2151">
            <v>11243.472222222223</v>
          </cell>
          <cell r="G2151">
            <v>562.1736111111112</v>
          </cell>
        </row>
        <row r="2152">
          <cell r="F2152" t="str">
            <v>SUBTOTAL</v>
          </cell>
          <cell r="G2152">
            <v>562.1736111111112</v>
          </cell>
        </row>
        <row r="2154">
          <cell r="A2154" t="str">
            <v>II. MATERIALES</v>
          </cell>
        </row>
        <row r="2155">
          <cell r="A2155" t="str">
            <v>CÓDIGO</v>
          </cell>
          <cell r="B2155" t="str">
            <v>DESCRIPCIÓN</v>
          </cell>
          <cell r="C2155" t="str">
            <v>UNIDAD</v>
          </cell>
          <cell r="D2155" t="str">
            <v>CANTIDAD</v>
          </cell>
          <cell r="E2155" t="str">
            <v>DESP.</v>
          </cell>
          <cell r="F2155" t="str">
            <v>PRECIO UNIT.</v>
          </cell>
          <cell r="G2155" t="str">
            <v>VR. UNITARIO</v>
          </cell>
        </row>
        <row r="2156">
          <cell r="A2156" t="str">
            <v>MA079</v>
          </cell>
          <cell r="B2156" t="str">
            <v>Tubería PVC Sanitaria de 24"</v>
          </cell>
          <cell r="C2156" t="str">
            <v>ml</v>
          </cell>
          <cell r="D2156">
            <v>1</v>
          </cell>
          <cell r="E2156">
            <v>0.05</v>
          </cell>
          <cell r="F2156">
            <v>448461.53846153844</v>
          </cell>
          <cell r="G2156">
            <v>470884.61538461538</v>
          </cell>
        </row>
        <row r="2157">
          <cell r="A2157" t="e">
            <v>#N/A</v>
          </cell>
          <cell r="B2157" t="str">
            <v>Accesorios de empalme - anillo caucho 24"</v>
          </cell>
          <cell r="C2157" t="e">
            <v>#N/A</v>
          </cell>
          <cell r="D2157">
            <v>0.5</v>
          </cell>
          <cell r="E2157">
            <v>0</v>
          </cell>
          <cell r="F2157" t="e">
            <v>#N/A</v>
          </cell>
          <cell r="G2157" t="str">
            <v/>
          </cell>
        </row>
        <row r="2158">
          <cell r="A2158" t="str">
            <v>MA066</v>
          </cell>
          <cell r="B2158" t="str">
            <v>Lubricante para instalación de tubería</v>
          </cell>
          <cell r="C2158" t="str">
            <v>lb</v>
          </cell>
          <cell r="D2158">
            <v>0.15</v>
          </cell>
          <cell r="E2158">
            <v>0.05</v>
          </cell>
          <cell r="F2158">
            <v>18000</v>
          </cell>
          <cell r="G2158">
            <v>2835</v>
          </cell>
        </row>
        <row r="2159">
          <cell r="A2159" t="str">
            <v>MA067</v>
          </cell>
          <cell r="B2159" t="str">
            <v>Estopa peinada</v>
          </cell>
          <cell r="C2159" t="str">
            <v>bolsa</v>
          </cell>
          <cell r="D2159">
            <v>0.3</v>
          </cell>
          <cell r="E2159">
            <v>0.05</v>
          </cell>
          <cell r="F2159">
            <v>2000</v>
          </cell>
          <cell r="G2159">
            <v>630</v>
          </cell>
        </row>
        <row r="2160">
          <cell r="A2160" t="str">
            <v/>
          </cell>
          <cell r="C2160" t="str">
            <v/>
          </cell>
          <cell r="F2160" t="str">
            <v/>
          </cell>
          <cell r="G2160" t="str">
            <v/>
          </cell>
        </row>
        <row r="2161">
          <cell r="F2161" t="str">
            <v>SUBTOTAL</v>
          </cell>
          <cell r="G2161">
            <v>474349.61538461538</v>
          </cell>
        </row>
        <row r="2163">
          <cell r="A2163" t="str">
            <v>III. TRANSPORTES</v>
          </cell>
        </row>
        <row r="2164">
          <cell r="A2164" t="str">
            <v>CÓDIGO</v>
          </cell>
          <cell r="B2164" t="str">
            <v>DESCRIPCIÓN</v>
          </cell>
          <cell r="C2164" t="str">
            <v>TIPO</v>
          </cell>
          <cell r="D2164" t="str">
            <v>VOLUMEN/PESO</v>
          </cell>
          <cell r="E2164" t="str">
            <v>DISTANCIA</v>
          </cell>
          <cell r="F2164" t="str">
            <v>TARIFA</v>
          </cell>
          <cell r="G2164" t="str">
            <v>VR. UNITARIO</v>
          </cell>
        </row>
        <row r="2165">
          <cell r="A2165" t="str">
            <v>TR001</v>
          </cell>
          <cell r="B2165" t="str">
            <v>TRANSPORTE DE INSUMOS GENERALES 0-1KM</v>
          </cell>
          <cell r="C2165" t="str">
            <v>INSUMOS</v>
          </cell>
          <cell r="D2165">
            <v>5.0000000000000001E-3</v>
          </cell>
          <cell r="E2165">
            <v>1</v>
          </cell>
          <cell r="F2165">
            <v>4250</v>
          </cell>
          <cell r="G2165">
            <v>21.25</v>
          </cell>
        </row>
        <row r="2166">
          <cell r="A2166" t="str">
            <v/>
          </cell>
          <cell r="E2166" t="str">
            <v/>
          </cell>
          <cell r="F2166" t="str">
            <v/>
          </cell>
          <cell r="G2166" t="str">
            <v/>
          </cell>
        </row>
        <row r="2167">
          <cell r="F2167" t="str">
            <v>SUBTOTAL</v>
          </cell>
          <cell r="G2167">
            <v>21.25</v>
          </cell>
        </row>
        <row r="2169">
          <cell r="A2169" t="str">
            <v>IV. MANO DE OBRA</v>
          </cell>
        </row>
        <row r="2170">
          <cell r="A2170" t="str">
            <v>CÓDIGO</v>
          </cell>
          <cell r="B2170" t="str">
            <v>CARGOS PERSONAL</v>
          </cell>
          <cell r="D2170" t="str">
            <v>CANTIDAD</v>
          </cell>
          <cell r="E2170" t="str">
            <v>JORNAL TOTAL</v>
          </cell>
          <cell r="F2170" t="str">
            <v>RENDIMIENTO</v>
          </cell>
          <cell r="G2170" t="str">
            <v>VR. UNITARIO</v>
          </cell>
        </row>
        <row r="2171">
          <cell r="A2171" t="str">
            <v>MO029</v>
          </cell>
          <cell r="B2171" t="str">
            <v>OFICIAL DE OBRA NEGRA</v>
          </cell>
          <cell r="D2171">
            <v>1</v>
          </cell>
          <cell r="E2171">
            <v>153455</v>
          </cell>
          <cell r="F2171">
            <v>36</v>
          </cell>
          <cell r="G2171">
            <v>4262.6388888888887</v>
          </cell>
        </row>
        <row r="2172">
          <cell r="A2172" t="str">
            <v>MO032</v>
          </cell>
          <cell r="B2172" t="str">
            <v>AYUDANTE RASO</v>
          </cell>
          <cell r="D2172">
            <v>3</v>
          </cell>
          <cell r="E2172">
            <v>83770</v>
          </cell>
          <cell r="F2172">
            <v>36</v>
          </cell>
          <cell r="G2172">
            <v>6980.833333333333</v>
          </cell>
        </row>
        <row r="2173">
          <cell r="F2173" t="str">
            <v>SUBTOTAL</v>
          </cell>
          <cell r="G2173">
            <v>11243.472222222223</v>
          </cell>
        </row>
        <row r="2175">
          <cell r="A2175" t="str">
            <v>V. SERVICIOS</v>
          </cell>
        </row>
        <row r="2176">
          <cell r="A2176" t="str">
            <v>CÓDIGO</v>
          </cell>
          <cell r="B2176" t="str">
            <v>DESCRIPCIÓN</v>
          </cell>
          <cell r="D2176" t="str">
            <v>UNIDAD</v>
          </cell>
          <cell r="E2176" t="str">
            <v>CANTIDAD</v>
          </cell>
          <cell r="F2176" t="str">
            <v>PRECIO UNIT.</v>
          </cell>
          <cell r="G2176" t="str">
            <v>VR. UNITARIO</v>
          </cell>
        </row>
        <row r="2177">
          <cell r="A2177" t="str">
            <v>SE002</v>
          </cell>
          <cell r="B2177" t="str">
            <v>COMISIÓN TOPOGRÁFICA (1 TOP. + 1 CAD. 1)</v>
          </cell>
          <cell r="D2177" t="str">
            <v>DÍA</v>
          </cell>
          <cell r="E2177">
            <v>0.02</v>
          </cell>
          <cell r="F2177">
            <v>447639.43886027398</v>
          </cell>
          <cell r="G2177">
            <v>8952.7887772054801</v>
          </cell>
        </row>
        <row r="2178">
          <cell r="A2178" t="str">
            <v/>
          </cell>
          <cell r="D2178" t="str">
            <v/>
          </cell>
          <cell r="F2178" t="str">
            <v/>
          </cell>
          <cell r="G2178" t="str">
            <v/>
          </cell>
        </row>
        <row r="2179">
          <cell r="A2179" t="str">
            <v/>
          </cell>
          <cell r="D2179" t="str">
            <v/>
          </cell>
          <cell r="F2179" t="str">
            <v/>
          </cell>
          <cell r="G2179" t="str">
            <v/>
          </cell>
        </row>
        <row r="2180">
          <cell r="F2180" t="str">
            <v>SUBTOTAL</v>
          </cell>
          <cell r="G2180">
            <v>8952.7887772054801</v>
          </cell>
        </row>
        <row r="2182">
          <cell r="A2182" t="str">
            <v>TOTAL COSTO DIRECTO</v>
          </cell>
          <cell r="G2182">
            <v>495129</v>
          </cell>
        </row>
        <row r="2184">
          <cell r="A2184" t="str">
            <v>2. COSTOS INDIRECTOS</v>
          </cell>
        </row>
        <row r="2186">
          <cell r="A2186" t="str">
            <v>DESCRIPCIÓN</v>
          </cell>
          <cell r="F2186" t="str">
            <v>PORCENTAJE</v>
          </cell>
          <cell r="G2186" t="str">
            <v>VALOR TOTAL</v>
          </cell>
        </row>
        <row r="2187">
          <cell r="A2187" t="str">
            <v>ADMINISTRACION</v>
          </cell>
          <cell r="F2187">
            <v>0.33389999999999997</v>
          </cell>
          <cell r="G2187">
            <v>165323.57309999998</v>
          </cell>
        </row>
        <row r="2188">
          <cell r="A2188" t="str">
            <v>IMPREVISTOS</v>
          </cell>
          <cell r="F2188" t="str">
            <v/>
          </cell>
          <cell r="G2188" t="str">
            <v/>
          </cell>
        </row>
        <row r="2189">
          <cell r="A2189" t="str">
            <v>UTILIDADES</v>
          </cell>
          <cell r="F2189">
            <v>0.05</v>
          </cell>
          <cell r="G2189">
            <v>24756.45</v>
          </cell>
        </row>
        <row r="2190">
          <cell r="A2190" t="str">
            <v>TOTAL COSTO INDIRECTO</v>
          </cell>
          <cell r="F2190">
            <v>0.38389999999999996</v>
          </cell>
          <cell r="G2190">
            <v>190080</v>
          </cell>
        </row>
        <row r="2192">
          <cell r="A2192" t="str">
            <v>PRECIO UNITARIO TOTAL APROXIMADO AL PESO</v>
          </cell>
          <cell r="G2192">
            <v>685209</v>
          </cell>
        </row>
        <row r="2195">
          <cell r="B2195" t="str">
            <v>SECRETARIA DE PLANEACIÓN E INFRAESTRUCTURA</v>
          </cell>
        </row>
        <row r="2197">
          <cell r="D2197" t="str">
            <v>FIRMA RESPONSABLE</v>
          </cell>
        </row>
        <row r="2198">
          <cell r="A2198" t="str">
            <v>DEPARTAMENTO DE ANTIOQUIA</v>
          </cell>
          <cell r="F2198" t="str">
            <v/>
          </cell>
        </row>
        <row r="2199">
          <cell r="A2199" t="str">
            <v>MUNICIPIO DE DABEIBA</v>
          </cell>
        </row>
        <row r="2200">
          <cell r="A2200" t="str">
            <v>MEJORAMIENTO DE LA RED VIAL URBANA EN EL BARRIO SAN ANTONIO DEL MUNICIPIO DE DABEIBA</v>
          </cell>
        </row>
        <row r="2202">
          <cell r="A2202" t="str">
            <v>ANÁLISIS DE PRECIOS UNITARIOS</v>
          </cell>
        </row>
        <row r="2204">
          <cell r="A2204" t="str">
            <v>ITEM</v>
          </cell>
          <cell r="B2204" t="str">
            <v>DESCRIPCIÓN</v>
          </cell>
          <cell r="E2204" t="str">
            <v>UNIDAD</v>
          </cell>
          <cell r="F2204" t="str">
            <v>CANTIDAD</v>
          </cell>
          <cell r="G2204" t="str">
            <v>COSTO DIRECTO</v>
          </cell>
        </row>
        <row r="2205">
          <cell r="A2205" t="str">
            <v>12.1</v>
          </cell>
          <cell r="B2205" t="str">
            <v xml:space="preserve">Transporte de material suelto (prestamo, sub-base) para distancias entre 0 km y 17km medidos a partir de 100 m. </v>
          </cell>
          <cell r="E2205" t="str">
            <v>m3-km</v>
          </cell>
          <cell r="F2205">
            <v>17643.600000000002</v>
          </cell>
          <cell r="G2205">
            <v>2333</v>
          </cell>
        </row>
        <row r="2207">
          <cell r="A2207" t="str">
            <v>1. COSTOS DIRECTOS</v>
          </cell>
        </row>
        <row r="2209">
          <cell r="A2209" t="str">
            <v>I. EQUIPO</v>
          </cell>
        </row>
        <row r="2210">
          <cell r="A2210" t="str">
            <v>CÓDIGO</v>
          </cell>
          <cell r="B2210" t="str">
            <v>DESCRIPCIÓN</v>
          </cell>
          <cell r="D2210" t="str">
            <v>UNIDAD</v>
          </cell>
          <cell r="E2210" t="str">
            <v>TARIFA</v>
          </cell>
          <cell r="F2210" t="str">
            <v>RENDIMIENTO</v>
          </cell>
          <cell r="G2210" t="str">
            <v>VR. UNITARIO</v>
          </cell>
        </row>
        <row r="2211">
          <cell r="A2211" t="str">
            <v>EQ032</v>
          </cell>
          <cell r="B2211" t="str">
            <v>VOLQUETA 15 M3</v>
          </cell>
          <cell r="D2211" t="str">
            <v>HORA</v>
          </cell>
          <cell r="E2211">
            <v>140000</v>
          </cell>
          <cell r="F2211">
            <v>60</v>
          </cell>
          <cell r="G2211">
            <v>2333.3333333333335</v>
          </cell>
        </row>
        <row r="2212">
          <cell r="A2212" t="str">
            <v/>
          </cell>
          <cell r="B2212" t="str">
            <v/>
          </cell>
          <cell r="D2212" t="str">
            <v/>
          </cell>
          <cell r="E2212" t="str">
            <v/>
          </cell>
          <cell r="F2212" t="str">
            <v/>
          </cell>
          <cell r="G2212" t="str">
            <v/>
          </cell>
        </row>
        <row r="2213">
          <cell r="F2213" t="str">
            <v>SUBTOTAL</v>
          </cell>
          <cell r="G2213">
            <v>2333.3333333333335</v>
          </cell>
        </row>
        <row r="2215">
          <cell r="A2215" t="str">
            <v>II. MATERIALES</v>
          </cell>
        </row>
        <row r="2216">
          <cell r="A2216" t="str">
            <v>CÓDIGO</v>
          </cell>
          <cell r="B2216" t="str">
            <v>DESCRIPCIÓN</v>
          </cell>
          <cell r="C2216" t="str">
            <v>UNIDAD</v>
          </cell>
          <cell r="D2216" t="str">
            <v>CANTIDAD</v>
          </cell>
          <cell r="E2216" t="str">
            <v>DESP.</v>
          </cell>
          <cell r="F2216" t="str">
            <v>PRECIO UNIT.</v>
          </cell>
          <cell r="G2216" t="str">
            <v>VR. UNITARIO</v>
          </cell>
        </row>
        <row r="2217">
          <cell r="A2217" t="str">
            <v/>
          </cell>
          <cell r="C2217" t="str">
            <v/>
          </cell>
          <cell r="F2217" t="str">
            <v/>
          </cell>
          <cell r="G2217" t="str">
            <v/>
          </cell>
        </row>
        <row r="2218">
          <cell r="A2218" t="str">
            <v/>
          </cell>
          <cell r="C2218" t="str">
            <v/>
          </cell>
          <cell r="F2218" t="str">
            <v/>
          </cell>
          <cell r="G2218" t="str">
            <v/>
          </cell>
        </row>
        <row r="2219">
          <cell r="F2219" t="str">
            <v>SUBTOTAL</v>
          </cell>
          <cell r="G2219" t="str">
            <v/>
          </cell>
        </row>
        <row r="2221">
          <cell r="A2221" t="str">
            <v>III. TRANSPORTES</v>
          </cell>
        </row>
        <row r="2222">
          <cell r="A2222" t="str">
            <v>CÓDIGO</v>
          </cell>
          <cell r="B2222" t="str">
            <v>DESCRIPCIÓN</v>
          </cell>
          <cell r="C2222" t="str">
            <v>TIPO</v>
          </cell>
          <cell r="D2222" t="str">
            <v>VOLUMEN/PESO</v>
          </cell>
          <cell r="E2222" t="str">
            <v>DISTANCIA</v>
          </cell>
          <cell r="F2222" t="str">
            <v>TARIFA</v>
          </cell>
          <cell r="G2222" t="str">
            <v>VR. UNITARIO</v>
          </cell>
        </row>
        <row r="2223">
          <cell r="A2223" t="str">
            <v/>
          </cell>
          <cell r="E2223" t="str">
            <v/>
          </cell>
          <cell r="F2223" t="str">
            <v/>
          </cell>
          <cell r="G2223" t="str">
            <v/>
          </cell>
        </row>
        <row r="2224">
          <cell r="A2224" t="str">
            <v/>
          </cell>
          <cell r="E2224" t="str">
            <v/>
          </cell>
          <cell r="F2224" t="str">
            <v/>
          </cell>
          <cell r="G2224" t="str">
            <v/>
          </cell>
        </row>
        <row r="2225">
          <cell r="F2225" t="str">
            <v>SUBTOTAL</v>
          </cell>
          <cell r="G2225" t="str">
            <v/>
          </cell>
        </row>
        <row r="2227">
          <cell r="A2227" t="str">
            <v>IV. MANO DE OBRA</v>
          </cell>
        </row>
        <row r="2228">
          <cell r="A2228" t="str">
            <v>CÓDIGO</v>
          </cell>
          <cell r="B2228" t="str">
            <v>CARGOS PERSONAL</v>
          </cell>
          <cell r="D2228" t="str">
            <v>CANTIDAD</v>
          </cell>
          <cell r="E2228" t="str">
            <v>JORNAL TOTAL</v>
          </cell>
          <cell r="F2228" t="str">
            <v>RENDIMIENTO</v>
          </cell>
          <cell r="G2228" t="str">
            <v>VR. UNITARIO</v>
          </cell>
        </row>
        <row r="2229">
          <cell r="A2229" t="str">
            <v/>
          </cell>
          <cell r="E2229" t="str">
            <v/>
          </cell>
          <cell r="G2229" t="str">
            <v/>
          </cell>
        </row>
        <row r="2230">
          <cell r="A2230" t="str">
            <v/>
          </cell>
          <cell r="E2230" t="str">
            <v/>
          </cell>
          <cell r="G2230" t="str">
            <v/>
          </cell>
        </row>
        <row r="2231">
          <cell r="F2231" t="str">
            <v>SUBTOTAL</v>
          </cell>
          <cell r="G2231" t="str">
            <v/>
          </cell>
        </row>
        <row r="2233">
          <cell r="A2233" t="str">
            <v>V. SERVICIOS</v>
          </cell>
        </row>
        <row r="2234">
          <cell r="A2234" t="str">
            <v>CÓDIGO</v>
          </cell>
          <cell r="B2234" t="str">
            <v>DESCRIPCIÓN</v>
          </cell>
          <cell r="D2234" t="str">
            <v>UNIDAD</v>
          </cell>
          <cell r="E2234" t="str">
            <v>CANTIDAD</v>
          </cell>
          <cell r="F2234" t="str">
            <v>PRECIO UNIT.</v>
          </cell>
          <cell r="G2234" t="str">
            <v>VR. UNITARIO</v>
          </cell>
        </row>
        <row r="2235">
          <cell r="A2235" t="str">
            <v/>
          </cell>
          <cell r="D2235" t="str">
            <v/>
          </cell>
          <cell r="F2235" t="str">
            <v/>
          </cell>
          <cell r="G2235" t="str">
            <v/>
          </cell>
        </row>
        <row r="2236">
          <cell r="A2236" t="str">
            <v/>
          </cell>
          <cell r="D2236" t="str">
            <v/>
          </cell>
          <cell r="F2236" t="str">
            <v/>
          </cell>
          <cell r="G2236" t="str">
            <v/>
          </cell>
        </row>
        <row r="2237">
          <cell r="F2237" t="str">
            <v>SUBTOTAL</v>
          </cell>
          <cell r="G2237" t="str">
            <v/>
          </cell>
        </row>
        <row r="2239">
          <cell r="A2239" t="str">
            <v>TOTAL COSTO DIRECTO</v>
          </cell>
          <cell r="G2239">
            <v>2333</v>
          </cell>
        </row>
        <row r="2241">
          <cell r="A2241" t="str">
            <v>2. COSTOS INDIRECTOS</v>
          </cell>
        </row>
        <row r="2243">
          <cell r="A2243" t="str">
            <v>DESCRIPCIÓN</v>
          </cell>
          <cell r="F2243" t="str">
            <v>PORCENTAJE</v>
          </cell>
          <cell r="G2243" t="str">
            <v>VALOR TOTAL</v>
          </cell>
        </row>
        <row r="2244">
          <cell r="A2244" t="str">
            <v>ADMINISTRACION</v>
          </cell>
          <cell r="F2244">
            <v>0.33389999999999997</v>
          </cell>
          <cell r="G2244">
            <v>778.98869999999999</v>
          </cell>
        </row>
        <row r="2245">
          <cell r="A2245" t="str">
            <v>IMPREVISTOS</v>
          </cell>
          <cell r="F2245" t="str">
            <v/>
          </cell>
          <cell r="G2245" t="str">
            <v/>
          </cell>
        </row>
        <row r="2246">
          <cell r="A2246" t="str">
            <v>UTILIDADES</v>
          </cell>
          <cell r="F2246">
            <v>0.05</v>
          </cell>
          <cell r="G2246">
            <v>116.65</v>
          </cell>
        </row>
        <row r="2247">
          <cell r="A2247" t="str">
            <v>TOTAL COSTO INDIRECTO</v>
          </cell>
          <cell r="F2247">
            <v>0.38389999999999996</v>
          </cell>
          <cell r="G2247">
            <v>896</v>
          </cell>
        </row>
        <row r="2249">
          <cell r="A2249" t="str">
            <v>PRECIO UNITARIO TOTAL APROXIMADO AL PESO</v>
          </cell>
          <cell r="G2249">
            <v>3229</v>
          </cell>
        </row>
        <row r="2252">
          <cell r="B2252" t="str">
            <v>SECRETARIA DE PLANEACIÓN E INFRAESTRUCTURA</v>
          </cell>
        </row>
        <row r="2254">
          <cell r="D2254" t="str">
            <v>FIRMA RESPONSABLE</v>
          </cell>
        </row>
        <row r="2255">
          <cell r="A2255" t="str">
            <v>DEPARTAMENTO DE ANTIOQUIA</v>
          </cell>
          <cell r="F2255" t="str">
            <v/>
          </cell>
        </row>
        <row r="2256">
          <cell r="A2256" t="str">
            <v>MUNICIPIO DE DABEIBA</v>
          </cell>
        </row>
        <row r="2257">
          <cell r="A2257" t="str">
            <v>MEJORAMIENTO DE LA RED VIAL URBANA EN EL BARRIO SAN ANTONIO DEL MUNICIPIO DE DABEIBA</v>
          </cell>
        </row>
        <row r="2259">
          <cell r="A2259" t="str">
            <v>ANÁLISIS DE PRECIOS UNITARIOS</v>
          </cell>
        </row>
        <row r="2261">
          <cell r="A2261" t="str">
            <v>ITEM</v>
          </cell>
          <cell r="B2261" t="str">
            <v>DESCRIPCIÓN</v>
          </cell>
          <cell r="E2261" t="str">
            <v>UNIDAD</v>
          </cell>
          <cell r="F2261" t="str">
            <v>CANTIDAD</v>
          </cell>
          <cell r="G2261" t="str">
            <v>COSTO DIRECTO</v>
          </cell>
        </row>
        <row r="2262">
          <cell r="A2262" t="str">
            <v>12.2</v>
          </cell>
          <cell r="B2262" t="str">
            <v>Transporte de sobrantes provenientes de la excavación de la explanación, canales, préstamos para distancias entre 1km y 15km medidos a partir de 100 m. Material suelto</v>
          </cell>
          <cell r="E2262" t="str">
            <v>m3-km</v>
          </cell>
          <cell r="F2262">
            <v>12648</v>
          </cell>
          <cell r="G2262">
            <v>2333</v>
          </cell>
        </row>
        <row r="2264">
          <cell r="A2264" t="str">
            <v>1. COSTOS DIRECTOS</v>
          </cell>
        </row>
        <row r="2266">
          <cell r="A2266" t="str">
            <v>I. EQUIPO</v>
          </cell>
        </row>
        <row r="2267">
          <cell r="A2267" t="str">
            <v>CÓDIGO</v>
          </cell>
          <cell r="B2267" t="str">
            <v>DESCRIPCIÓN</v>
          </cell>
          <cell r="D2267" t="str">
            <v>UNIDAD</v>
          </cell>
          <cell r="E2267" t="str">
            <v>TARIFA</v>
          </cell>
          <cell r="F2267" t="str">
            <v>RENDIMIENTO</v>
          </cell>
          <cell r="G2267" t="str">
            <v>VR. UNITARIO</v>
          </cell>
        </row>
        <row r="2268">
          <cell r="A2268" t="str">
            <v>EQ032</v>
          </cell>
          <cell r="B2268" t="str">
            <v>VOLQUETA 15 M3</v>
          </cell>
          <cell r="D2268" t="str">
            <v>HORA</v>
          </cell>
          <cell r="E2268">
            <v>140000</v>
          </cell>
          <cell r="F2268">
            <v>60</v>
          </cell>
          <cell r="G2268">
            <v>2333.3333333333335</v>
          </cell>
        </row>
        <row r="2269">
          <cell r="A2269" t="str">
            <v/>
          </cell>
          <cell r="B2269" t="str">
            <v/>
          </cell>
          <cell r="D2269" t="str">
            <v/>
          </cell>
          <cell r="E2269" t="str">
            <v/>
          </cell>
          <cell r="F2269" t="str">
            <v/>
          </cell>
          <cell r="G2269" t="str">
            <v/>
          </cell>
        </row>
        <row r="2270">
          <cell r="F2270" t="str">
            <v>SUBTOTAL</v>
          </cell>
          <cell r="G2270">
            <v>2333.3333333333335</v>
          </cell>
        </row>
        <row r="2272">
          <cell r="A2272" t="str">
            <v>II. MATERIALES</v>
          </cell>
        </row>
        <row r="2273">
          <cell r="A2273" t="str">
            <v>CÓDIGO</v>
          </cell>
          <cell r="B2273" t="str">
            <v>DESCRIPCIÓN</v>
          </cell>
          <cell r="C2273" t="str">
            <v>UNIDAD</v>
          </cell>
          <cell r="D2273" t="str">
            <v>CANTIDAD</v>
          </cell>
          <cell r="E2273" t="str">
            <v>DESP.</v>
          </cell>
          <cell r="F2273" t="str">
            <v>PRECIO UNIT.</v>
          </cell>
          <cell r="G2273" t="str">
            <v>VR. UNITARIO</v>
          </cell>
        </row>
        <row r="2274">
          <cell r="A2274" t="str">
            <v/>
          </cell>
          <cell r="C2274" t="str">
            <v/>
          </cell>
          <cell r="F2274" t="str">
            <v/>
          </cell>
          <cell r="G2274" t="str">
            <v/>
          </cell>
        </row>
        <row r="2275">
          <cell r="A2275" t="str">
            <v/>
          </cell>
          <cell r="C2275" t="str">
            <v/>
          </cell>
          <cell r="F2275" t="str">
            <v/>
          </cell>
          <cell r="G2275" t="str">
            <v/>
          </cell>
        </row>
        <row r="2276">
          <cell r="F2276" t="str">
            <v>SUBTOTAL</v>
          </cell>
          <cell r="G2276" t="str">
            <v/>
          </cell>
        </row>
        <row r="2278">
          <cell r="A2278" t="str">
            <v>III. TRANSPORTES</v>
          </cell>
        </row>
        <row r="2279">
          <cell r="A2279" t="str">
            <v>CÓDIGO</v>
          </cell>
          <cell r="B2279" t="str">
            <v>DESCRIPCIÓN</v>
          </cell>
          <cell r="C2279" t="str">
            <v>TIPO</v>
          </cell>
          <cell r="D2279" t="str">
            <v>VOLUMEN/PESO</v>
          </cell>
          <cell r="E2279" t="str">
            <v>DISTANCIA</v>
          </cell>
          <cell r="F2279" t="str">
            <v>TARIFA</v>
          </cell>
          <cell r="G2279" t="str">
            <v>VR. UNITARIO</v>
          </cell>
        </row>
        <row r="2280">
          <cell r="A2280" t="str">
            <v/>
          </cell>
          <cell r="E2280" t="str">
            <v/>
          </cell>
          <cell r="F2280" t="str">
            <v/>
          </cell>
          <cell r="G2280" t="str">
            <v/>
          </cell>
        </row>
        <row r="2281">
          <cell r="A2281" t="str">
            <v/>
          </cell>
          <cell r="E2281" t="str">
            <v/>
          </cell>
          <cell r="F2281" t="str">
            <v/>
          </cell>
          <cell r="G2281" t="str">
            <v/>
          </cell>
        </row>
        <row r="2282">
          <cell r="F2282" t="str">
            <v>SUBTOTAL</v>
          </cell>
          <cell r="G2282" t="str">
            <v/>
          </cell>
        </row>
        <row r="2284">
          <cell r="A2284" t="str">
            <v>IV. MANO DE OBRA</v>
          </cell>
        </row>
        <row r="2285">
          <cell r="A2285" t="str">
            <v>CÓDIGO</v>
          </cell>
          <cell r="B2285" t="str">
            <v>CARGOS PERSONAL</v>
          </cell>
          <cell r="D2285" t="str">
            <v>CANTIDAD</v>
          </cell>
          <cell r="E2285" t="str">
            <v>JORNAL TOTAL</v>
          </cell>
          <cell r="F2285" t="str">
            <v>RENDIMIENTO</v>
          </cell>
          <cell r="G2285" t="str">
            <v>VR. UNITARIO</v>
          </cell>
        </row>
        <row r="2286">
          <cell r="A2286" t="str">
            <v/>
          </cell>
          <cell r="E2286" t="str">
            <v/>
          </cell>
          <cell r="G2286" t="str">
            <v/>
          </cell>
        </row>
        <row r="2287">
          <cell r="A2287" t="str">
            <v/>
          </cell>
          <cell r="E2287" t="str">
            <v/>
          </cell>
          <cell r="G2287" t="str">
            <v/>
          </cell>
        </row>
        <row r="2288">
          <cell r="F2288" t="str">
            <v>SUBTOTAL</v>
          </cell>
          <cell r="G2288" t="str">
            <v/>
          </cell>
        </row>
        <row r="2290">
          <cell r="A2290" t="str">
            <v>V. SERVICIOS</v>
          </cell>
        </row>
        <row r="2291">
          <cell r="A2291" t="str">
            <v>CÓDIGO</v>
          </cell>
          <cell r="B2291" t="str">
            <v>DESCRIPCIÓN</v>
          </cell>
          <cell r="D2291" t="str">
            <v>UNIDAD</v>
          </cell>
          <cell r="E2291" t="str">
            <v>CANTIDAD</v>
          </cell>
          <cell r="F2291" t="str">
            <v>PRECIO UNIT.</v>
          </cell>
          <cell r="G2291" t="str">
            <v>VR. UNITARIO</v>
          </cell>
        </row>
        <row r="2292">
          <cell r="A2292" t="str">
            <v/>
          </cell>
          <cell r="D2292" t="str">
            <v/>
          </cell>
          <cell r="F2292" t="str">
            <v/>
          </cell>
          <cell r="G2292" t="str">
            <v/>
          </cell>
        </row>
        <row r="2293">
          <cell r="A2293" t="str">
            <v/>
          </cell>
          <cell r="D2293" t="str">
            <v/>
          </cell>
          <cell r="F2293" t="str">
            <v/>
          </cell>
          <cell r="G2293" t="str">
            <v/>
          </cell>
        </row>
        <row r="2294">
          <cell r="F2294" t="str">
            <v>SUBTOTAL</v>
          </cell>
          <cell r="G2294" t="str">
            <v/>
          </cell>
        </row>
        <row r="2296">
          <cell r="A2296" t="str">
            <v>TOTAL COSTO DIRECTO</v>
          </cell>
          <cell r="G2296">
            <v>2333</v>
          </cell>
        </row>
        <row r="2298">
          <cell r="A2298" t="str">
            <v>2. COSTOS INDIRECTOS</v>
          </cell>
        </row>
        <row r="2300">
          <cell r="A2300" t="str">
            <v>DESCRIPCIÓN</v>
          </cell>
          <cell r="F2300" t="str">
            <v>PORCENTAJE</v>
          </cell>
          <cell r="G2300" t="str">
            <v>VALOR TOTAL</v>
          </cell>
        </row>
        <row r="2301">
          <cell r="A2301" t="str">
            <v>ADMINISTRACION</v>
          </cell>
          <cell r="F2301">
            <v>0.33389999999999997</v>
          </cell>
          <cell r="G2301">
            <v>778.98869999999999</v>
          </cell>
        </row>
        <row r="2302">
          <cell r="A2302" t="str">
            <v>IMPREVISTOS</v>
          </cell>
          <cell r="F2302" t="str">
            <v/>
          </cell>
          <cell r="G2302" t="str">
            <v/>
          </cell>
        </row>
        <row r="2303">
          <cell r="A2303" t="str">
            <v>UTILIDADES</v>
          </cell>
          <cell r="F2303">
            <v>0.05</v>
          </cell>
          <cell r="G2303">
            <v>116.65</v>
          </cell>
        </row>
        <row r="2304">
          <cell r="A2304" t="str">
            <v>TOTAL COSTO INDIRECTO</v>
          </cell>
          <cell r="F2304">
            <v>0.38389999999999996</v>
          </cell>
          <cell r="G2304">
            <v>896</v>
          </cell>
        </row>
        <row r="2306">
          <cell r="A2306" t="str">
            <v>PRECIO UNITARIO TOTAL APROXIMADO AL PESO</v>
          </cell>
          <cell r="G2306">
            <v>3229</v>
          </cell>
        </row>
        <row r="2309">
          <cell r="B2309" t="str">
            <v>SECRETARIA DE PLANEACIÓN E INFRAESTRUCTURA</v>
          </cell>
        </row>
        <row r="2311">
          <cell r="D2311" t="str">
            <v>FIRMA RESPONSABLE</v>
          </cell>
        </row>
        <row r="2312">
          <cell r="A2312" t="str">
            <v>DEPARTAMENTO DE ANTIOQUIA</v>
          </cell>
          <cell r="F2312" t="str">
            <v/>
          </cell>
        </row>
        <row r="2313">
          <cell r="A2313" t="str">
            <v>MUNICIPIO DE DABEIBA</v>
          </cell>
        </row>
        <row r="2314">
          <cell r="A2314" t="str">
            <v>MEJORAMIENTO DE LA RED VIAL URBANA EN EL BARRIO SAN ANTONIO DEL MUNICIPIO DE DABEIBA</v>
          </cell>
        </row>
        <row r="2316">
          <cell r="A2316" t="str">
            <v>ANÁLISIS DE PRECIOS UNITARIOS</v>
          </cell>
        </row>
        <row r="2318">
          <cell r="A2318" t="str">
            <v>ITEM</v>
          </cell>
          <cell r="B2318" t="str">
            <v>DESCRIPCIÓN</v>
          </cell>
          <cell r="E2318" t="str">
            <v>UNIDAD</v>
          </cell>
          <cell r="F2318" t="str">
            <v>CANTIDAD</v>
          </cell>
          <cell r="G2318" t="str">
            <v>COSTO DIRECTO</v>
          </cell>
        </row>
        <row r="2319">
          <cell r="A2319" t="str">
            <v>12.3</v>
          </cell>
          <cell r="B2319" t="str">
            <v>Transporte de sobrantes de demoliciones. Medido suelto para distancias entre 1km y 15km medidos a partir de 100 m</v>
          </cell>
          <cell r="E2319" t="str">
            <v>m3-km</v>
          </cell>
          <cell r="F2319">
            <v>1080</v>
          </cell>
          <cell r="G2319">
            <v>2333</v>
          </cell>
        </row>
        <row r="2321">
          <cell r="A2321" t="str">
            <v>1. COSTOS DIRECTOS</v>
          </cell>
        </row>
        <row r="2323">
          <cell r="A2323" t="str">
            <v>I. EQUIPO</v>
          </cell>
        </row>
        <row r="2324">
          <cell r="A2324" t="str">
            <v>CÓDIGO</v>
          </cell>
          <cell r="B2324" t="str">
            <v>DESCRIPCIÓN</v>
          </cell>
          <cell r="D2324" t="str">
            <v>UNIDAD</v>
          </cell>
          <cell r="E2324" t="str">
            <v>TARIFA</v>
          </cell>
          <cell r="F2324" t="str">
            <v>RENDIMIENTO</v>
          </cell>
          <cell r="G2324" t="str">
            <v>VR. UNITARIO</v>
          </cell>
        </row>
        <row r="2325">
          <cell r="A2325" t="str">
            <v>EQ032</v>
          </cell>
          <cell r="B2325" t="str">
            <v>VOLQUETA 15 M3</v>
          </cell>
          <cell r="D2325" t="str">
            <v>HORA</v>
          </cell>
          <cell r="E2325">
            <v>140000</v>
          </cell>
          <cell r="F2325">
            <v>60</v>
          </cell>
          <cell r="G2325">
            <v>2333.3333333333335</v>
          </cell>
        </row>
        <row r="2326">
          <cell r="A2326" t="str">
            <v/>
          </cell>
          <cell r="B2326" t="str">
            <v/>
          </cell>
          <cell r="D2326" t="str">
            <v/>
          </cell>
          <cell r="E2326" t="str">
            <v/>
          </cell>
          <cell r="F2326" t="str">
            <v/>
          </cell>
          <cell r="G2326" t="str">
            <v/>
          </cell>
        </row>
        <row r="2327">
          <cell r="F2327" t="str">
            <v>SUBTOTAL</v>
          </cell>
          <cell r="G2327">
            <v>2333.3333333333335</v>
          </cell>
        </row>
        <row r="2329">
          <cell r="A2329" t="str">
            <v>II. MATERIALES</v>
          </cell>
        </row>
        <row r="2330">
          <cell r="A2330" t="str">
            <v>CÓDIGO</v>
          </cell>
          <cell r="B2330" t="str">
            <v>DESCRIPCIÓN</v>
          </cell>
          <cell r="C2330" t="str">
            <v>UNIDAD</v>
          </cell>
          <cell r="D2330" t="str">
            <v>CANTIDAD</v>
          </cell>
          <cell r="E2330" t="str">
            <v>DESP.</v>
          </cell>
          <cell r="F2330" t="str">
            <v>PRECIO UNIT.</v>
          </cell>
          <cell r="G2330" t="str">
            <v>VR. UNITARIO</v>
          </cell>
        </row>
        <row r="2331">
          <cell r="A2331" t="str">
            <v/>
          </cell>
          <cell r="C2331" t="str">
            <v/>
          </cell>
          <cell r="F2331" t="str">
            <v/>
          </cell>
          <cell r="G2331" t="str">
            <v/>
          </cell>
        </row>
        <row r="2332">
          <cell r="A2332" t="str">
            <v/>
          </cell>
          <cell r="C2332" t="str">
            <v/>
          </cell>
          <cell r="F2332" t="str">
            <v/>
          </cell>
          <cell r="G2332" t="str">
            <v/>
          </cell>
        </row>
        <row r="2333">
          <cell r="F2333" t="str">
            <v>SUBTOTAL</v>
          </cell>
          <cell r="G2333" t="str">
            <v/>
          </cell>
        </row>
        <row r="2335">
          <cell r="A2335" t="str">
            <v>III. TRANSPORTES</v>
          </cell>
        </row>
        <row r="2336">
          <cell r="A2336" t="str">
            <v>CÓDIGO</v>
          </cell>
          <cell r="B2336" t="str">
            <v>DESCRIPCIÓN</v>
          </cell>
          <cell r="C2336" t="str">
            <v>TIPO</v>
          </cell>
          <cell r="D2336" t="str">
            <v>VOLUMEN/PESO</v>
          </cell>
          <cell r="E2336" t="str">
            <v>DISTANCIA</v>
          </cell>
          <cell r="F2336" t="str">
            <v>TARIFA</v>
          </cell>
          <cell r="G2336" t="str">
            <v>VR. UNITARIO</v>
          </cell>
        </row>
        <row r="2337">
          <cell r="A2337" t="str">
            <v/>
          </cell>
          <cell r="E2337" t="str">
            <v/>
          </cell>
          <cell r="F2337" t="str">
            <v/>
          </cell>
          <cell r="G2337" t="str">
            <v/>
          </cell>
        </row>
        <row r="2338">
          <cell r="A2338" t="str">
            <v/>
          </cell>
          <cell r="E2338" t="str">
            <v/>
          </cell>
          <cell r="F2338" t="str">
            <v/>
          </cell>
          <cell r="G2338" t="str">
            <v/>
          </cell>
        </row>
        <row r="2339">
          <cell r="F2339" t="str">
            <v>SUBTOTAL</v>
          </cell>
          <cell r="G2339" t="str">
            <v/>
          </cell>
        </row>
        <row r="2341">
          <cell r="A2341" t="str">
            <v>IV. MANO DE OBRA</v>
          </cell>
        </row>
        <row r="2342">
          <cell r="A2342" t="str">
            <v>CÓDIGO</v>
          </cell>
          <cell r="B2342" t="str">
            <v>CARGOS PERSONAL</v>
          </cell>
          <cell r="D2342" t="str">
            <v>CANTIDAD</v>
          </cell>
          <cell r="E2342" t="str">
            <v>JORNAL TOTAL</v>
          </cell>
          <cell r="F2342" t="str">
            <v>RENDIMIENTO</v>
          </cell>
          <cell r="G2342" t="str">
            <v>VR. UNITARIO</v>
          </cell>
        </row>
        <row r="2343">
          <cell r="A2343" t="str">
            <v/>
          </cell>
          <cell r="E2343" t="str">
            <v/>
          </cell>
          <cell r="G2343" t="str">
            <v/>
          </cell>
        </row>
        <row r="2344">
          <cell r="A2344" t="str">
            <v/>
          </cell>
          <cell r="E2344" t="str">
            <v/>
          </cell>
          <cell r="G2344" t="str">
            <v/>
          </cell>
        </row>
        <row r="2345">
          <cell r="F2345" t="str">
            <v>SUBTOTAL</v>
          </cell>
          <cell r="G2345" t="str">
            <v/>
          </cell>
        </row>
        <row r="2347">
          <cell r="A2347" t="str">
            <v>V. SERVICIOS</v>
          </cell>
        </row>
        <row r="2348">
          <cell r="A2348" t="str">
            <v>CÓDIGO</v>
          </cell>
          <cell r="B2348" t="str">
            <v>DESCRIPCIÓN</v>
          </cell>
          <cell r="D2348" t="str">
            <v>UNIDAD</v>
          </cell>
          <cell r="E2348" t="str">
            <v>CANTIDAD</v>
          </cell>
          <cell r="F2348" t="str">
            <v>PRECIO UNIT.</v>
          </cell>
          <cell r="G2348" t="str">
            <v>VR. UNITARIO</v>
          </cell>
        </row>
        <row r="2349">
          <cell r="A2349" t="str">
            <v/>
          </cell>
          <cell r="D2349" t="str">
            <v/>
          </cell>
          <cell r="F2349" t="str">
            <v/>
          </cell>
          <cell r="G2349" t="str">
            <v/>
          </cell>
        </row>
        <row r="2350">
          <cell r="A2350" t="str">
            <v/>
          </cell>
          <cell r="D2350" t="str">
            <v/>
          </cell>
          <cell r="F2350" t="str">
            <v/>
          </cell>
          <cell r="G2350" t="str">
            <v/>
          </cell>
        </row>
        <row r="2351">
          <cell r="F2351" t="str">
            <v>SUBTOTAL</v>
          </cell>
          <cell r="G2351" t="str">
            <v/>
          </cell>
        </row>
        <row r="2353">
          <cell r="A2353" t="str">
            <v>TOTAL COSTO DIRECTO</v>
          </cell>
          <cell r="G2353">
            <v>2333</v>
          </cell>
        </row>
        <row r="2355">
          <cell r="A2355" t="str">
            <v>2. COSTOS INDIRECTOS</v>
          </cell>
        </row>
        <row r="2357">
          <cell r="A2357" t="str">
            <v>DESCRIPCIÓN</v>
          </cell>
          <cell r="F2357" t="str">
            <v>PORCENTAJE</v>
          </cell>
          <cell r="G2357" t="str">
            <v>VALOR TOTAL</v>
          </cell>
        </row>
        <row r="2358">
          <cell r="A2358" t="str">
            <v>ADMINISTRACION</v>
          </cell>
          <cell r="F2358">
            <v>0.33389999999999997</v>
          </cell>
          <cell r="G2358">
            <v>778.98869999999999</v>
          </cell>
        </row>
        <row r="2359">
          <cell r="A2359" t="str">
            <v>IMPREVISTOS</v>
          </cell>
          <cell r="F2359" t="str">
            <v/>
          </cell>
          <cell r="G2359" t="str">
            <v/>
          </cell>
        </row>
        <row r="2360">
          <cell r="A2360" t="str">
            <v>UTILIDADES</v>
          </cell>
          <cell r="F2360">
            <v>0.05</v>
          </cell>
          <cell r="G2360">
            <v>116.65</v>
          </cell>
        </row>
        <row r="2361">
          <cell r="A2361" t="str">
            <v>TOTAL COSTO INDIRECTO</v>
          </cell>
          <cell r="F2361">
            <v>0.38389999999999996</v>
          </cell>
          <cell r="G2361">
            <v>896</v>
          </cell>
        </row>
        <row r="2363">
          <cell r="A2363" t="str">
            <v>PRECIO UNITARIO TOTAL APROXIMADO AL PESO</v>
          </cell>
          <cell r="G2363">
            <v>3229</v>
          </cell>
        </row>
        <row r="2366">
          <cell r="B2366" t="str">
            <v>SECRETARIA DE PLANEACIÓN E INFRAESTRUCTURA</v>
          </cell>
        </row>
        <row r="2368">
          <cell r="D2368" t="str">
            <v>FIRMA RESPONSABLE</v>
          </cell>
        </row>
        <row r="2369">
          <cell r="A2369" t="str">
            <v>DEPARTAMENTO DE ANTIOQUIA</v>
          </cell>
          <cell r="F2369" t="str">
            <v/>
          </cell>
        </row>
        <row r="2370">
          <cell r="A2370" t="str">
            <v>MUNICIPIO DE DABEIBA</v>
          </cell>
        </row>
        <row r="2371">
          <cell r="A2371" t="str">
            <v>MEJORAMIENTO DE LA RED VIAL URBANA EN EL BARRIO SAN ANTONIO DEL MUNICIPIO DE DABEIBA</v>
          </cell>
        </row>
        <row r="2373">
          <cell r="A2373" t="str">
            <v>ANÁLISIS DE PRECIOS UNITARIOS</v>
          </cell>
        </row>
        <row r="2375">
          <cell r="A2375" t="str">
            <v>ITEM</v>
          </cell>
          <cell r="B2375" t="str">
            <v>DESCRIPCIÓN</v>
          </cell>
          <cell r="E2375" t="str">
            <v>UNIDAD</v>
          </cell>
          <cell r="F2375" t="str">
            <v>CANTIDAD</v>
          </cell>
          <cell r="G2375" t="str">
            <v>COSTO DIRECTO</v>
          </cell>
        </row>
        <row r="2376">
          <cell r="A2376">
            <v>13.1</v>
          </cell>
          <cell r="B2376" t="str">
            <v>Construccion de muro de concreto reforado de 3000 psi (Incluye acero)</v>
          </cell>
          <cell r="E2376" t="str">
            <v>m3</v>
          </cell>
          <cell r="F2376">
            <v>15</v>
          </cell>
          <cell r="G2376">
            <v>2032723</v>
          </cell>
        </row>
        <row r="2378">
          <cell r="A2378" t="str">
            <v>1. COSTOS DIRECTOS</v>
          </cell>
        </row>
        <row r="2380">
          <cell r="A2380" t="str">
            <v>I. EQUIPO</v>
          </cell>
        </row>
        <row r="2381">
          <cell r="A2381" t="str">
            <v>CÓDIGO</v>
          </cell>
          <cell r="B2381" t="str">
            <v>DESCRIPCIÓN</v>
          </cell>
          <cell r="D2381" t="str">
            <v>UNIDAD</v>
          </cell>
          <cell r="E2381" t="str">
            <v>TARIFA</v>
          </cell>
          <cell r="F2381" t="str">
            <v>RENDIMIENTO</v>
          </cell>
          <cell r="G2381" t="str">
            <v>VR. UNITARIO</v>
          </cell>
        </row>
        <row r="2382">
          <cell r="A2382" t="str">
            <v>EQ034</v>
          </cell>
          <cell r="B2382" t="str">
            <v>Formaleta de cuerpo MH D=1,20m</v>
          </cell>
          <cell r="D2382" t="str">
            <v>DIA</v>
          </cell>
          <cell r="E2382">
            <v>150000</v>
          </cell>
          <cell r="F2382">
            <v>7</v>
          </cell>
          <cell r="G2382">
            <v>21428.571428571428</v>
          </cell>
        </row>
        <row r="2385">
          <cell r="A2385" t="str">
            <v>EQ001</v>
          </cell>
          <cell r="B2385" t="str">
            <v>HERRAMIENTA MENOR (5% DE LA MANO DE OBRA)</v>
          </cell>
          <cell r="D2385" t="str">
            <v>%</v>
          </cell>
          <cell r="E2385">
            <v>0.05</v>
          </cell>
          <cell r="F2385">
            <v>91071.75</v>
          </cell>
          <cell r="G2385">
            <v>4553.5875000000005</v>
          </cell>
        </row>
        <row r="2386">
          <cell r="F2386" t="str">
            <v>SUBTOTAL</v>
          </cell>
          <cell r="G2386">
            <v>25982.158928571429</v>
          </cell>
        </row>
        <row r="2388">
          <cell r="A2388" t="str">
            <v>II. MATERIALES</v>
          </cell>
        </row>
        <row r="2389">
          <cell r="A2389" t="str">
            <v>CÓDIGO</v>
          </cell>
          <cell r="B2389" t="str">
            <v>DESCRIPCIÓN</v>
          </cell>
          <cell r="C2389" t="str">
            <v>UNIDAD</v>
          </cell>
          <cell r="D2389" t="str">
            <v>CANTIDAD</v>
          </cell>
          <cell r="E2389" t="str">
            <v>DESP.</v>
          </cell>
          <cell r="F2389" t="str">
            <v>PRECIO UNIT.</v>
          </cell>
          <cell r="G2389" t="str">
            <v>VR. UNITARIO</v>
          </cell>
        </row>
        <row r="2390">
          <cell r="A2390" t="str">
            <v>MA003</v>
          </cell>
          <cell r="B2390" t="str">
            <v>CONCRETO 3000 PSI (210 MPA) EN OBRA</v>
          </cell>
          <cell r="C2390" t="str">
            <v>M3</v>
          </cell>
          <cell r="D2390">
            <v>1</v>
          </cell>
          <cell r="E2390">
            <v>0.05</v>
          </cell>
          <cell r="F2390">
            <v>524205</v>
          </cell>
          <cell r="G2390">
            <v>550415.25</v>
          </cell>
        </row>
        <row r="2391">
          <cell r="A2391" t="str">
            <v>MA028</v>
          </cell>
          <cell r="B2391" t="str">
            <v>ACERO REFUERZO G-60 FIGURADO</v>
          </cell>
          <cell r="C2391" t="str">
            <v>KG</v>
          </cell>
          <cell r="D2391">
            <v>180</v>
          </cell>
          <cell r="E2391">
            <v>0.05</v>
          </cell>
          <cell r="F2391">
            <v>7000</v>
          </cell>
          <cell r="G2391">
            <v>1323000</v>
          </cell>
        </row>
        <row r="2392">
          <cell r="A2392" t="str">
            <v>MA002</v>
          </cell>
          <cell r="B2392" t="str">
            <v>CONCRETO 2500 PSI (175 MPA) EN OBRA</v>
          </cell>
          <cell r="C2392" t="str">
            <v>M3</v>
          </cell>
          <cell r="D2392">
            <v>0.08</v>
          </cell>
          <cell r="E2392">
            <v>0.05</v>
          </cell>
          <cell r="F2392">
            <v>503018</v>
          </cell>
          <cell r="G2392">
            <v>42253.512000000002</v>
          </cell>
        </row>
        <row r="2393">
          <cell r="F2393" t="str">
            <v>SUBTOTAL</v>
          </cell>
          <cell r="G2393">
            <v>1915668.7620000001</v>
          </cell>
        </row>
        <row r="2395">
          <cell r="A2395" t="str">
            <v>III. TRANSPORTES</v>
          </cell>
        </row>
        <row r="2396">
          <cell r="A2396" t="str">
            <v>CÓDIGO</v>
          </cell>
          <cell r="B2396" t="str">
            <v>DESCRIPCIÓN</v>
          </cell>
          <cell r="C2396" t="str">
            <v>TIPO</v>
          </cell>
          <cell r="D2396" t="str">
            <v>VOLUMEN/PESO</v>
          </cell>
          <cell r="E2396" t="str">
            <v>DISTANCIA</v>
          </cell>
          <cell r="F2396" t="str">
            <v>TARIFA</v>
          </cell>
          <cell r="G2396" t="str">
            <v>VR. UNITARIO</v>
          </cell>
        </row>
        <row r="2397">
          <cell r="A2397" t="str">
            <v/>
          </cell>
          <cell r="E2397" t="str">
            <v/>
          </cell>
          <cell r="F2397" t="str">
            <v/>
          </cell>
          <cell r="G2397" t="str">
            <v/>
          </cell>
        </row>
        <row r="2398">
          <cell r="A2398" t="str">
            <v/>
          </cell>
          <cell r="E2398" t="str">
            <v/>
          </cell>
          <cell r="F2398" t="str">
            <v/>
          </cell>
          <cell r="G2398" t="str">
            <v/>
          </cell>
        </row>
        <row r="2399">
          <cell r="F2399" t="str">
            <v>SUBTOTAL</v>
          </cell>
          <cell r="G2399" t="str">
            <v/>
          </cell>
        </row>
        <row r="2401">
          <cell r="A2401" t="str">
            <v>IV. MANO DE OBRA</v>
          </cell>
        </row>
        <row r="2402">
          <cell r="A2402" t="str">
            <v>CÓDIGO</v>
          </cell>
          <cell r="B2402" t="str">
            <v>CARGOS PERSONAL</v>
          </cell>
          <cell r="D2402" t="str">
            <v>CANTIDAD</v>
          </cell>
          <cell r="E2402" t="str">
            <v>JORNAL TOTAL</v>
          </cell>
          <cell r="F2402" t="str">
            <v>RENDIMIENTO</v>
          </cell>
          <cell r="G2402" t="str">
            <v>VR. UNITARIO</v>
          </cell>
        </row>
        <row r="2403">
          <cell r="A2403" t="str">
            <v>MO030</v>
          </cell>
          <cell r="B2403" t="str">
            <v>OFICIAL HIERRO</v>
          </cell>
          <cell r="D2403">
            <v>1</v>
          </cell>
          <cell r="E2403">
            <v>153455</v>
          </cell>
          <cell r="F2403">
            <v>8</v>
          </cell>
          <cell r="G2403">
            <v>19181.875</v>
          </cell>
        </row>
        <row r="2404">
          <cell r="A2404" t="str">
            <v>MO031</v>
          </cell>
          <cell r="B2404" t="str">
            <v>AYUDANTE ENTENDIDO</v>
          </cell>
          <cell r="D2404">
            <v>2</v>
          </cell>
          <cell r="E2404">
            <v>104675</v>
          </cell>
          <cell r="F2404">
            <v>8</v>
          </cell>
          <cell r="G2404">
            <v>26168.75</v>
          </cell>
        </row>
        <row r="2405">
          <cell r="A2405" t="str">
            <v>MO028</v>
          </cell>
          <cell r="B2405" t="str">
            <v>OFICIAL DE OBRA BLANCA</v>
          </cell>
          <cell r="D2405">
            <v>1</v>
          </cell>
          <cell r="E2405">
            <v>153455</v>
          </cell>
          <cell r="F2405">
            <v>8</v>
          </cell>
          <cell r="G2405">
            <v>19181.875</v>
          </cell>
        </row>
        <row r="2406">
          <cell r="A2406" t="str">
            <v>MO019</v>
          </cell>
          <cell r="B2406" t="str">
            <v>MAESTRO PRIMERO</v>
          </cell>
          <cell r="D2406">
            <v>1</v>
          </cell>
          <cell r="E2406">
            <v>212314</v>
          </cell>
          <cell r="F2406">
            <v>8</v>
          </cell>
          <cell r="G2406">
            <v>26539.25</v>
          </cell>
        </row>
        <row r="2407">
          <cell r="F2407" t="str">
            <v>SUBTOTAL</v>
          </cell>
          <cell r="G2407">
            <v>91071.75</v>
          </cell>
        </row>
        <row r="2409">
          <cell r="A2409" t="str">
            <v>V. SERVICIOS</v>
          </cell>
        </row>
        <row r="2410">
          <cell r="A2410" t="str">
            <v>CÓDIGO</v>
          </cell>
          <cell r="B2410" t="str">
            <v>DESCRIPCIÓN</v>
          </cell>
          <cell r="D2410" t="str">
            <v>UNIDAD</v>
          </cell>
          <cell r="E2410" t="str">
            <v>CANTIDAD</v>
          </cell>
          <cell r="F2410" t="str">
            <v>PRECIO UNIT.</v>
          </cell>
          <cell r="G2410" t="str">
            <v>VR. UNITARIO</v>
          </cell>
        </row>
        <row r="2411">
          <cell r="A2411" t="str">
            <v/>
          </cell>
          <cell r="D2411" t="str">
            <v/>
          </cell>
          <cell r="F2411" t="str">
            <v/>
          </cell>
          <cell r="G2411" t="str">
            <v/>
          </cell>
        </row>
        <row r="2412">
          <cell r="A2412" t="str">
            <v/>
          </cell>
          <cell r="D2412" t="str">
            <v/>
          </cell>
          <cell r="F2412" t="str">
            <v/>
          </cell>
          <cell r="G2412" t="str">
            <v/>
          </cell>
        </row>
        <row r="2413">
          <cell r="F2413" t="str">
            <v>SUBTOTAL</v>
          </cell>
          <cell r="G2413" t="str">
            <v/>
          </cell>
        </row>
        <row r="2415">
          <cell r="A2415" t="str">
            <v>TOTAL COSTO DIRECTO</v>
          </cell>
          <cell r="G2415">
            <v>2032723</v>
          </cell>
        </row>
        <row r="2417">
          <cell r="A2417" t="str">
            <v>2. COSTOS INDIRECTOS</v>
          </cell>
        </row>
        <row r="2419">
          <cell r="A2419" t="str">
            <v>DESCRIPCIÓN</v>
          </cell>
          <cell r="F2419" t="str">
            <v>PORCENTAJE</v>
          </cell>
          <cell r="G2419" t="str">
            <v>VALOR TOTAL</v>
          </cell>
        </row>
        <row r="2420">
          <cell r="A2420" t="str">
            <v>ADMINISTRACION</v>
          </cell>
          <cell r="F2420">
            <v>0.33389999999999997</v>
          </cell>
          <cell r="G2420">
            <v>678726.20969999989</v>
          </cell>
        </row>
        <row r="2421">
          <cell r="A2421" t="str">
            <v>IMPREVISTOS</v>
          </cell>
          <cell r="F2421" t="str">
            <v/>
          </cell>
          <cell r="G2421" t="str">
            <v/>
          </cell>
        </row>
        <row r="2422">
          <cell r="A2422" t="str">
            <v>UTILIDADES</v>
          </cell>
          <cell r="F2422">
            <v>0.05</v>
          </cell>
          <cell r="G2422">
            <v>101636.15000000001</v>
          </cell>
        </row>
        <row r="2423">
          <cell r="A2423" t="str">
            <v>TOTAL COSTO INDIRECTO</v>
          </cell>
          <cell r="F2423">
            <v>0.38389999999999996</v>
          </cell>
          <cell r="G2423">
            <v>780362</v>
          </cell>
        </row>
        <row r="2425">
          <cell r="A2425" t="str">
            <v>PRECIO UNITARIO TOTAL APROXIMADO AL PESO</v>
          </cell>
          <cell r="G2425">
            <v>2813085</v>
          </cell>
        </row>
        <row r="2428">
          <cell r="B2428" t="str">
            <v>SECRETARIA DE PLANEACIÓN E INFRAESTRUCTURA</v>
          </cell>
        </row>
        <row r="2430">
          <cell r="D2430" t="str">
            <v>FIRMA RESPONSABLE</v>
          </cell>
        </row>
        <row r="2431">
          <cell r="A2431" t="str">
            <v>DEPARTAMENTO DE ANTIOQUIA</v>
          </cell>
          <cell r="F2431" t="str">
            <v/>
          </cell>
        </row>
        <row r="2432">
          <cell r="A2432" t="str">
            <v>MUNICIPIO DE DABEIBA</v>
          </cell>
        </row>
        <row r="2433">
          <cell r="A2433" t="str">
            <v>MEJORAMIENTO DE LA RED VIAL URBANA EN EL BARRIO SAN ANTONIO DEL MUNICIPIO DE DABEIBA</v>
          </cell>
        </row>
        <row r="2435">
          <cell r="A2435" t="str">
            <v>ANÁLISIS DE PRECIOS UNITARIOS</v>
          </cell>
        </row>
        <row r="2437">
          <cell r="A2437" t="str">
            <v>ITEM</v>
          </cell>
          <cell r="B2437" t="str">
            <v>DESCRIPCIÓN</v>
          </cell>
          <cell r="E2437" t="str">
            <v>UNIDAD</v>
          </cell>
          <cell r="F2437" t="str">
            <v>CANTIDAD</v>
          </cell>
          <cell r="G2437" t="str">
            <v>COSTO DIRECTO</v>
          </cell>
        </row>
        <row r="2438">
          <cell r="A2438">
            <v>14.1</v>
          </cell>
          <cell r="B2438" t="str">
            <v>Obra de descarga. Incluye disipador de energia. (Seccion ancho 1.5m, alto 1m)</v>
          </cell>
          <cell r="E2438" t="str">
            <v>ml</v>
          </cell>
          <cell r="F2438">
            <v>20</v>
          </cell>
          <cell r="G2438">
            <v>249323</v>
          </cell>
        </row>
        <row r="2440">
          <cell r="A2440" t="str">
            <v>1. COSTOS DIRECTOS</v>
          </cell>
        </row>
        <row r="2442">
          <cell r="A2442" t="str">
            <v>I. EQUIPO</v>
          </cell>
        </row>
        <row r="2443">
          <cell r="A2443" t="str">
            <v>CÓDIGO</v>
          </cell>
          <cell r="B2443" t="str">
            <v>DESCRIPCIÓN</v>
          </cell>
          <cell r="D2443" t="str">
            <v>UNIDAD</v>
          </cell>
          <cell r="E2443" t="str">
            <v>TARIFA</v>
          </cell>
          <cell r="F2443" t="str">
            <v>RENDIMIENTO</v>
          </cell>
          <cell r="G2443" t="str">
            <v>VR. UNITARIO</v>
          </cell>
        </row>
        <row r="2444">
          <cell r="A2444" t="str">
            <v>EQ034</v>
          </cell>
          <cell r="B2444" t="str">
            <v>Formaleta de cuerpo MH D=1,20m</v>
          </cell>
          <cell r="D2444" t="str">
            <v>DIA</v>
          </cell>
          <cell r="E2444">
            <v>150000</v>
          </cell>
          <cell r="F2444">
            <v>7</v>
          </cell>
          <cell r="G2444">
            <v>21428.571428571428</v>
          </cell>
        </row>
        <row r="2447">
          <cell r="A2447" t="str">
            <v>EQ001</v>
          </cell>
          <cell r="B2447" t="str">
            <v>HERRAMIENTA MENOR (5% DE LA MANO DE OBRA)</v>
          </cell>
          <cell r="D2447" t="str">
            <v>%</v>
          </cell>
          <cell r="E2447">
            <v>0.05</v>
          </cell>
          <cell r="F2447">
            <v>9070.125</v>
          </cell>
          <cell r="G2447">
            <v>453.50625000000002</v>
          </cell>
        </row>
        <row r="2448">
          <cell r="F2448" t="str">
            <v>SUBTOTAL</v>
          </cell>
          <cell r="G2448">
            <v>21882.077678571426</v>
          </cell>
        </row>
        <row r="2450">
          <cell r="A2450" t="str">
            <v>II. MATERIALES</v>
          </cell>
        </row>
        <row r="2451">
          <cell r="A2451" t="str">
            <v>CÓDIGO</v>
          </cell>
          <cell r="B2451" t="str">
            <v>DESCRIPCIÓN</v>
          </cell>
          <cell r="C2451" t="str">
            <v>UNIDAD</v>
          </cell>
          <cell r="D2451" t="str">
            <v>CANTIDAD</v>
          </cell>
          <cell r="E2451" t="str">
            <v>DESP.</v>
          </cell>
          <cell r="F2451" t="str">
            <v>PRECIO UNIT.</v>
          </cell>
          <cell r="G2451" t="str">
            <v>VR. UNITARIO</v>
          </cell>
        </row>
        <row r="2452">
          <cell r="A2452" t="str">
            <v>MA003</v>
          </cell>
          <cell r="B2452" t="str">
            <v>CONCRETO 3000 PSI (210 MPA) EN OBRA</v>
          </cell>
          <cell r="C2452" t="str">
            <v>M3</v>
          </cell>
          <cell r="D2452">
            <v>0.35</v>
          </cell>
          <cell r="E2452">
            <v>0.05</v>
          </cell>
          <cell r="F2452">
            <v>524205</v>
          </cell>
          <cell r="G2452">
            <v>192645.33749999999</v>
          </cell>
        </row>
        <row r="2453">
          <cell r="A2453" t="str">
            <v>MA028</v>
          </cell>
          <cell r="B2453" t="str">
            <v>ACERO REFUERZO G-60 FIGURADO</v>
          </cell>
          <cell r="C2453" t="str">
            <v>KG</v>
          </cell>
          <cell r="D2453">
            <v>3.5</v>
          </cell>
          <cell r="E2453">
            <v>0.05</v>
          </cell>
          <cell r="F2453">
            <v>7000</v>
          </cell>
          <cell r="G2453">
            <v>25725</v>
          </cell>
        </row>
        <row r="2454">
          <cell r="A2454" t="str">
            <v/>
          </cell>
          <cell r="G2454">
            <v>0</v>
          </cell>
        </row>
        <row r="2455">
          <cell r="F2455" t="str">
            <v>SUBTOTAL</v>
          </cell>
          <cell r="G2455">
            <v>218370.33749999999</v>
          </cell>
        </row>
        <row r="2457">
          <cell r="A2457" t="str">
            <v>III. TRANSPORTES</v>
          </cell>
        </row>
        <row r="2458">
          <cell r="A2458" t="str">
            <v>CÓDIGO</v>
          </cell>
          <cell r="B2458" t="str">
            <v>DESCRIPCIÓN</v>
          </cell>
          <cell r="C2458" t="str">
            <v>TIPO</v>
          </cell>
          <cell r="D2458" t="str">
            <v>VOLUMEN/PESO</v>
          </cell>
          <cell r="E2458" t="str">
            <v>DISTANCIA</v>
          </cell>
          <cell r="F2458" t="str">
            <v>TARIFA</v>
          </cell>
          <cell r="G2458" t="str">
            <v>VR. UNITARIO</v>
          </cell>
        </row>
        <row r="2459">
          <cell r="A2459" t="str">
            <v/>
          </cell>
          <cell r="E2459" t="str">
            <v/>
          </cell>
          <cell r="F2459" t="str">
            <v/>
          </cell>
          <cell r="G2459" t="str">
            <v/>
          </cell>
        </row>
        <row r="2460">
          <cell r="A2460" t="str">
            <v/>
          </cell>
          <cell r="E2460" t="str">
            <v/>
          </cell>
          <cell r="F2460" t="str">
            <v/>
          </cell>
          <cell r="G2460" t="str">
            <v/>
          </cell>
        </row>
        <row r="2461">
          <cell r="F2461" t="str">
            <v>SUBTOTAL</v>
          </cell>
          <cell r="G2461" t="str">
            <v/>
          </cell>
        </row>
        <row r="2463">
          <cell r="A2463" t="str">
            <v>IV. MANO DE OBRA</v>
          </cell>
        </row>
        <row r="2464">
          <cell r="A2464" t="str">
            <v>CÓDIGO</v>
          </cell>
          <cell r="B2464" t="str">
            <v>CARGOS PERSONAL</v>
          </cell>
          <cell r="D2464" t="str">
            <v>CANTIDAD</v>
          </cell>
          <cell r="E2464" t="str">
            <v>JORNAL TOTAL</v>
          </cell>
          <cell r="F2464" t="str">
            <v>RENDIMIENTO</v>
          </cell>
          <cell r="G2464" t="str">
            <v>VR. UNITARIO</v>
          </cell>
        </row>
        <row r="2465">
          <cell r="A2465" t="str">
            <v>MO030</v>
          </cell>
          <cell r="B2465" t="str">
            <v>OFICIAL HIERRO</v>
          </cell>
          <cell r="D2465">
            <v>1</v>
          </cell>
          <cell r="E2465">
            <v>153455</v>
          </cell>
          <cell r="F2465">
            <v>40</v>
          </cell>
          <cell r="G2465">
            <v>3836.375</v>
          </cell>
        </row>
        <row r="2466">
          <cell r="A2466" t="str">
            <v>MO031</v>
          </cell>
          <cell r="B2466" t="str">
            <v>AYUDANTE ENTENDIDO</v>
          </cell>
          <cell r="D2466">
            <v>2</v>
          </cell>
          <cell r="E2466">
            <v>104675</v>
          </cell>
          <cell r="F2466">
            <v>40</v>
          </cell>
          <cell r="G2466">
            <v>5233.75</v>
          </cell>
        </row>
        <row r="2467">
          <cell r="G2467" t="str">
            <v/>
          </cell>
        </row>
        <row r="2468">
          <cell r="G2468" t="str">
            <v/>
          </cell>
        </row>
        <row r="2469">
          <cell r="F2469" t="str">
            <v>SUBTOTAL</v>
          </cell>
          <cell r="G2469">
            <v>9070.125</v>
          </cell>
        </row>
        <row r="2471">
          <cell r="A2471" t="str">
            <v>V. SERVICIOS</v>
          </cell>
        </row>
        <row r="2472">
          <cell r="A2472" t="str">
            <v>CÓDIGO</v>
          </cell>
          <cell r="B2472" t="str">
            <v>DESCRIPCIÓN</v>
          </cell>
          <cell r="D2472" t="str">
            <v>UNIDAD</v>
          </cell>
          <cell r="E2472" t="str">
            <v>CANTIDAD</v>
          </cell>
          <cell r="F2472" t="str">
            <v>PRECIO UNIT.</v>
          </cell>
          <cell r="G2472" t="str">
            <v>VR. UNITARIO</v>
          </cell>
        </row>
        <row r="2473">
          <cell r="A2473" t="str">
            <v/>
          </cell>
          <cell r="D2473" t="str">
            <v/>
          </cell>
          <cell r="F2473" t="str">
            <v/>
          </cell>
          <cell r="G2473" t="str">
            <v/>
          </cell>
        </row>
        <row r="2474">
          <cell r="A2474" t="str">
            <v/>
          </cell>
          <cell r="D2474" t="str">
            <v/>
          </cell>
          <cell r="F2474" t="str">
            <v/>
          </cell>
          <cell r="G2474" t="str">
            <v/>
          </cell>
        </row>
        <row r="2475">
          <cell r="F2475" t="str">
            <v>SUBTOTAL</v>
          </cell>
          <cell r="G2475" t="str">
            <v/>
          </cell>
        </row>
        <row r="2477">
          <cell r="A2477" t="str">
            <v>TOTAL COSTO DIRECTO</v>
          </cell>
          <cell r="G2477">
            <v>249323</v>
          </cell>
        </row>
        <row r="2479">
          <cell r="A2479" t="str">
            <v>2. COSTOS INDIRECTOS</v>
          </cell>
        </row>
        <row r="2481">
          <cell r="A2481" t="str">
            <v>DESCRIPCIÓN</v>
          </cell>
          <cell r="F2481" t="str">
            <v>PORCENTAJE</v>
          </cell>
          <cell r="G2481" t="str">
            <v>VALOR TOTAL</v>
          </cell>
        </row>
        <row r="2482">
          <cell r="A2482" t="str">
            <v>ADMINISTRACION</v>
          </cell>
          <cell r="F2482">
            <v>0.33389999999999997</v>
          </cell>
          <cell r="G2482">
            <v>83248.949699999997</v>
          </cell>
        </row>
        <row r="2483">
          <cell r="A2483" t="str">
            <v>IMPREVISTOS</v>
          </cell>
          <cell r="F2483" t="str">
            <v/>
          </cell>
          <cell r="G2483" t="str">
            <v/>
          </cell>
        </row>
        <row r="2484">
          <cell r="A2484" t="str">
            <v>UTILIDADES</v>
          </cell>
          <cell r="F2484">
            <v>0.05</v>
          </cell>
          <cell r="G2484">
            <v>12466.150000000001</v>
          </cell>
        </row>
        <row r="2485">
          <cell r="A2485" t="str">
            <v>TOTAL COSTO INDIRECTO</v>
          </cell>
          <cell r="F2485">
            <v>0.38389999999999996</v>
          </cell>
          <cell r="G2485">
            <v>95715</v>
          </cell>
        </row>
        <row r="2487">
          <cell r="A2487" t="str">
            <v>PRECIO UNITARIO TOTAL APROXIMADO AL PESO</v>
          </cell>
          <cell r="G2487">
            <v>345038</v>
          </cell>
        </row>
        <row r="2490">
          <cell r="B2490" t="str">
            <v>SECRETARIA DE PLANEACIÓN E INFRAESTRUCTURA</v>
          </cell>
        </row>
        <row r="2492">
          <cell r="D2492" t="str">
            <v>FIRMA RESPONSABLE</v>
          </cell>
        </row>
        <row r="2493">
          <cell r="A2493" t="str">
            <v>DEPARTAMENTO DE ANTIOQUIA</v>
          </cell>
          <cell r="F2493" t="str">
            <v/>
          </cell>
        </row>
        <row r="2494">
          <cell r="A2494" t="str">
            <v>MUNICIPIO DE DABEIBA</v>
          </cell>
        </row>
        <row r="2495">
          <cell r="A2495" t="str">
            <v>MEJORAMIENTO DE LA RED VIAL URBANA EN EL BARRIO SAN ANTONIO DEL MUNICIPIO DE DABEIBA</v>
          </cell>
        </row>
        <row r="2497">
          <cell r="A2497" t="str">
            <v>ANÁLISIS DE PRECIOS UNITARIOS</v>
          </cell>
        </row>
        <row r="2499">
          <cell r="A2499" t="str">
            <v>ITEM</v>
          </cell>
          <cell r="B2499" t="str">
            <v>DESCRIPCIÓN</v>
          </cell>
          <cell r="E2499" t="str">
            <v>UNIDAD</v>
          </cell>
          <cell r="F2499" t="str">
            <v>CANTIDAD</v>
          </cell>
          <cell r="G2499" t="str">
            <v>COSTO DIRECTO</v>
          </cell>
        </row>
        <row r="2500">
          <cell r="A2500">
            <v>14.2</v>
          </cell>
          <cell r="B2500" t="str">
            <v>Sumidero transversal en concreto (seccion 0.60m x 0.6m x 0.10m)</v>
          </cell>
          <cell r="E2500" t="str">
            <v>ml</v>
          </cell>
          <cell r="F2500">
            <v>16</v>
          </cell>
          <cell r="G2500">
            <v>530604</v>
          </cell>
        </row>
        <row r="2502">
          <cell r="A2502" t="str">
            <v>1. COSTOS DIRECTOS</v>
          </cell>
        </row>
        <row r="2504">
          <cell r="A2504" t="str">
            <v>I. EQUIPO</v>
          </cell>
        </row>
        <row r="2505">
          <cell r="A2505" t="str">
            <v>CÓDIGO</v>
          </cell>
          <cell r="B2505" t="str">
            <v>DESCRIPCIÓN</v>
          </cell>
          <cell r="D2505" t="str">
            <v>UNIDAD</v>
          </cell>
          <cell r="E2505" t="str">
            <v>TARIFA</v>
          </cell>
          <cell r="F2505" t="str">
            <v>RENDIMIENTO</v>
          </cell>
          <cell r="G2505" t="str">
            <v>VR. UNITARIO</v>
          </cell>
        </row>
        <row r="2506">
          <cell r="A2506" t="str">
            <v>EQ034</v>
          </cell>
          <cell r="B2506" t="str">
            <v>Formaleta de cuerpo MH D=1,20m</v>
          </cell>
          <cell r="D2506" t="str">
            <v>DIA</v>
          </cell>
          <cell r="E2506">
            <v>150000</v>
          </cell>
          <cell r="F2506">
            <v>7</v>
          </cell>
          <cell r="G2506">
            <v>21428.571428571428</v>
          </cell>
        </row>
        <row r="2509">
          <cell r="A2509" t="str">
            <v>EQ001</v>
          </cell>
          <cell r="B2509" t="str">
            <v>HERRAMIENTA MENOR (5% DE LA MANO DE OBRA)</v>
          </cell>
          <cell r="D2509" t="str">
            <v>%</v>
          </cell>
          <cell r="E2509">
            <v>0.05</v>
          </cell>
          <cell r="F2509">
            <v>19071.833333333332</v>
          </cell>
          <cell r="G2509">
            <v>953.5916666666667</v>
          </cell>
        </row>
        <row r="2510">
          <cell r="F2510" t="str">
            <v>SUBTOTAL</v>
          </cell>
          <cell r="G2510">
            <v>22382.163095238095</v>
          </cell>
        </row>
        <row r="2512">
          <cell r="A2512" t="str">
            <v>II. MATERIALES</v>
          </cell>
        </row>
        <row r="2513">
          <cell r="A2513" t="str">
            <v>CÓDIGO</v>
          </cell>
          <cell r="B2513" t="str">
            <v>DESCRIPCIÓN</v>
          </cell>
          <cell r="C2513" t="str">
            <v>UNIDAD</v>
          </cell>
          <cell r="D2513" t="str">
            <v>CANTIDAD</v>
          </cell>
          <cell r="E2513" t="str">
            <v>DESP.</v>
          </cell>
          <cell r="F2513" t="str">
            <v>PRECIO UNIT.</v>
          </cell>
          <cell r="G2513" t="str">
            <v>VR. UNITARIO</v>
          </cell>
        </row>
        <row r="2514">
          <cell r="A2514" t="str">
            <v>MA003</v>
          </cell>
          <cell r="B2514" t="str">
            <v>CONCRETO 3000 PSI (210 MPA) EN OBRA</v>
          </cell>
          <cell r="C2514" t="str">
            <v>M3</v>
          </cell>
          <cell r="D2514">
            <v>0.18</v>
          </cell>
          <cell r="E2514">
            <v>0.05</v>
          </cell>
          <cell r="F2514">
            <v>524205</v>
          </cell>
          <cell r="G2514">
            <v>99074.744999999995</v>
          </cell>
        </row>
        <row r="2515">
          <cell r="A2515" t="str">
            <v>MA028</v>
          </cell>
          <cell r="B2515" t="str">
            <v>ACERO REFUERZO G-60 FIGURADO</v>
          </cell>
          <cell r="C2515" t="str">
            <v>KG</v>
          </cell>
          <cell r="D2515">
            <v>2.5</v>
          </cell>
          <cell r="E2515">
            <v>0.05</v>
          </cell>
          <cell r="F2515">
            <v>7000</v>
          </cell>
          <cell r="G2515">
            <v>18375</v>
          </cell>
        </row>
        <row r="2516">
          <cell r="A2516" t="str">
            <v>MA080</v>
          </cell>
          <cell r="B2516" t="str">
            <v>rejilla para sumidero transvedrsal</v>
          </cell>
          <cell r="C2516" t="str">
            <v>ml</v>
          </cell>
          <cell r="D2516">
            <v>1</v>
          </cell>
          <cell r="E2516">
            <v>0.05</v>
          </cell>
          <cell r="F2516">
            <v>354000</v>
          </cell>
          <cell r="G2516">
            <v>371700</v>
          </cell>
        </row>
        <row r="2517">
          <cell r="F2517" t="str">
            <v>SUBTOTAL</v>
          </cell>
          <cell r="G2517">
            <v>489149.745</v>
          </cell>
        </row>
        <row r="2519">
          <cell r="A2519" t="str">
            <v>III. TRANSPORTES</v>
          </cell>
        </row>
        <row r="2520">
          <cell r="A2520" t="str">
            <v>CÓDIGO</v>
          </cell>
          <cell r="B2520" t="str">
            <v>DESCRIPCIÓN</v>
          </cell>
          <cell r="C2520" t="str">
            <v>TIPO</v>
          </cell>
          <cell r="D2520" t="str">
            <v>VOLUMEN/PESO</v>
          </cell>
          <cell r="E2520" t="str">
            <v>DISTANCIA</v>
          </cell>
          <cell r="F2520" t="str">
            <v>TARIFA</v>
          </cell>
          <cell r="G2520" t="str">
            <v>VR. UNITARIO</v>
          </cell>
        </row>
        <row r="2521">
          <cell r="A2521" t="str">
            <v/>
          </cell>
          <cell r="E2521" t="str">
            <v/>
          </cell>
          <cell r="F2521" t="str">
            <v/>
          </cell>
          <cell r="G2521" t="str">
            <v/>
          </cell>
        </row>
        <row r="2522">
          <cell r="A2522" t="str">
            <v/>
          </cell>
          <cell r="E2522" t="str">
            <v/>
          </cell>
          <cell r="F2522" t="str">
            <v/>
          </cell>
          <cell r="G2522" t="str">
            <v/>
          </cell>
        </row>
        <row r="2523">
          <cell r="F2523" t="str">
            <v>SUBTOTAL</v>
          </cell>
          <cell r="G2523" t="str">
            <v/>
          </cell>
        </row>
        <row r="2525">
          <cell r="A2525" t="str">
            <v>IV. MANO DE OBRA</v>
          </cell>
        </row>
        <row r="2526">
          <cell r="A2526" t="str">
            <v>CÓDIGO</v>
          </cell>
          <cell r="B2526" t="str">
            <v>CARGOS PERSONAL</v>
          </cell>
          <cell r="D2526" t="str">
            <v>CANTIDAD</v>
          </cell>
          <cell r="E2526" t="str">
            <v>JORNAL TOTAL</v>
          </cell>
          <cell r="F2526" t="str">
            <v>RENDIMIENTO</v>
          </cell>
          <cell r="G2526" t="str">
            <v>VR. UNITARIO</v>
          </cell>
        </row>
        <row r="2527">
          <cell r="A2527" t="str">
            <v>MO030</v>
          </cell>
          <cell r="B2527" t="str">
            <v>OFICIAL HIERRO</v>
          </cell>
          <cell r="D2527">
            <v>1</v>
          </cell>
          <cell r="E2527">
            <v>153455</v>
          </cell>
          <cell r="F2527">
            <v>30</v>
          </cell>
          <cell r="G2527">
            <v>5115.166666666667</v>
          </cell>
        </row>
        <row r="2528">
          <cell r="A2528" t="str">
            <v>MO031</v>
          </cell>
          <cell r="B2528" t="str">
            <v>AYUDANTE ENTENDIDO</v>
          </cell>
          <cell r="D2528">
            <v>4</v>
          </cell>
          <cell r="E2528">
            <v>104675</v>
          </cell>
          <cell r="F2528">
            <v>30</v>
          </cell>
          <cell r="G2528">
            <v>13956.666666666666</v>
          </cell>
        </row>
        <row r="2529">
          <cell r="G2529" t="str">
            <v/>
          </cell>
        </row>
        <row r="2530">
          <cell r="G2530" t="str">
            <v/>
          </cell>
        </row>
        <row r="2531">
          <cell r="F2531" t="str">
            <v>SUBTOTAL</v>
          </cell>
          <cell r="G2531">
            <v>19071.833333333332</v>
          </cell>
        </row>
        <row r="2533">
          <cell r="A2533" t="str">
            <v>V. SERVICIOS</v>
          </cell>
        </row>
        <row r="2534">
          <cell r="A2534" t="str">
            <v>CÓDIGO</v>
          </cell>
          <cell r="B2534" t="str">
            <v>DESCRIPCIÓN</v>
          </cell>
          <cell r="D2534" t="str">
            <v>UNIDAD</v>
          </cell>
          <cell r="E2534" t="str">
            <v>CANTIDAD</v>
          </cell>
          <cell r="F2534" t="str">
            <v>PRECIO UNIT.</v>
          </cell>
          <cell r="G2534" t="str">
            <v>VR. UNITARIO</v>
          </cell>
        </row>
        <row r="2535">
          <cell r="A2535" t="str">
            <v/>
          </cell>
          <cell r="D2535" t="str">
            <v/>
          </cell>
          <cell r="F2535" t="str">
            <v/>
          </cell>
          <cell r="G2535" t="str">
            <v/>
          </cell>
        </row>
        <row r="2536">
          <cell r="A2536" t="str">
            <v/>
          </cell>
          <cell r="D2536" t="str">
            <v/>
          </cell>
          <cell r="F2536" t="str">
            <v/>
          </cell>
          <cell r="G2536" t="str">
            <v/>
          </cell>
        </row>
        <row r="2537">
          <cell r="F2537" t="str">
            <v>SUBTOTAL</v>
          </cell>
          <cell r="G2537" t="str">
            <v/>
          </cell>
        </row>
        <row r="2539">
          <cell r="A2539" t="str">
            <v>TOTAL COSTO DIRECTO</v>
          </cell>
          <cell r="G2539">
            <v>530604</v>
          </cell>
        </row>
        <row r="2541">
          <cell r="A2541" t="str">
            <v>2. COSTOS INDIRECTOS</v>
          </cell>
        </row>
        <row r="2543">
          <cell r="A2543" t="str">
            <v>DESCRIPCIÓN</v>
          </cell>
          <cell r="F2543" t="str">
            <v>PORCENTAJE</v>
          </cell>
          <cell r="G2543" t="str">
            <v>VALOR TOTAL</v>
          </cell>
        </row>
        <row r="2544">
          <cell r="A2544" t="str">
            <v>ADMINISTRACION</v>
          </cell>
          <cell r="F2544">
            <v>0.33389999999999997</v>
          </cell>
          <cell r="G2544">
            <v>177168.67559999999</v>
          </cell>
        </row>
        <row r="2545">
          <cell r="A2545" t="str">
            <v>IMPREVISTOS</v>
          </cell>
          <cell r="F2545" t="str">
            <v/>
          </cell>
          <cell r="G2545" t="str">
            <v/>
          </cell>
        </row>
        <row r="2546">
          <cell r="A2546" t="str">
            <v>UTILIDADES</v>
          </cell>
          <cell r="F2546">
            <v>0.05</v>
          </cell>
          <cell r="G2546">
            <v>26530.2</v>
          </cell>
        </row>
        <row r="2547">
          <cell r="A2547" t="str">
            <v>TOTAL COSTO INDIRECTO</v>
          </cell>
          <cell r="F2547">
            <v>0.38389999999999996</v>
          </cell>
          <cell r="G2547">
            <v>203699</v>
          </cell>
        </row>
        <row r="2549">
          <cell r="A2549" t="str">
            <v>PRECIO UNITARIO TOTAL APROXIMADO AL PESO</v>
          </cell>
          <cell r="G2549">
            <v>734303</v>
          </cell>
        </row>
        <row r="2552">
          <cell r="B2552" t="str">
            <v>SECRETARIA DE PLANEACIÓN E INFRAESTRUCTURA</v>
          </cell>
        </row>
        <row r="2554">
          <cell r="D2554" t="str">
            <v>FIRMA RESPONSABLE</v>
          </cell>
        </row>
      </sheetData>
      <sheetData sheetId="3">
        <row r="1">
          <cell r="A1" t="str">
            <v>DEPARTAMENTO DE ANTIOQUIA</v>
          </cell>
          <cell r="E1" t="str">
            <v/>
          </cell>
        </row>
        <row r="2">
          <cell r="A2" t="str">
            <v>MUNICIPIO DE DABEIBA</v>
          </cell>
        </row>
        <row r="3">
          <cell r="A3" t="str">
            <v>MEJORAMIENTO DE LA RED VIAL URBANA EN EL BARRIO SAN ANTONIO DEL MUNICIPIO DE DABEIBA</v>
          </cell>
        </row>
        <row r="5">
          <cell r="A5" t="str">
            <v>MEMORIA DE CANTIDADES</v>
          </cell>
        </row>
        <row r="7">
          <cell r="A7" t="str">
            <v>ITEM</v>
          </cell>
          <cell r="B7" t="str">
            <v>DESCRIPCIÓN</v>
          </cell>
          <cell r="G7" t="str">
            <v>UNIDAD</v>
          </cell>
          <cell r="H7" t="str">
            <v>CANTIDAD</v>
          </cell>
        </row>
        <row r="8">
          <cell r="A8" t="str">
            <v>1.1</v>
          </cell>
          <cell r="B8" t="str">
            <v>Localización, trazado y replanteo por m2 (Incluye equipo de precisión)</v>
          </cell>
          <cell r="G8" t="str">
            <v>m2</v>
          </cell>
          <cell r="H8">
            <v>2291</v>
          </cell>
        </row>
        <row r="10">
          <cell r="A10" t="str">
            <v>DETALLE</v>
          </cell>
          <cell r="C10" t="str">
            <v>FACTOR</v>
          </cell>
          <cell r="D10" t="str">
            <v>CANTIDAD</v>
          </cell>
          <cell r="E10" t="str">
            <v>A (ML)</v>
          </cell>
          <cell r="F10" t="str">
            <v>B(M2)</v>
          </cell>
          <cell r="G10" t="str">
            <v>C(M3)</v>
          </cell>
          <cell r="H10" t="str">
            <v>TOTAL</v>
          </cell>
        </row>
        <row r="11">
          <cell r="A11">
            <v>1</v>
          </cell>
          <cell r="B11" t="str">
            <v xml:space="preserve">Area de la calzada a intervenir, </v>
          </cell>
          <cell r="C11">
            <v>1</v>
          </cell>
          <cell r="D11">
            <v>1</v>
          </cell>
          <cell r="E11">
            <v>5.5</v>
          </cell>
          <cell r="F11">
            <v>290</v>
          </cell>
          <cell r="G11">
            <v>1</v>
          </cell>
          <cell r="H11">
            <v>1595</v>
          </cell>
        </row>
        <row r="12">
          <cell r="A12">
            <v>2</v>
          </cell>
          <cell r="B12" t="str">
            <v xml:space="preserve">Area de anden, </v>
          </cell>
          <cell r="C12">
            <v>1</v>
          </cell>
          <cell r="D12">
            <v>1</v>
          </cell>
          <cell r="E12">
            <v>2.4</v>
          </cell>
          <cell r="F12">
            <v>290</v>
          </cell>
          <cell r="G12">
            <v>1</v>
          </cell>
          <cell r="H12">
            <v>696</v>
          </cell>
        </row>
        <row r="13">
          <cell r="H13" t="str">
            <v/>
          </cell>
        </row>
        <row r="14">
          <cell r="H14" t="str">
            <v/>
          </cell>
        </row>
        <row r="15">
          <cell r="H15" t="str">
            <v/>
          </cell>
        </row>
        <row r="16">
          <cell r="A16" t="str">
            <v xml:space="preserve">TOTAL CANTIDAD ITEM </v>
          </cell>
          <cell r="H16">
            <v>2291</v>
          </cell>
        </row>
        <row r="19">
          <cell r="A19" t="str">
            <v>DEPARTAMENTO DE ANTIOQUIA</v>
          </cell>
          <cell r="E19" t="str">
            <v/>
          </cell>
        </row>
        <row r="20">
          <cell r="A20" t="str">
            <v>MUNICIPIO DE DABEIBA</v>
          </cell>
        </row>
        <row r="21">
          <cell r="A21" t="str">
            <v>MEJORAMIENTO DE LA RED VIAL URBANA EN EL BARRIO SAN ANTONIO DEL MUNICIPIO DE DABEIBA</v>
          </cell>
        </row>
        <row r="23">
          <cell r="A23" t="str">
            <v>MEMORIA DE CANTIDADES</v>
          </cell>
        </row>
        <row r="25">
          <cell r="A25" t="str">
            <v>ITEM</v>
          </cell>
          <cell r="B25" t="str">
            <v>DESCRIPCIÓN</v>
          </cell>
          <cell r="G25" t="str">
            <v>UNIDAD</v>
          </cell>
          <cell r="H25" t="str">
            <v>CANTIDAD</v>
          </cell>
        </row>
        <row r="26">
          <cell r="A26" t="str">
            <v>2.1</v>
          </cell>
          <cell r="B26" t="str">
            <v>Demolición de pavimento rígido, de cualquier resistencia y espesor. Incluye retiro de entresuelo adherido, de acero de refuerzo, de cordones, el cargue y disposición final. Se debe realizar recuperación de los materiales aprovechables o su transporte hasta el sitio que indique la interventoría.  No incluye transporte.</v>
          </cell>
          <cell r="G26" t="str">
            <v>m3</v>
          </cell>
          <cell r="H26">
            <v>60</v>
          </cell>
        </row>
        <row r="28">
          <cell r="A28" t="str">
            <v>DETALLE</v>
          </cell>
          <cell r="C28" t="str">
            <v>FACTOR</v>
          </cell>
          <cell r="D28" t="str">
            <v>CANTIDAD</v>
          </cell>
          <cell r="E28" t="str">
            <v>A (ML)</v>
          </cell>
          <cell r="F28" t="str">
            <v>B(M2)</v>
          </cell>
          <cell r="G28" t="str">
            <v>C(M3)</v>
          </cell>
          <cell r="H28" t="str">
            <v>TOTAL</v>
          </cell>
        </row>
        <row r="29">
          <cell r="A29">
            <v>1</v>
          </cell>
          <cell r="B29" t="str">
            <v>Volumen de la calzada a intervenir</v>
          </cell>
          <cell r="C29">
            <v>1</v>
          </cell>
          <cell r="D29">
            <v>1</v>
          </cell>
          <cell r="E29">
            <v>6</v>
          </cell>
          <cell r="F29">
            <v>50</v>
          </cell>
          <cell r="G29">
            <v>0.2</v>
          </cell>
          <cell r="H29">
            <v>60</v>
          </cell>
        </row>
        <row r="30">
          <cell r="H30" t="str">
            <v/>
          </cell>
        </row>
        <row r="31">
          <cell r="H31" t="str">
            <v/>
          </cell>
        </row>
        <row r="32">
          <cell r="A32" t="str">
            <v xml:space="preserve">TOTAL CANTIDAD ITEM </v>
          </cell>
          <cell r="H32">
            <v>60</v>
          </cell>
        </row>
        <row r="35">
          <cell r="A35" t="str">
            <v>DEPARTAMENTO DE ANTIOQUIA</v>
          </cell>
          <cell r="E35" t="str">
            <v/>
          </cell>
        </row>
        <row r="36">
          <cell r="A36" t="str">
            <v>MUNICIPIO DE DABEIBA</v>
          </cell>
        </row>
        <row r="37">
          <cell r="A37" t="str">
            <v>MEJORAMIENTO DE LA RED VIAL URBANA EN EL BARRIO SAN ANTONIO DEL MUNICIPIO DE DABEIBA</v>
          </cell>
        </row>
        <row r="39">
          <cell r="A39" t="str">
            <v>MEMORIA DE CANTIDADES</v>
          </cell>
        </row>
        <row r="41">
          <cell r="A41" t="str">
            <v>ITEM</v>
          </cell>
          <cell r="B41" t="str">
            <v>DESCRIPCIÓN</v>
          </cell>
          <cell r="G41" t="str">
            <v>UNIDAD</v>
          </cell>
          <cell r="H41" t="str">
            <v>CANTIDAD</v>
          </cell>
        </row>
        <row r="42">
          <cell r="A42" t="str">
            <v>2.2</v>
          </cell>
          <cell r="B42" t="str">
            <v>Corte de pavimento hidraulico</v>
          </cell>
          <cell r="G42" t="str">
            <v>ml</v>
          </cell>
          <cell r="H42">
            <v>20</v>
          </cell>
        </row>
        <row r="44">
          <cell r="A44" t="str">
            <v>DETALLE</v>
          </cell>
          <cell r="C44" t="str">
            <v>FACTOR</v>
          </cell>
          <cell r="D44" t="str">
            <v>CANTIDAD</v>
          </cell>
          <cell r="E44" t="str">
            <v>A (ML)</v>
          </cell>
          <cell r="F44" t="str">
            <v>B(M2)</v>
          </cell>
          <cell r="G44" t="str">
            <v>C(M3)</v>
          </cell>
          <cell r="H44" t="str">
            <v>TOTAL</v>
          </cell>
        </row>
        <row r="45">
          <cell r="A45">
            <v>1</v>
          </cell>
          <cell r="B45" t="str">
            <v>Corte en el empalme con pavimento existente</v>
          </cell>
          <cell r="C45">
            <v>1</v>
          </cell>
          <cell r="D45">
            <v>1</v>
          </cell>
          <cell r="E45">
            <v>20</v>
          </cell>
          <cell r="F45">
            <v>1</v>
          </cell>
          <cell r="G45">
            <v>1</v>
          </cell>
          <cell r="H45">
            <v>20</v>
          </cell>
        </row>
        <row r="46">
          <cell r="H46" t="str">
            <v/>
          </cell>
        </row>
        <row r="47">
          <cell r="H47" t="str">
            <v/>
          </cell>
        </row>
        <row r="48">
          <cell r="H48" t="str">
            <v/>
          </cell>
        </row>
        <row r="49">
          <cell r="H49" t="str">
            <v/>
          </cell>
        </row>
        <row r="50">
          <cell r="H50" t="str">
            <v/>
          </cell>
        </row>
        <row r="51">
          <cell r="A51" t="str">
            <v xml:space="preserve">TOTAL CANTIDAD ITEM </v>
          </cell>
          <cell r="H51">
            <v>20</v>
          </cell>
        </row>
        <row r="54">
          <cell r="A54" t="str">
            <v>DEPARTAMENTO DE ANTIOQUIA</v>
          </cell>
          <cell r="E54" t="str">
            <v/>
          </cell>
        </row>
        <row r="55">
          <cell r="A55" t="str">
            <v>MUNICIPIO DE DABEIBA</v>
          </cell>
        </row>
        <row r="56">
          <cell r="A56" t="str">
            <v>MEJORAMIENTO DE LA RED VIAL URBANA EN EL BARRIO SAN ANTONIO DEL MUNICIPIO DE DABEIBA</v>
          </cell>
        </row>
        <row r="58">
          <cell r="A58" t="str">
            <v>MEMORIA DE CANTIDADES</v>
          </cell>
        </row>
        <row r="60">
          <cell r="A60" t="str">
            <v>ITEM</v>
          </cell>
          <cell r="B60" t="str">
            <v>DESCRIPCIÓN</v>
          </cell>
          <cell r="G60" t="str">
            <v>UNIDAD</v>
          </cell>
          <cell r="H60" t="str">
            <v>CANTIDAD</v>
          </cell>
        </row>
        <row r="61">
          <cell r="A61" t="str">
            <v>2.3</v>
          </cell>
          <cell r="B61" t="str">
            <v>Demolición de muros en mampostería de cualquier espesor, incluye cargue y disposición final. No incluye transporte.</v>
          </cell>
          <cell r="G61" t="str">
            <v>m3</v>
          </cell>
          <cell r="H61">
            <v>3</v>
          </cell>
        </row>
        <row r="63">
          <cell r="A63" t="str">
            <v>DETALLE</v>
          </cell>
          <cell r="C63" t="str">
            <v>FACTOR</v>
          </cell>
          <cell r="D63" t="str">
            <v>CANTIDAD</v>
          </cell>
          <cell r="E63" t="str">
            <v>A (ML)</v>
          </cell>
          <cell r="F63" t="str">
            <v>B(M2)</v>
          </cell>
          <cell r="G63" t="str">
            <v>C(M3)</v>
          </cell>
          <cell r="H63" t="str">
            <v>TOTAL</v>
          </cell>
        </row>
        <row r="64">
          <cell r="A64">
            <v>1</v>
          </cell>
          <cell r="B64" t="str">
            <v xml:space="preserve">Muro Longitudinal Jardineras </v>
          </cell>
          <cell r="C64">
            <v>1</v>
          </cell>
          <cell r="D64">
            <v>1</v>
          </cell>
          <cell r="E64">
            <v>60</v>
          </cell>
          <cell r="F64">
            <v>0.3</v>
          </cell>
          <cell r="G64">
            <v>0.15</v>
          </cell>
          <cell r="H64">
            <v>2.6999999999999997</v>
          </cell>
        </row>
        <row r="65">
          <cell r="H65" t="str">
            <v/>
          </cell>
        </row>
        <row r="66">
          <cell r="H66" t="str">
            <v/>
          </cell>
        </row>
        <row r="67">
          <cell r="H67" t="str">
            <v/>
          </cell>
        </row>
        <row r="68">
          <cell r="H68" t="str">
            <v/>
          </cell>
        </row>
        <row r="69">
          <cell r="A69" t="str">
            <v xml:space="preserve">TOTAL CANTIDAD ITEM </v>
          </cell>
          <cell r="H69">
            <v>3</v>
          </cell>
        </row>
        <row r="72">
          <cell r="A72" t="str">
            <v>DEPARTAMENTO DE ANTIOQUIA</v>
          </cell>
          <cell r="E72" t="str">
            <v/>
          </cell>
        </row>
        <row r="73">
          <cell r="A73" t="str">
            <v>MUNICIPIO DE DABEIBA</v>
          </cell>
        </row>
        <row r="74">
          <cell r="A74" t="str">
            <v>MEJORAMIENTO DE LA RED VIAL URBANA EN EL BARRIO SAN ANTONIO DEL MUNICIPIO DE DABEIBA</v>
          </cell>
        </row>
        <row r="76">
          <cell r="A76" t="str">
            <v>MEMORIA DE CANTIDADES</v>
          </cell>
        </row>
        <row r="78">
          <cell r="A78" t="str">
            <v>ITEM</v>
          </cell>
          <cell r="B78" t="str">
            <v>DESCRIPCIÓN</v>
          </cell>
          <cell r="G78" t="str">
            <v>UNIDAD</v>
          </cell>
          <cell r="H78" t="str">
            <v>CANTIDAD</v>
          </cell>
        </row>
        <row r="79">
          <cell r="A79" t="str">
            <v>2.4</v>
          </cell>
          <cell r="B79" t="str">
            <v>Demolición de anden en concreto de cualquier resistencia y espesor max=0,10m. Incluye retiro de entresuelo adherido, de acero de refuerzo, el cargue y disposición final. No incluye transporte</v>
          </cell>
          <cell r="G79" t="str">
            <v>m3</v>
          </cell>
          <cell r="H79">
            <v>9</v>
          </cell>
        </row>
        <row r="81">
          <cell r="A81" t="str">
            <v>DETALLE</v>
          </cell>
          <cell r="C81" t="str">
            <v>FACTOR</v>
          </cell>
          <cell r="D81" t="str">
            <v>CANTIDAD</v>
          </cell>
          <cell r="E81" t="str">
            <v>A (ML)</v>
          </cell>
          <cell r="F81" t="str">
            <v>B(M2)</v>
          </cell>
          <cell r="G81" t="str">
            <v>C(M3)</v>
          </cell>
          <cell r="H81" t="str">
            <v>TOTAL</v>
          </cell>
        </row>
        <row r="82">
          <cell r="A82">
            <v>1</v>
          </cell>
          <cell r="B82" t="str">
            <v xml:space="preserve">Anden costado izquierdo Abscisa </v>
          </cell>
          <cell r="C82">
            <v>1</v>
          </cell>
          <cell r="D82">
            <v>1</v>
          </cell>
          <cell r="E82">
            <v>50</v>
          </cell>
          <cell r="F82">
            <v>1.2</v>
          </cell>
          <cell r="G82">
            <v>0.15</v>
          </cell>
          <cell r="H82">
            <v>9</v>
          </cell>
        </row>
        <row r="83">
          <cell r="H83" t="str">
            <v/>
          </cell>
        </row>
        <row r="84">
          <cell r="H84" t="str">
            <v/>
          </cell>
        </row>
        <row r="85">
          <cell r="H85" t="str">
            <v/>
          </cell>
        </row>
        <row r="86">
          <cell r="A86" t="str">
            <v xml:space="preserve">TOTAL CANTIDAD ITEM </v>
          </cell>
          <cell r="H86">
            <v>9</v>
          </cell>
        </row>
        <row r="89">
          <cell r="A89" t="str">
            <v>DEPARTAMENTO DE ANTIOQUIA</v>
          </cell>
          <cell r="E89" t="str">
            <v/>
          </cell>
        </row>
        <row r="90">
          <cell r="A90" t="str">
            <v>MUNICIPIO DE DABEIBA</v>
          </cell>
        </row>
        <row r="91">
          <cell r="A91" t="str">
            <v>MEJORAMIENTO DE LA RED VIAL URBANA EN EL BARRIO SAN ANTONIO DEL MUNICIPIO DE DABEIBA</v>
          </cell>
        </row>
        <row r="93">
          <cell r="A93" t="str">
            <v>MEMORIA DE CANTIDADES</v>
          </cell>
        </row>
        <row r="95">
          <cell r="A95" t="str">
            <v>ITEM</v>
          </cell>
          <cell r="B95" t="str">
            <v>DESCRIPCIÓN</v>
          </cell>
          <cell r="G95" t="str">
            <v>UNIDAD</v>
          </cell>
          <cell r="H95" t="str">
            <v>CANTIDAD</v>
          </cell>
        </row>
        <row r="96">
          <cell r="A96" t="str">
            <v>3.1</v>
          </cell>
          <cell r="B96" t="str">
            <v>Excavación en material común de la explanación, canales y prestamos. Incluye cargue y disposición final del material sobrante. No incluye transporte.</v>
          </cell>
          <cell r="G96" t="str">
            <v>m3</v>
          </cell>
          <cell r="H96">
            <v>583</v>
          </cell>
        </row>
        <row r="98">
          <cell r="A98" t="str">
            <v>DETALLE</v>
          </cell>
          <cell r="C98" t="str">
            <v>FACTOR</v>
          </cell>
          <cell r="D98" t="str">
            <v>CANTIDAD</v>
          </cell>
          <cell r="E98" t="str">
            <v>A (ML)</v>
          </cell>
          <cell r="F98" t="str">
            <v>B(M2)</v>
          </cell>
          <cell r="G98" t="str">
            <v>C(M3)</v>
          </cell>
          <cell r="H98" t="str">
            <v>TOTAL</v>
          </cell>
        </row>
        <row r="99">
          <cell r="A99">
            <v>1</v>
          </cell>
          <cell r="B99" t="str">
            <v xml:space="preserve">Area de la calzada a intervenir, </v>
          </cell>
          <cell r="C99">
            <v>1</v>
          </cell>
          <cell r="D99">
            <v>1</v>
          </cell>
          <cell r="E99">
            <v>5.5</v>
          </cell>
          <cell r="F99">
            <v>290</v>
          </cell>
          <cell r="G99">
            <v>0.3</v>
          </cell>
          <cell r="H99">
            <v>478.5</v>
          </cell>
        </row>
        <row r="100">
          <cell r="A100">
            <v>2</v>
          </cell>
          <cell r="B100" t="str">
            <v xml:space="preserve">Area de anden, </v>
          </cell>
          <cell r="C100">
            <v>1</v>
          </cell>
          <cell r="D100">
            <v>1</v>
          </cell>
          <cell r="E100">
            <v>2.4</v>
          </cell>
          <cell r="F100">
            <v>290</v>
          </cell>
          <cell r="G100">
            <v>0.15</v>
          </cell>
          <cell r="H100">
            <v>104.39999999999999</v>
          </cell>
        </row>
        <row r="101">
          <cell r="H101" t="str">
            <v/>
          </cell>
        </row>
        <row r="102">
          <cell r="H102" t="str">
            <v/>
          </cell>
        </row>
        <row r="103">
          <cell r="A103" t="str">
            <v xml:space="preserve">TOTAL CANTIDAD ITEM </v>
          </cell>
          <cell r="H103">
            <v>583</v>
          </cell>
        </row>
        <row r="105">
          <cell r="A105" t="str">
            <v>DEPARTAMENTO DE ANTIOQUIA</v>
          </cell>
          <cell r="E105" t="str">
            <v/>
          </cell>
        </row>
        <row r="106">
          <cell r="A106" t="str">
            <v>MUNICIPIO DE DABEIBA</v>
          </cell>
        </row>
        <row r="107">
          <cell r="A107" t="str">
            <v>MEJORAMIENTO DE LA RED VIAL URBANA EN EL BARRIO SAN ANTONIO DEL MUNICIPIO DE DABEIBA</v>
          </cell>
        </row>
        <row r="109">
          <cell r="A109" t="str">
            <v>MEMORIA DE CANTIDADES</v>
          </cell>
        </row>
        <row r="111">
          <cell r="A111" t="str">
            <v>ITEM</v>
          </cell>
          <cell r="B111" t="str">
            <v>DESCRIPCIÓN</v>
          </cell>
          <cell r="G111" t="str">
            <v>UNIDAD</v>
          </cell>
          <cell r="H111" t="str">
            <v>CANTIDAD</v>
          </cell>
        </row>
        <row r="112">
          <cell r="A112" t="str">
            <v>3.2</v>
          </cell>
          <cell r="B112" t="str">
            <v>Excavación mecanica en brecha en  material heterogeneo de 0 -2m  bajo cualquier grado de humedad. Incluye cargue y disposición final de los materiales. No incluye transporte</v>
          </cell>
          <cell r="G112" t="str">
            <v>m3</v>
          </cell>
          <cell r="H112">
            <v>462</v>
          </cell>
        </row>
        <row r="114">
          <cell r="A114" t="str">
            <v>DETALLE</v>
          </cell>
          <cell r="C114" t="str">
            <v>FACTOR</v>
          </cell>
          <cell r="D114" t="str">
            <v>H1</v>
          </cell>
          <cell r="E114" t="str">
            <v>H2</v>
          </cell>
          <cell r="F114" t="str">
            <v>PROMEDIO</v>
          </cell>
          <cell r="G114" t="str">
            <v>L</v>
          </cell>
          <cell r="H114" t="str">
            <v>TOTAL</v>
          </cell>
        </row>
        <row r="115">
          <cell r="A115">
            <v>1</v>
          </cell>
          <cell r="B115" t="str">
            <v>Excavación MH P51 - MH P50</v>
          </cell>
          <cell r="C115">
            <v>1</v>
          </cell>
          <cell r="D115">
            <v>1.2</v>
          </cell>
          <cell r="E115">
            <v>1.45</v>
          </cell>
          <cell r="F115">
            <v>1.325</v>
          </cell>
          <cell r="G115">
            <v>52.29</v>
          </cell>
          <cell r="H115">
            <v>69.28425</v>
          </cell>
        </row>
        <row r="116">
          <cell r="A116">
            <v>2</v>
          </cell>
          <cell r="B116" t="str">
            <v>Excavación MH P50 - MH P49</v>
          </cell>
          <cell r="C116">
            <v>1</v>
          </cell>
          <cell r="D116">
            <v>1.45</v>
          </cell>
          <cell r="E116">
            <v>1.98</v>
          </cell>
          <cell r="F116">
            <v>1.7149999999999999</v>
          </cell>
          <cell r="G116">
            <v>58.98</v>
          </cell>
          <cell r="H116">
            <v>101.15069999999999</v>
          </cell>
        </row>
        <row r="117">
          <cell r="A117">
            <v>3</v>
          </cell>
          <cell r="B117" t="str">
            <v>Excavación MH P49 - MH P48</v>
          </cell>
          <cell r="C117">
            <v>1</v>
          </cell>
          <cell r="D117">
            <v>1.98</v>
          </cell>
          <cell r="E117">
            <v>2.2799999999999998</v>
          </cell>
          <cell r="F117">
            <v>2.13</v>
          </cell>
          <cell r="G117">
            <v>21.39</v>
          </cell>
          <cell r="H117">
            <v>42.78</v>
          </cell>
        </row>
        <row r="118">
          <cell r="A118">
            <v>4</v>
          </cell>
          <cell r="B118" t="str">
            <v>Excavación MH P45A - MH P46A</v>
          </cell>
          <cell r="C118">
            <v>1</v>
          </cell>
          <cell r="D118">
            <v>1.5</v>
          </cell>
          <cell r="E118">
            <v>1.83</v>
          </cell>
          <cell r="F118">
            <v>1.665</v>
          </cell>
          <cell r="G118">
            <v>51.69</v>
          </cell>
          <cell r="H118">
            <v>86.063850000000002</v>
          </cell>
        </row>
        <row r="119">
          <cell r="A119">
            <v>5</v>
          </cell>
          <cell r="B119" t="str">
            <v>Excavación MH P46A - MH P48</v>
          </cell>
          <cell r="C119">
            <v>1</v>
          </cell>
          <cell r="D119">
            <v>1.83</v>
          </cell>
          <cell r="E119">
            <v>2.2799999999999998</v>
          </cell>
          <cell r="F119">
            <v>2.0549999999999997</v>
          </cell>
          <cell r="G119">
            <v>63.24</v>
          </cell>
          <cell r="H119">
            <v>126.48</v>
          </cell>
        </row>
        <row r="120">
          <cell r="A120">
            <v>6</v>
          </cell>
          <cell r="B120" t="str">
            <v>Excavación MH P48 - MH P47</v>
          </cell>
          <cell r="C120">
            <v>1</v>
          </cell>
          <cell r="D120">
            <v>2.2799999999999998</v>
          </cell>
          <cell r="E120">
            <v>2.2810000000000001</v>
          </cell>
          <cell r="F120">
            <v>2.2805</v>
          </cell>
          <cell r="G120">
            <v>5.3</v>
          </cell>
          <cell r="H120">
            <v>10.6</v>
          </cell>
        </row>
        <row r="121">
          <cell r="A121">
            <v>7</v>
          </cell>
          <cell r="B121" t="str">
            <v xml:space="preserve">Excavación MH P51  </v>
          </cell>
          <cell r="C121">
            <v>1</v>
          </cell>
          <cell r="D121">
            <v>1.4</v>
          </cell>
          <cell r="G121">
            <v>1.2</v>
          </cell>
          <cell r="H121">
            <v>1.5833626974092556</v>
          </cell>
        </row>
        <row r="122">
          <cell r="A122">
            <v>8</v>
          </cell>
          <cell r="B122" t="str">
            <v xml:space="preserve">Excavación MH P50  </v>
          </cell>
          <cell r="C122">
            <v>1</v>
          </cell>
          <cell r="D122">
            <v>1.65</v>
          </cell>
          <cell r="G122">
            <v>1.2</v>
          </cell>
          <cell r="H122">
            <v>1.8661060362323372</v>
          </cell>
        </row>
        <row r="123">
          <cell r="A123">
            <v>9</v>
          </cell>
          <cell r="B123" t="str">
            <v xml:space="preserve">Excavación MH P49 </v>
          </cell>
          <cell r="C123">
            <v>1</v>
          </cell>
          <cell r="D123">
            <v>2.1800000000000002</v>
          </cell>
          <cell r="G123">
            <v>1.2</v>
          </cell>
          <cell r="H123">
            <v>2.2619467105846511</v>
          </cell>
        </row>
        <row r="124">
          <cell r="A124">
            <v>10</v>
          </cell>
          <cell r="B124" t="str">
            <v xml:space="preserve">Excavación MH P48  </v>
          </cell>
          <cell r="C124">
            <v>1</v>
          </cell>
          <cell r="D124">
            <v>2.48</v>
          </cell>
          <cell r="G124">
            <v>1.2</v>
          </cell>
          <cell r="H124">
            <v>2.2619467105846511</v>
          </cell>
        </row>
        <row r="125">
          <cell r="A125">
            <v>11</v>
          </cell>
          <cell r="B125" t="str">
            <v xml:space="preserve">Excavación MH P45A  </v>
          </cell>
          <cell r="C125">
            <v>1</v>
          </cell>
          <cell r="D125">
            <v>1.7</v>
          </cell>
          <cell r="G125">
            <v>1.2</v>
          </cell>
          <cell r="H125">
            <v>1.9226547039969535</v>
          </cell>
        </row>
        <row r="126">
          <cell r="A126">
            <v>12</v>
          </cell>
          <cell r="B126" t="str">
            <v xml:space="preserve">Excavación MH P46A  </v>
          </cell>
          <cell r="C126">
            <v>1</v>
          </cell>
          <cell r="D126">
            <v>2.0300000000000002</v>
          </cell>
          <cell r="G126">
            <v>1.2</v>
          </cell>
          <cell r="H126">
            <v>2.2619467105846511</v>
          </cell>
        </row>
        <row r="127">
          <cell r="A127">
            <v>13</v>
          </cell>
          <cell r="B127" t="str">
            <v>Excavación MH P47</v>
          </cell>
          <cell r="C127">
            <v>1</v>
          </cell>
          <cell r="D127">
            <v>2.48</v>
          </cell>
          <cell r="G127">
            <v>1.2</v>
          </cell>
          <cell r="H127">
            <v>2.2619467105846511</v>
          </cell>
        </row>
        <row r="128">
          <cell r="A128">
            <v>14</v>
          </cell>
          <cell r="B128" t="str">
            <v>Excavación sumideros</v>
          </cell>
          <cell r="C128">
            <v>11</v>
          </cell>
          <cell r="D128">
            <v>1.1000000000000001</v>
          </cell>
          <cell r="E128">
            <v>0.8</v>
          </cell>
          <cell r="F128">
            <v>1.2</v>
          </cell>
          <cell r="G128">
            <v>1</v>
          </cell>
          <cell r="H128">
            <v>11.616000000000001</v>
          </cell>
        </row>
        <row r="129">
          <cell r="A129" t="str">
            <v xml:space="preserve">TOTAL CANTIDAD ITEM </v>
          </cell>
          <cell r="H129">
            <v>462</v>
          </cell>
        </row>
        <row r="133">
          <cell r="A133" t="str">
            <v>DEPARTAMENTO DE ANTIOQUIA</v>
          </cell>
          <cell r="E133" t="str">
            <v/>
          </cell>
        </row>
        <row r="134">
          <cell r="A134" t="str">
            <v>MUNICIPIO DE DABEIBA</v>
          </cell>
        </row>
        <row r="135">
          <cell r="A135" t="str">
            <v>MEJORAMIENTO DE LA RED VIAL URBANA EN EL BARRIO SAN ANTONIO DEL MUNICIPIO DE DABEIBA</v>
          </cell>
        </row>
        <row r="137">
          <cell r="A137" t="str">
            <v>MEMORIA DE CANTIDADES</v>
          </cell>
        </row>
        <row r="139">
          <cell r="A139" t="str">
            <v>ITEM</v>
          </cell>
          <cell r="B139" t="str">
            <v>DESCRIPCIÓN</v>
          </cell>
          <cell r="G139" t="str">
            <v>UNIDAD</v>
          </cell>
          <cell r="H139" t="str">
            <v>CANTIDAD</v>
          </cell>
        </row>
        <row r="140">
          <cell r="A140" t="str">
            <v>3.3</v>
          </cell>
          <cell r="B140" t="str">
            <v xml:space="preserve">Excavación mecanica en brecha en material heterogeneo de 2 -4m  bajo cualquier grado de humedad. Incluye  cargue y disposición final de los materiales. No incluye transporte </v>
          </cell>
          <cell r="G140" t="str">
            <v>m3</v>
          </cell>
          <cell r="H140">
            <v>9</v>
          </cell>
        </row>
        <row r="142">
          <cell r="A142" t="str">
            <v>DETALLE</v>
          </cell>
          <cell r="C142" t="str">
            <v>FACTOR</v>
          </cell>
          <cell r="D142" t="str">
            <v>H1</v>
          </cell>
          <cell r="E142" t="str">
            <v>H2</v>
          </cell>
          <cell r="F142" t="str">
            <v>H&gt;2M</v>
          </cell>
          <cell r="G142" t="str">
            <v>L</v>
          </cell>
          <cell r="H142" t="str">
            <v>TOTAL</v>
          </cell>
        </row>
        <row r="143">
          <cell r="A143">
            <v>3</v>
          </cell>
          <cell r="B143" t="str">
            <v>Excavación MH P49 - MH P48</v>
          </cell>
          <cell r="C143">
            <v>1</v>
          </cell>
          <cell r="D143">
            <v>1.98</v>
          </cell>
          <cell r="E143">
            <v>2.2799999999999998</v>
          </cell>
          <cell r="F143">
            <v>0.12999999999999989</v>
          </cell>
          <cell r="G143">
            <v>21.39</v>
          </cell>
          <cell r="H143">
            <v>2.7806999999999977</v>
          </cell>
        </row>
        <row r="144">
          <cell r="A144">
            <v>5</v>
          </cell>
          <cell r="B144" t="str">
            <v>Excavación MH P46A - MH P48</v>
          </cell>
          <cell r="C144">
            <v>1</v>
          </cell>
          <cell r="D144">
            <v>1.83</v>
          </cell>
          <cell r="E144">
            <v>2.2799999999999998</v>
          </cell>
          <cell r="F144">
            <v>5.4999999999999716E-2</v>
          </cell>
          <cell r="G144">
            <v>63.24</v>
          </cell>
          <cell r="H144">
            <v>3.478199999999982</v>
          </cell>
        </row>
        <row r="145">
          <cell r="A145">
            <v>6</v>
          </cell>
          <cell r="B145" t="str">
            <v>Excavación MH P48 - MH P47</v>
          </cell>
          <cell r="C145">
            <v>1</v>
          </cell>
          <cell r="D145">
            <v>2.2799999999999998</v>
          </cell>
          <cell r="E145">
            <v>2.2810000000000001</v>
          </cell>
          <cell r="F145">
            <v>0.28049999999999997</v>
          </cell>
          <cell r="G145">
            <v>5.3</v>
          </cell>
          <cell r="H145">
            <v>1.4866499999999998</v>
          </cell>
        </row>
        <row r="146">
          <cell r="A146">
            <v>9</v>
          </cell>
          <cell r="B146" t="str">
            <v>Excavación MH 49</v>
          </cell>
          <cell r="C146">
            <v>1</v>
          </cell>
          <cell r="D146">
            <v>2.1800000000000002</v>
          </cell>
          <cell r="F146">
            <v>0.18000000000000016</v>
          </cell>
          <cell r="G146">
            <v>1.2</v>
          </cell>
          <cell r="H146">
            <v>0.20357520395261877</v>
          </cell>
        </row>
        <row r="147">
          <cell r="A147">
            <v>10</v>
          </cell>
          <cell r="B147" t="str">
            <v xml:space="preserve">Excavación MH P48  </v>
          </cell>
          <cell r="C147">
            <v>1</v>
          </cell>
          <cell r="D147">
            <v>2.48</v>
          </cell>
          <cell r="F147">
            <v>0.48</v>
          </cell>
          <cell r="G147">
            <v>1.2</v>
          </cell>
          <cell r="H147">
            <v>0.54286721054031628</v>
          </cell>
        </row>
        <row r="148">
          <cell r="A148">
            <v>12</v>
          </cell>
          <cell r="B148" t="str">
            <v>Excavación MH 46A</v>
          </cell>
          <cell r="C148">
            <v>1</v>
          </cell>
          <cell r="D148">
            <v>2.0300000000000002</v>
          </cell>
          <cell r="F148">
            <v>3.0000000000000249E-2</v>
          </cell>
          <cell r="G148">
            <v>1.2</v>
          </cell>
          <cell r="H148">
            <v>3.3929200658770045E-2</v>
          </cell>
        </row>
        <row r="149">
          <cell r="A149">
            <v>13</v>
          </cell>
          <cell r="B149" t="str">
            <v>Excavación MH P47</v>
          </cell>
          <cell r="C149">
            <v>1</v>
          </cell>
          <cell r="D149">
            <v>2.48</v>
          </cell>
          <cell r="F149">
            <v>0.48</v>
          </cell>
          <cell r="G149">
            <v>1.2</v>
          </cell>
          <cell r="H149">
            <v>0.54286721054031628</v>
          </cell>
        </row>
        <row r="151">
          <cell r="A151" t="str">
            <v xml:space="preserve">TOTAL CANTIDAD ITEM </v>
          </cell>
          <cell r="H151">
            <v>9</v>
          </cell>
        </row>
        <row r="155">
          <cell r="A155" t="str">
            <v>DEPARTAMENTO DE ANTIOQUIA</v>
          </cell>
          <cell r="E155" t="str">
            <v/>
          </cell>
        </row>
        <row r="156">
          <cell r="A156" t="str">
            <v>MUNICIPIO DE DABEIBA</v>
          </cell>
        </row>
        <row r="157">
          <cell r="A157" t="str">
            <v>MEJORAMIENTO DE LA RED VIAL URBANA EN EL BARRIO SAN ANTONIO DEL MUNICIPIO DE DABEIBA</v>
          </cell>
        </row>
        <row r="159">
          <cell r="A159" t="str">
            <v>MEMORIA DE CANTIDADES</v>
          </cell>
        </row>
        <row r="161">
          <cell r="A161" t="str">
            <v>ITEM</v>
          </cell>
          <cell r="B161" t="str">
            <v>DESCRIPCIÓN</v>
          </cell>
          <cell r="G161" t="str">
            <v>UNIDAD</v>
          </cell>
          <cell r="H161" t="str">
            <v>CANTIDAD</v>
          </cell>
        </row>
        <row r="162">
          <cell r="A162" t="str">
            <v>3.4</v>
          </cell>
          <cell r="B162" t="str">
            <v xml:space="preserve">Entibados temporal en tablón de madera para excavaciones bajo cualquier altura y grado de humedad. Incluye suminstro, transporte y colocación. </v>
          </cell>
          <cell r="G162" t="str">
            <v>m2</v>
          </cell>
          <cell r="H162">
            <v>385</v>
          </cell>
        </row>
        <row r="164">
          <cell r="A164" t="str">
            <v>DETALLE</v>
          </cell>
          <cell r="C164" t="str">
            <v>FACTOR</v>
          </cell>
          <cell r="D164" t="str">
            <v>H1</v>
          </cell>
          <cell r="E164" t="str">
            <v>H2</v>
          </cell>
          <cell r="F164" t="str">
            <v>PROMEDIO</v>
          </cell>
          <cell r="G164" t="str">
            <v>L</v>
          </cell>
          <cell r="H164" t="str">
            <v>TOTAL</v>
          </cell>
        </row>
        <row r="165">
          <cell r="A165">
            <v>2</v>
          </cell>
          <cell r="B165" t="str">
            <v>Excavación MH P50 - MH P49</v>
          </cell>
          <cell r="C165">
            <v>1</v>
          </cell>
          <cell r="D165">
            <v>1.45</v>
          </cell>
          <cell r="E165">
            <v>1.98</v>
          </cell>
          <cell r="F165">
            <v>1.7149999999999999</v>
          </cell>
          <cell r="G165">
            <v>58.98</v>
          </cell>
          <cell r="H165">
            <v>101.15069999999999</v>
          </cell>
        </row>
        <row r="166">
          <cell r="A166">
            <v>3</v>
          </cell>
          <cell r="B166" t="str">
            <v>Excavación MH P49 - MH P48</v>
          </cell>
          <cell r="C166">
            <v>1</v>
          </cell>
          <cell r="D166">
            <v>1.98</v>
          </cell>
          <cell r="E166">
            <v>2.2799999999999998</v>
          </cell>
          <cell r="F166">
            <v>2.13</v>
          </cell>
          <cell r="G166">
            <v>21.39</v>
          </cell>
          <cell r="H166">
            <v>45.560699999999997</v>
          </cell>
        </row>
        <row r="167">
          <cell r="A167">
            <v>4</v>
          </cell>
          <cell r="B167" t="str">
            <v>Excavación MH P45A - MH P46A</v>
          </cell>
          <cell r="C167">
            <v>1</v>
          </cell>
          <cell r="D167">
            <v>1.5</v>
          </cell>
          <cell r="E167">
            <v>1.83</v>
          </cell>
          <cell r="F167">
            <v>1.665</v>
          </cell>
          <cell r="G167">
            <v>51.69</v>
          </cell>
          <cell r="H167">
            <v>86.063850000000002</v>
          </cell>
        </row>
        <row r="168">
          <cell r="A168">
            <v>5</v>
          </cell>
          <cell r="B168" t="str">
            <v>Excavación MH P46A - MH P48</v>
          </cell>
          <cell r="C168">
            <v>1</v>
          </cell>
          <cell r="D168">
            <v>1.83</v>
          </cell>
          <cell r="E168">
            <v>2.2799999999999998</v>
          </cell>
          <cell r="F168">
            <v>2.0549999999999997</v>
          </cell>
          <cell r="G168">
            <v>63.24</v>
          </cell>
          <cell r="H168">
            <v>129.95819999999998</v>
          </cell>
        </row>
        <row r="169">
          <cell r="A169">
            <v>6</v>
          </cell>
          <cell r="B169" t="str">
            <v>Excavación MH P48 - MH P47</v>
          </cell>
          <cell r="C169">
            <v>1</v>
          </cell>
          <cell r="D169">
            <v>2.2799999999999998</v>
          </cell>
          <cell r="E169">
            <v>2.2810000000000001</v>
          </cell>
          <cell r="F169">
            <v>2.2805</v>
          </cell>
          <cell r="G169">
            <v>5.3</v>
          </cell>
          <cell r="H169">
            <v>12.086649999999999</v>
          </cell>
        </row>
        <row r="170">
          <cell r="A170">
            <v>9</v>
          </cell>
          <cell r="B170" t="str">
            <v xml:space="preserve">Excavación MH P49 </v>
          </cell>
          <cell r="C170">
            <v>1</v>
          </cell>
          <cell r="D170">
            <v>1.98</v>
          </cell>
          <cell r="G170">
            <v>1.2</v>
          </cell>
          <cell r="H170">
            <v>2.3759999999999999</v>
          </cell>
        </row>
        <row r="171">
          <cell r="A171">
            <v>10</v>
          </cell>
          <cell r="B171" t="str">
            <v xml:space="preserve">Excavación MH P48  </v>
          </cell>
          <cell r="C171">
            <v>1</v>
          </cell>
          <cell r="D171">
            <v>2.2799999999999998</v>
          </cell>
          <cell r="G171">
            <v>1.2</v>
          </cell>
          <cell r="H171">
            <v>2.7359999999999998</v>
          </cell>
        </row>
        <row r="172">
          <cell r="A172">
            <v>12</v>
          </cell>
          <cell r="B172" t="str">
            <v xml:space="preserve">Excavación MH P46A  </v>
          </cell>
          <cell r="C172">
            <v>1</v>
          </cell>
          <cell r="D172">
            <v>1.83</v>
          </cell>
          <cell r="G172">
            <v>1.2</v>
          </cell>
          <cell r="H172">
            <v>2.1960000000000002</v>
          </cell>
        </row>
        <row r="173">
          <cell r="A173">
            <v>14</v>
          </cell>
          <cell r="B173" t="str">
            <v>Excavación MH P47</v>
          </cell>
          <cell r="C173">
            <v>1</v>
          </cell>
          <cell r="D173">
            <v>2.2799999999999998</v>
          </cell>
          <cell r="G173">
            <v>1.2</v>
          </cell>
          <cell r="H173">
            <v>2.7359999999999998</v>
          </cell>
        </row>
        <row r="175">
          <cell r="A175" t="str">
            <v xml:space="preserve">TOTAL CANTIDAD ITEM </v>
          </cell>
          <cell r="H175">
            <v>385</v>
          </cell>
        </row>
        <row r="176">
          <cell r="A176" t="str">
            <v>NOTA:</v>
          </cell>
          <cell r="B176" t="str">
            <v>Toda excavación que exceda en profundidad 1,5 m debe contar con estructuras temporales de contención de acuerdo con lo estipulado en el articulo 616 del Estatuto de seguridad industrial (Resolución Nro 02400 de 1979)</v>
          </cell>
        </row>
        <row r="179">
          <cell r="A179" t="str">
            <v>DEPARTAMENTO DE ANTIOQUIA</v>
          </cell>
          <cell r="E179" t="str">
            <v/>
          </cell>
        </row>
        <row r="180">
          <cell r="A180" t="str">
            <v>MUNICIPIO DE DABEIBA</v>
          </cell>
        </row>
        <row r="181">
          <cell r="A181" t="str">
            <v>MEJORAMIENTO DE LA RED VIAL URBANA EN EL BARRIO SAN ANTONIO DEL MUNICIPIO DE DABEIBA</v>
          </cell>
        </row>
        <row r="183">
          <cell r="A183" t="str">
            <v>MEMORIA DE CANTIDADES</v>
          </cell>
        </row>
        <row r="185">
          <cell r="A185" t="str">
            <v>ITEM</v>
          </cell>
          <cell r="B185" t="str">
            <v>DESCRIPCIÓN</v>
          </cell>
          <cell r="G185" t="str">
            <v>UNIDAD</v>
          </cell>
          <cell r="H185" t="str">
            <v>CANTIDAD</v>
          </cell>
        </row>
        <row r="186">
          <cell r="A186" t="str">
            <v>4.1</v>
          </cell>
          <cell r="B186" t="str">
            <v>Suministro, transporte y colocación de Entresuelo en piedra rodada de rio Tamaño maximo 1" para cimentación de tubería.</v>
          </cell>
          <cell r="G186" t="str">
            <v>m3</v>
          </cell>
          <cell r="H186">
            <v>76</v>
          </cell>
        </row>
        <row r="188">
          <cell r="A188" t="str">
            <v>DETALLE</v>
          </cell>
          <cell r="C188" t="str">
            <v>FACTOR</v>
          </cell>
          <cell r="D188" t="str">
            <v>CANTIDAD</v>
          </cell>
          <cell r="E188" t="str">
            <v>A (ML)</v>
          </cell>
          <cell r="F188" t="str">
            <v>B(M2)</v>
          </cell>
          <cell r="G188" t="str">
            <v>C(M3)</v>
          </cell>
          <cell r="H188" t="str">
            <v>TOTAL</v>
          </cell>
        </row>
        <row r="189">
          <cell r="A189">
            <v>1</v>
          </cell>
          <cell r="B189" t="str">
            <v>Triturado MH P51 - MH P50 - øTubería=20"</v>
          </cell>
          <cell r="C189">
            <v>1</v>
          </cell>
          <cell r="D189">
            <v>1</v>
          </cell>
          <cell r="E189">
            <v>52.29</v>
          </cell>
          <cell r="F189">
            <v>0.30299999999999999</v>
          </cell>
          <cell r="H189">
            <v>15.843869999999999</v>
          </cell>
        </row>
        <row r="190">
          <cell r="A190">
            <v>2</v>
          </cell>
          <cell r="B190" t="str">
            <v>Triturado MH P50 - MH P49  øTubería=20"</v>
          </cell>
          <cell r="C190">
            <v>1</v>
          </cell>
          <cell r="D190">
            <v>1</v>
          </cell>
          <cell r="E190">
            <v>58.98</v>
          </cell>
          <cell r="F190">
            <v>0.30299999999999999</v>
          </cell>
          <cell r="H190">
            <v>17.870939999999997</v>
          </cell>
        </row>
        <row r="191">
          <cell r="A191">
            <v>3</v>
          </cell>
          <cell r="B191" t="str">
            <v>Triturado MH P49 - MH P48  øTubería=20"</v>
          </cell>
          <cell r="C191">
            <v>1</v>
          </cell>
          <cell r="D191">
            <v>1</v>
          </cell>
          <cell r="E191">
            <v>21.39</v>
          </cell>
          <cell r="F191">
            <v>0.30299999999999999</v>
          </cell>
          <cell r="H191">
            <v>6.4811699999999997</v>
          </cell>
        </row>
        <row r="192">
          <cell r="A192">
            <v>4</v>
          </cell>
          <cell r="B192" t="str">
            <v>Triturado MH P45A - MH P46A  øTubería=24"</v>
          </cell>
          <cell r="C192">
            <v>1</v>
          </cell>
          <cell r="D192">
            <v>1</v>
          </cell>
          <cell r="E192">
            <v>51.69</v>
          </cell>
          <cell r="F192">
            <v>0.30299999999999999</v>
          </cell>
          <cell r="H192">
            <v>15.662069999999998</v>
          </cell>
        </row>
        <row r="193">
          <cell r="A193">
            <v>5</v>
          </cell>
          <cell r="B193" t="str">
            <v>Triturado MH P46A - MH P48  øTubería=20"</v>
          </cell>
          <cell r="C193">
            <v>1</v>
          </cell>
          <cell r="D193">
            <v>1</v>
          </cell>
          <cell r="E193">
            <v>63.24</v>
          </cell>
          <cell r="F193">
            <v>0.30299999999999999</v>
          </cell>
          <cell r="H193">
            <v>19.161719999999999</v>
          </cell>
        </row>
        <row r="194">
          <cell r="A194">
            <v>6</v>
          </cell>
          <cell r="B194" t="str">
            <v>Triturado MH P48 - MH P47  øTubería=24"</v>
          </cell>
          <cell r="C194">
            <v>1</v>
          </cell>
          <cell r="D194">
            <v>1</v>
          </cell>
          <cell r="E194">
            <v>5.3</v>
          </cell>
          <cell r="F194">
            <v>0.25800000000000001</v>
          </cell>
          <cell r="H194">
            <v>1.3673999999999999</v>
          </cell>
        </row>
        <row r="195">
          <cell r="A195" t="str">
            <v xml:space="preserve">TOTAL CANTIDAD ITEM </v>
          </cell>
          <cell r="H195">
            <v>76</v>
          </cell>
        </row>
        <row r="198">
          <cell r="A198" t="str">
            <v>DEPARTAMENTO DE ANTIOQUIA</v>
          </cell>
          <cell r="E198" t="str">
            <v/>
          </cell>
        </row>
        <row r="199">
          <cell r="A199" t="str">
            <v>MUNICIPIO DE DABEIBA</v>
          </cell>
        </row>
        <row r="200">
          <cell r="A200" t="str">
            <v>MEJORAMIENTO DE LA RED VIAL URBANA EN EL BARRIO SAN ANTONIO DEL MUNICIPIO DE DABEIBA</v>
          </cell>
        </row>
        <row r="202">
          <cell r="A202" t="str">
            <v>MEMORIA DE CANTIDADES</v>
          </cell>
        </row>
        <row r="204">
          <cell r="A204" t="str">
            <v>ITEM</v>
          </cell>
          <cell r="B204" t="str">
            <v>DESCRIPCIÓN</v>
          </cell>
          <cell r="G204" t="str">
            <v>UNIDAD</v>
          </cell>
          <cell r="H204" t="str">
            <v>CANTIDAD</v>
          </cell>
        </row>
        <row r="205">
          <cell r="A205" t="str">
            <v>4.2</v>
          </cell>
          <cell r="B205" t="str">
            <v>Suministro y colocación de llenos con material de préstamo, compactados mecánicamente hasta obtener una densidad del 90% de la máxima obtenida en el ensayo del próctor modificado. No incluye transporte</v>
          </cell>
          <cell r="G205" t="str">
            <v>m3</v>
          </cell>
          <cell r="H205">
            <v>113</v>
          </cell>
        </row>
        <row r="207">
          <cell r="A207" t="str">
            <v>DETALLE</v>
          </cell>
          <cell r="C207" t="str">
            <v>ANCHO BRECHA</v>
          </cell>
          <cell r="D207" t="str">
            <v>H1(M)</v>
          </cell>
          <cell r="E207" t="str">
            <v>H2(M)</v>
          </cell>
          <cell r="F207" t="str">
            <v>HPROM(M)-HCAPAS</v>
          </cell>
          <cell r="G207" t="str">
            <v>L(M)</v>
          </cell>
          <cell r="H207" t="str">
            <v>TOTAL</v>
          </cell>
        </row>
        <row r="208">
          <cell r="A208">
            <v>1</v>
          </cell>
          <cell r="B208" t="str">
            <v>M. Prestamo MH P51 - MH P50 - øTubería=20"</v>
          </cell>
          <cell r="C208">
            <v>1</v>
          </cell>
          <cell r="D208">
            <v>1.2</v>
          </cell>
          <cell r="E208">
            <v>1.45</v>
          </cell>
          <cell r="F208">
            <v>1.6999999999999904E-2</v>
          </cell>
          <cell r="G208">
            <v>52.29</v>
          </cell>
          <cell r="H208">
            <v>0.888929999999995</v>
          </cell>
        </row>
        <row r="209">
          <cell r="A209">
            <v>2</v>
          </cell>
          <cell r="B209" t="str">
            <v>M. Prestamo MH P50 - MH P49  øTubería=20"</v>
          </cell>
          <cell r="C209">
            <v>1</v>
          </cell>
          <cell r="D209">
            <v>1.45</v>
          </cell>
          <cell r="E209">
            <v>1.98</v>
          </cell>
          <cell r="F209">
            <v>0.40699999999999981</v>
          </cell>
          <cell r="G209">
            <v>58.98</v>
          </cell>
          <cell r="H209">
            <v>24.004859999999987</v>
          </cell>
        </row>
        <row r="210">
          <cell r="A210">
            <v>3</v>
          </cell>
          <cell r="B210" t="str">
            <v>M. Prestamo MH P49 - MH P48  øTubería=20"</v>
          </cell>
          <cell r="C210">
            <v>1</v>
          </cell>
          <cell r="D210">
            <v>1.98</v>
          </cell>
          <cell r="E210">
            <v>2.2799999999999998</v>
          </cell>
          <cell r="F210">
            <v>0.82199999999999984</v>
          </cell>
          <cell r="G210">
            <v>21.39</v>
          </cell>
          <cell r="H210">
            <v>17.582579999999997</v>
          </cell>
        </row>
        <row r="211">
          <cell r="A211">
            <v>4</v>
          </cell>
          <cell r="B211" t="str">
            <v>M. Prestamo MH P45A - MH P46A  øTubería=24"</v>
          </cell>
          <cell r="C211">
            <v>1</v>
          </cell>
          <cell r="D211">
            <v>1.5</v>
          </cell>
          <cell r="E211">
            <v>1.83</v>
          </cell>
          <cell r="F211">
            <v>0.35699999999999998</v>
          </cell>
          <cell r="G211">
            <v>51.69</v>
          </cell>
          <cell r="H211">
            <v>18.453329999999998</v>
          </cell>
        </row>
        <row r="212">
          <cell r="A212">
            <v>5</v>
          </cell>
          <cell r="B212" t="str">
            <v>M. Prestamo MH P46A - MH P48  øTubería=20"</v>
          </cell>
          <cell r="C212">
            <v>1</v>
          </cell>
          <cell r="D212">
            <v>1.83</v>
          </cell>
          <cell r="E212">
            <v>2.2799999999999998</v>
          </cell>
          <cell r="F212">
            <v>0.74699999999999966</v>
          </cell>
          <cell r="G212">
            <v>63.24</v>
          </cell>
          <cell r="H212">
            <v>47.240279999999977</v>
          </cell>
        </row>
        <row r="213">
          <cell r="A213">
            <v>6</v>
          </cell>
          <cell r="B213" t="str">
            <v>M. Prestamo MH P48 - MH P47  øTubería=24"</v>
          </cell>
          <cell r="C213">
            <v>1</v>
          </cell>
          <cell r="D213">
            <v>2.2799999999999998</v>
          </cell>
          <cell r="E213">
            <v>2.2810000000000001</v>
          </cell>
          <cell r="F213">
            <v>0.87049999999999972</v>
          </cell>
          <cell r="G213">
            <v>5.3</v>
          </cell>
          <cell r="H213">
            <v>4.613649999999998</v>
          </cell>
        </row>
        <row r="214">
          <cell r="A214" t="str">
            <v xml:space="preserve">TOTAL CANTIDAD ITEM </v>
          </cell>
          <cell r="H214">
            <v>113</v>
          </cell>
        </row>
        <row r="217">
          <cell r="A217" t="str">
            <v>DEPARTAMENTO DE ANTIOQUIA</v>
          </cell>
          <cell r="E217" t="str">
            <v/>
          </cell>
        </row>
        <row r="218">
          <cell r="A218" t="str">
            <v>MUNICIPIO DE DABEIBA</v>
          </cell>
        </row>
        <row r="219">
          <cell r="A219" t="str">
            <v>MEJORAMIENTO DE LA RED VIAL URBANA EN EL BARRIO SAN ANTONIO DEL MUNICIPIO DE DABEIBA</v>
          </cell>
        </row>
        <row r="221">
          <cell r="A221" t="str">
            <v>MEMORIA DE CANTIDADES</v>
          </cell>
        </row>
        <row r="223">
          <cell r="A223" t="str">
            <v>ITEM</v>
          </cell>
          <cell r="B223" t="str">
            <v>DESCRIPCIÓN</v>
          </cell>
          <cell r="G223" t="str">
            <v>UNIDAD</v>
          </cell>
          <cell r="H223" t="str">
            <v>CANTIDAD</v>
          </cell>
        </row>
        <row r="224">
          <cell r="A224" t="str">
            <v>4.3</v>
          </cell>
          <cell r="B224" t="str">
            <v>Suministro, colocación, conformación y compactación de Sub-base granular . Compactación hasta obtener una densidad mínima del 95%, de la obtenida en el ensayo del Proctor modificado. No incluye transporte</v>
          </cell>
          <cell r="G224" t="str">
            <v>m3</v>
          </cell>
          <cell r="H224">
            <v>583</v>
          </cell>
        </row>
        <row r="226">
          <cell r="A226" t="str">
            <v>DETALLE</v>
          </cell>
          <cell r="C226" t="str">
            <v>FACTOR</v>
          </cell>
          <cell r="D226" t="str">
            <v>CANTIDAD</v>
          </cell>
          <cell r="E226" t="str">
            <v>A (ML)</v>
          </cell>
          <cell r="F226" t="str">
            <v>B(M2)</v>
          </cell>
          <cell r="G226" t="str">
            <v>C(M3)</v>
          </cell>
          <cell r="H226" t="str">
            <v>TOTAL</v>
          </cell>
        </row>
        <row r="227">
          <cell r="A227">
            <v>1</v>
          </cell>
          <cell r="B227" t="str">
            <v>Area de la calzada a intervenir, Calle 46 entre Carrera 05 y 08, incluye intersecciones</v>
          </cell>
          <cell r="C227">
            <v>1</v>
          </cell>
          <cell r="D227">
            <v>1</v>
          </cell>
          <cell r="E227">
            <v>5.5</v>
          </cell>
          <cell r="F227">
            <v>290</v>
          </cell>
          <cell r="G227">
            <v>0.3</v>
          </cell>
          <cell r="H227">
            <v>478.5</v>
          </cell>
        </row>
        <row r="228">
          <cell r="A228">
            <v>2</v>
          </cell>
          <cell r="B228" t="str">
            <v>Area de anden, Calle 46 entre carrera 08 e ingreso a unidad deportiva</v>
          </cell>
          <cell r="C228">
            <v>1</v>
          </cell>
          <cell r="D228">
            <v>1</v>
          </cell>
          <cell r="E228">
            <v>2.4</v>
          </cell>
          <cell r="F228">
            <v>290</v>
          </cell>
          <cell r="G228">
            <v>0.15</v>
          </cell>
          <cell r="H228">
            <v>104.39999999999999</v>
          </cell>
        </row>
        <row r="229">
          <cell r="H229" t="str">
            <v/>
          </cell>
        </row>
        <row r="230">
          <cell r="H230" t="str">
            <v/>
          </cell>
        </row>
        <row r="231">
          <cell r="H231" t="str">
            <v/>
          </cell>
        </row>
        <row r="232">
          <cell r="A232" t="str">
            <v xml:space="preserve">TOTAL CANTIDAD ITEM </v>
          </cell>
          <cell r="H232">
            <v>583</v>
          </cell>
        </row>
        <row r="235">
          <cell r="A235" t="str">
            <v>DEPARTAMENTO DE ANTIOQUIA</v>
          </cell>
          <cell r="E235" t="str">
            <v/>
          </cell>
        </row>
        <row r="236">
          <cell r="A236" t="str">
            <v>MUNICIPIO DE DABEIBA</v>
          </cell>
        </row>
        <row r="237">
          <cell r="A237" t="str">
            <v>MEJORAMIENTO DE LA RED VIAL URBANA EN EL BARRIO SAN ANTONIO DEL MUNICIPIO DE DABEIBA</v>
          </cell>
        </row>
        <row r="239">
          <cell r="A239" t="str">
            <v>MEMORIA DE CANTIDADES</v>
          </cell>
        </row>
        <row r="241">
          <cell r="A241" t="str">
            <v>ITEM</v>
          </cell>
          <cell r="B241" t="str">
            <v>DESCRIPCIÓN</v>
          </cell>
          <cell r="G241" t="str">
            <v>UNIDAD</v>
          </cell>
          <cell r="H241" t="str">
            <v>CANTIDAD</v>
          </cell>
        </row>
        <row r="242">
          <cell r="A242" t="str">
            <v>4.4</v>
          </cell>
          <cell r="B242" t="str">
            <v>Suministro, transporte y colocación de cama de arenilla para apoyo de andenes y material de lleno en tubería alcantarillado</v>
          </cell>
          <cell r="G242" t="str">
            <v>m3</v>
          </cell>
          <cell r="H242">
            <v>105</v>
          </cell>
        </row>
        <row r="244">
          <cell r="A244" t="str">
            <v>DETALLE</v>
          </cell>
          <cell r="C244" t="str">
            <v>FACTOR</v>
          </cell>
          <cell r="D244" t="str">
            <v>CANTIDAD</v>
          </cell>
          <cell r="E244" t="str">
            <v>A (ML)</v>
          </cell>
          <cell r="F244" t="str">
            <v>B(M2)</v>
          </cell>
          <cell r="G244" t="str">
            <v>C(M3)</v>
          </cell>
          <cell r="H244" t="str">
            <v>TOTAL</v>
          </cell>
        </row>
        <row r="245">
          <cell r="A245">
            <v>1</v>
          </cell>
          <cell r="B245" t="str">
            <v>Arenilla MH P51 - MH P50 - øTubería=20"</v>
          </cell>
          <cell r="C245">
            <v>1</v>
          </cell>
          <cell r="D245">
            <v>1</v>
          </cell>
          <cell r="E245">
            <v>52.29</v>
          </cell>
          <cell r="F245">
            <v>0.30299999999999999</v>
          </cell>
          <cell r="H245">
            <v>15.843869999999999</v>
          </cell>
        </row>
        <row r="246">
          <cell r="A246">
            <v>2</v>
          </cell>
          <cell r="B246" t="str">
            <v>Arenilla MH P50 - MH P49  øTubería=20"</v>
          </cell>
          <cell r="C246">
            <v>1</v>
          </cell>
          <cell r="D246">
            <v>1</v>
          </cell>
          <cell r="E246">
            <v>58.98</v>
          </cell>
          <cell r="F246">
            <v>0.30299999999999999</v>
          </cell>
          <cell r="H246">
            <v>17.870939999999997</v>
          </cell>
        </row>
        <row r="247">
          <cell r="A247">
            <v>3</v>
          </cell>
          <cell r="B247" t="str">
            <v>Arenilla MH P49 - MH P48  øTubería=20"</v>
          </cell>
          <cell r="C247">
            <v>1</v>
          </cell>
          <cell r="D247">
            <v>1</v>
          </cell>
          <cell r="E247">
            <v>21.39</v>
          </cell>
          <cell r="F247">
            <v>0.30299999999999999</v>
          </cell>
          <cell r="H247">
            <v>6.4811699999999997</v>
          </cell>
        </row>
        <row r="248">
          <cell r="A248">
            <v>4</v>
          </cell>
          <cell r="B248" t="str">
            <v>Arenilla MH P45A - MH P46A  øTubería=24"</v>
          </cell>
          <cell r="C248">
            <v>1</v>
          </cell>
          <cell r="D248">
            <v>1</v>
          </cell>
          <cell r="E248">
            <v>51.69</v>
          </cell>
          <cell r="F248">
            <v>0.30299999999999999</v>
          </cell>
          <cell r="H248">
            <v>15.662069999999998</v>
          </cell>
        </row>
        <row r="249">
          <cell r="A249">
            <v>5</v>
          </cell>
          <cell r="B249" t="str">
            <v>Arenilla MH P46A - MH P48  øTubería=20"</v>
          </cell>
          <cell r="C249">
            <v>1</v>
          </cell>
          <cell r="D249">
            <v>1</v>
          </cell>
          <cell r="E249">
            <v>63.24</v>
          </cell>
          <cell r="F249">
            <v>0.30299999999999999</v>
          </cell>
          <cell r="H249">
            <v>19.161719999999999</v>
          </cell>
        </row>
        <row r="250">
          <cell r="A250">
            <v>6</v>
          </cell>
          <cell r="B250" t="str">
            <v>Arenilla MH P48 - MH P47  øTubería=24"</v>
          </cell>
          <cell r="C250">
            <v>1</v>
          </cell>
          <cell r="D250">
            <v>1</v>
          </cell>
          <cell r="E250">
            <v>5.3</v>
          </cell>
          <cell r="F250">
            <v>0.25800000000000001</v>
          </cell>
          <cell r="H250">
            <v>1.3673999999999999</v>
          </cell>
        </row>
        <row r="251">
          <cell r="A251">
            <v>7</v>
          </cell>
          <cell r="B251" t="str">
            <v>Arenilla para soporte de andenes</v>
          </cell>
          <cell r="C251">
            <v>1</v>
          </cell>
          <cell r="D251">
            <v>1</v>
          </cell>
          <cell r="E251">
            <v>290</v>
          </cell>
          <cell r="F251">
            <v>0.1</v>
          </cell>
          <cell r="H251">
            <v>29</v>
          </cell>
        </row>
        <row r="252">
          <cell r="A252" t="str">
            <v xml:space="preserve">TOTAL CANTIDAD ITEM </v>
          </cell>
          <cell r="H252">
            <v>105</v>
          </cell>
        </row>
        <row r="255">
          <cell r="A255" t="str">
            <v>DEPARTAMENTO DE ANTIOQUIA</v>
          </cell>
          <cell r="E255" t="str">
            <v/>
          </cell>
        </row>
        <row r="256">
          <cell r="A256" t="str">
            <v>MUNICIPIO DE DABEIBA</v>
          </cell>
        </row>
        <row r="257">
          <cell r="A257" t="str">
            <v>MEJORAMIENTO DE LA RED VIAL URBANA EN EL BARRIO SAN ANTONIO DEL MUNICIPIO DE DABEIBA</v>
          </cell>
        </row>
        <row r="259">
          <cell r="A259" t="str">
            <v>MEMORIA DE CANTIDADES</v>
          </cell>
        </row>
        <row r="261">
          <cell r="A261" t="str">
            <v>ITEM</v>
          </cell>
          <cell r="B261" t="str">
            <v>DESCRIPCIÓN</v>
          </cell>
          <cell r="G261" t="str">
            <v>UNIDAD</v>
          </cell>
          <cell r="H261" t="str">
            <v>CANTIDAD</v>
          </cell>
        </row>
        <row r="262">
          <cell r="A262" t="str">
            <v>5.1</v>
          </cell>
          <cell r="B262" t="str">
            <v>Mejoramiento de la subrasante involucrando suelo existente.  Incluye la disgregación del material de la subrasante existente, el retiro o adición de materiales, la compactación y perfilado final, de acuerdo a las dimensiones, alineamientos y pendientes de la vía.</v>
          </cell>
          <cell r="G262" t="str">
            <v>m2</v>
          </cell>
          <cell r="H262">
            <v>2436</v>
          </cell>
        </row>
        <row r="264">
          <cell r="A264" t="str">
            <v>DETALLE</v>
          </cell>
          <cell r="C264" t="str">
            <v>FACTOR</v>
          </cell>
          <cell r="D264" t="str">
            <v>CANTIDAD</v>
          </cell>
          <cell r="E264" t="str">
            <v>A (ML)</v>
          </cell>
          <cell r="F264" t="str">
            <v>B(M2)</v>
          </cell>
          <cell r="G264" t="str">
            <v>C(M3)</v>
          </cell>
          <cell r="H264" t="str">
            <v>TOTAL</v>
          </cell>
        </row>
        <row r="265">
          <cell r="A265">
            <v>1</v>
          </cell>
          <cell r="B265" t="str">
            <v>Area de la calzada a intervenir, Calle 46 entre Carrera 05 y 08, incluye intersecciones</v>
          </cell>
          <cell r="C265">
            <v>1</v>
          </cell>
          <cell r="D265">
            <v>1</v>
          </cell>
          <cell r="E265">
            <v>6</v>
          </cell>
          <cell r="F265">
            <v>290</v>
          </cell>
          <cell r="G265">
            <v>1</v>
          </cell>
          <cell r="H265">
            <v>1740</v>
          </cell>
        </row>
        <row r="266">
          <cell r="A266">
            <v>2</v>
          </cell>
          <cell r="B266" t="str">
            <v>Area de anden, Calle 46 entre carrera 08 e ingreso a unidad deportiva</v>
          </cell>
          <cell r="C266">
            <v>1</v>
          </cell>
          <cell r="D266">
            <v>1</v>
          </cell>
          <cell r="E266">
            <v>2.4</v>
          </cell>
          <cell r="F266">
            <v>290</v>
          </cell>
          <cell r="G266">
            <v>1</v>
          </cell>
          <cell r="H266">
            <v>696</v>
          </cell>
        </row>
        <row r="267">
          <cell r="H267" t="str">
            <v/>
          </cell>
        </row>
        <row r="268">
          <cell r="H268" t="str">
            <v/>
          </cell>
        </row>
        <row r="269">
          <cell r="H269" t="str">
            <v/>
          </cell>
        </row>
        <row r="270">
          <cell r="A270" t="str">
            <v xml:space="preserve">TOTAL CANTIDAD ITEM </v>
          </cell>
          <cell r="H270">
            <v>2436</v>
          </cell>
        </row>
        <row r="273">
          <cell r="A273" t="str">
            <v>DEPARTAMENTO DE ANTIOQUIA</v>
          </cell>
          <cell r="E273" t="str">
            <v/>
          </cell>
        </row>
        <row r="274">
          <cell r="A274" t="str">
            <v>MUNICIPIO DE DABEIBA</v>
          </cell>
        </row>
        <row r="275">
          <cell r="A275" t="str">
            <v>MEJORAMIENTO DE LA RED VIAL URBANA EN EL BARRIO SAN ANTONIO DEL MUNICIPIO DE DABEIBA</v>
          </cell>
        </row>
        <row r="277">
          <cell r="A277" t="str">
            <v>MEMORIA DE CANTIDADES</v>
          </cell>
        </row>
        <row r="279">
          <cell r="A279" t="str">
            <v>ITEM</v>
          </cell>
          <cell r="B279" t="str">
            <v>DESCRIPCIÓN</v>
          </cell>
          <cell r="G279" t="str">
            <v>UNIDAD</v>
          </cell>
          <cell r="H279" t="str">
            <v>CANTIDAD</v>
          </cell>
        </row>
        <row r="280">
          <cell r="A280" t="str">
            <v>6.1</v>
          </cell>
          <cell r="B280" t="str">
            <v xml:space="preserve">Concreto Clase D (21 MPa). Andenes E=0.10 m y llaves de confinamiento de 0,20*0,15. No incluye estructura de soporte. La actividad consiste en el suministro, transporte y colocación de concreto pendientado y llaneado, vaciado alternado (en cuadros no superiores de 1.5 x 1.5 m), para la construcción nuevos andenes y resane de los existentes, comprende el curado y todo lo necesario para su correcta construcción y funcionamiento. El acero de refuerzo se pagará en su respectivo item </v>
          </cell>
          <cell r="G280" t="str">
            <v>m3</v>
          </cell>
          <cell r="H280">
            <v>97</v>
          </cell>
        </row>
        <row r="282">
          <cell r="A282" t="str">
            <v>DETALLE</v>
          </cell>
          <cell r="C282" t="str">
            <v>FACTOR</v>
          </cell>
          <cell r="D282" t="str">
            <v>CANTIDAD</v>
          </cell>
          <cell r="E282" t="str">
            <v>A (ML)</v>
          </cell>
          <cell r="F282" t="str">
            <v>B(M2)</v>
          </cell>
          <cell r="G282" t="str">
            <v>C(M3)</v>
          </cell>
          <cell r="H282" t="str">
            <v>TOTAL</v>
          </cell>
        </row>
        <row r="283">
          <cell r="A283">
            <v>2</v>
          </cell>
          <cell r="B283" t="str">
            <v xml:space="preserve">Area de anden, </v>
          </cell>
          <cell r="C283">
            <v>1</v>
          </cell>
          <cell r="D283">
            <v>1</v>
          </cell>
          <cell r="E283">
            <v>1.2</v>
          </cell>
          <cell r="F283">
            <v>290</v>
          </cell>
          <cell r="G283">
            <v>0.1</v>
          </cell>
          <cell r="H283">
            <v>34.800000000000004</v>
          </cell>
        </row>
        <row r="284">
          <cell r="A284">
            <v>3</v>
          </cell>
          <cell r="B284" t="str">
            <v xml:space="preserve">Área de anden, </v>
          </cell>
          <cell r="C284">
            <v>1</v>
          </cell>
          <cell r="D284">
            <v>1</v>
          </cell>
          <cell r="E284">
            <v>1.2</v>
          </cell>
          <cell r="F284">
            <v>290</v>
          </cell>
          <cell r="G284">
            <v>0.1</v>
          </cell>
          <cell r="H284">
            <v>34.800000000000004</v>
          </cell>
        </row>
        <row r="285">
          <cell r="A285">
            <v>4</v>
          </cell>
          <cell r="B285" t="str">
            <v>piso duro</v>
          </cell>
          <cell r="C285">
            <v>1</v>
          </cell>
          <cell r="D285">
            <v>1</v>
          </cell>
          <cell r="E285">
            <v>1</v>
          </cell>
          <cell r="F285">
            <v>200</v>
          </cell>
          <cell r="G285">
            <v>0.1</v>
          </cell>
          <cell r="H285">
            <v>20</v>
          </cell>
        </row>
        <row r="286">
          <cell r="A286">
            <v>5</v>
          </cell>
          <cell r="B286" t="str">
            <v xml:space="preserve">Llaves de confinamiento </v>
          </cell>
          <cell r="C286">
            <v>1</v>
          </cell>
          <cell r="D286">
            <v>1</v>
          </cell>
          <cell r="E286">
            <v>235.22000000000003</v>
          </cell>
          <cell r="F286">
            <v>0.2</v>
          </cell>
          <cell r="G286">
            <v>0.15</v>
          </cell>
          <cell r="H286">
            <v>7.0566000000000013</v>
          </cell>
        </row>
        <row r="287">
          <cell r="A287">
            <v>6</v>
          </cell>
          <cell r="B287" t="str">
            <v>Anden domiciliarias</v>
          </cell>
          <cell r="C287">
            <v>1</v>
          </cell>
          <cell r="D287">
            <v>23</v>
          </cell>
          <cell r="E287">
            <v>0.5</v>
          </cell>
          <cell r="F287">
            <v>1</v>
          </cell>
          <cell r="G287">
            <v>0.1</v>
          </cell>
          <cell r="H287">
            <v>1.1500000000000001</v>
          </cell>
        </row>
        <row r="288">
          <cell r="A288" t="str">
            <v xml:space="preserve">TOTAL CANTIDAD ITEM </v>
          </cell>
          <cell r="H288">
            <v>98</v>
          </cell>
        </row>
        <row r="292">
          <cell r="A292" t="str">
            <v>DEPARTAMENTO DE ANTIOQUIA</v>
          </cell>
          <cell r="E292" t="str">
            <v/>
          </cell>
        </row>
        <row r="293">
          <cell r="A293" t="str">
            <v>MUNICIPIO DE DABEIBA</v>
          </cell>
        </row>
        <row r="294">
          <cell r="A294" t="str">
            <v>MEJORAMIENTO DE LA RED VIAL URBANA EN EL BARRIO SAN ANTONIO DEL MUNICIPIO DE DABEIBA</v>
          </cell>
        </row>
        <row r="296">
          <cell r="A296" t="str">
            <v>MEMORIA DE CANTIDADES</v>
          </cell>
        </row>
        <row r="298">
          <cell r="A298" t="str">
            <v>ITEM</v>
          </cell>
          <cell r="B298" t="str">
            <v>DESCRIPCIÓN</v>
          </cell>
          <cell r="G298" t="str">
            <v>UNIDAD</v>
          </cell>
          <cell r="H298" t="str">
            <v>CANTIDAD</v>
          </cell>
        </row>
        <row r="299">
          <cell r="A299" t="str">
            <v>6.2</v>
          </cell>
          <cell r="B299" t="str">
            <v>Suministro, transporte e instalación de loseta de cemento guia tactil, formato 40 x 40.</v>
          </cell>
          <cell r="G299" t="str">
            <v>m2</v>
          </cell>
          <cell r="H299">
            <v>580</v>
          </cell>
        </row>
        <row r="301">
          <cell r="A301" t="str">
            <v>DETALLE</v>
          </cell>
          <cell r="C301" t="str">
            <v>FACTOR</v>
          </cell>
          <cell r="D301" t="str">
            <v>CANTIDAD</v>
          </cell>
          <cell r="E301" t="str">
            <v>A (ML)</v>
          </cell>
          <cell r="F301" t="str">
            <v>B(M2)</v>
          </cell>
          <cell r="G301" t="str">
            <v>C(M3)</v>
          </cell>
          <cell r="H301" t="str">
            <v>TOTAL</v>
          </cell>
        </row>
        <row r="302">
          <cell r="A302">
            <v>2</v>
          </cell>
          <cell r="B302" t="str">
            <v xml:space="preserve">Area de loseta cemento, </v>
          </cell>
          <cell r="C302">
            <v>1</v>
          </cell>
          <cell r="D302">
            <v>1</v>
          </cell>
          <cell r="E302">
            <v>1</v>
          </cell>
          <cell r="F302">
            <v>290</v>
          </cell>
          <cell r="G302">
            <v>1</v>
          </cell>
          <cell r="H302">
            <v>290</v>
          </cell>
        </row>
        <row r="303">
          <cell r="A303">
            <v>3</v>
          </cell>
          <cell r="B303" t="str">
            <v>Área de loseta, , Anden = 1,20m</v>
          </cell>
          <cell r="C303">
            <v>1</v>
          </cell>
          <cell r="D303">
            <v>1</v>
          </cell>
          <cell r="E303">
            <v>1</v>
          </cell>
          <cell r="F303">
            <v>290</v>
          </cell>
          <cell r="G303">
            <v>1</v>
          </cell>
          <cell r="H303">
            <v>290</v>
          </cell>
        </row>
        <row r="304">
          <cell r="H304" t="str">
            <v/>
          </cell>
        </row>
        <row r="305">
          <cell r="A305" t="str">
            <v xml:space="preserve">TOTAL CANTIDAD ITEM </v>
          </cell>
          <cell r="H305">
            <v>580</v>
          </cell>
        </row>
        <row r="308">
          <cell r="A308" t="str">
            <v>DEPARTAMENTO DE ANTIOQUIA</v>
          </cell>
          <cell r="E308" t="str">
            <v/>
          </cell>
        </row>
        <row r="309">
          <cell r="A309" t="str">
            <v>MUNICIPIO DE DABEIBA</v>
          </cell>
        </row>
        <row r="310">
          <cell r="A310" t="str">
            <v>MEJORAMIENTO DE LA RED VIAL URBANA EN EL BARRIO SAN ANTONIO DEL MUNICIPIO DE DABEIBA</v>
          </cell>
        </row>
        <row r="312">
          <cell r="A312" t="str">
            <v>MEMORIA DE CANTIDADES</v>
          </cell>
        </row>
        <row r="314">
          <cell r="A314" t="str">
            <v>ITEM</v>
          </cell>
          <cell r="B314" t="str">
            <v>DESCRIPCIÓN</v>
          </cell>
          <cell r="G314" t="str">
            <v>UNIDAD</v>
          </cell>
          <cell r="H314" t="str">
            <v>CANTIDAD</v>
          </cell>
        </row>
        <row r="315">
          <cell r="A315" t="str">
            <v>7.1</v>
          </cell>
          <cell r="B315" t="str">
            <v>Pavimento en concreto hidráulico para pavimento, de 4000 psi (Compresión de 28 Mpa), MR 4.0Mpa; Incluye Tratamiento de juntas y dilataciones (corte y sello de dilataciones)</v>
          </cell>
          <cell r="G315" t="str">
            <v>m3</v>
          </cell>
          <cell r="H315">
            <v>302</v>
          </cell>
        </row>
        <row r="317">
          <cell r="A317" t="str">
            <v>DETALLE</v>
          </cell>
          <cell r="C317" t="str">
            <v>FACTOR</v>
          </cell>
          <cell r="D317" t="str">
            <v>CANTIDAD</v>
          </cell>
          <cell r="E317" t="str">
            <v>A (ML)</v>
          </cell>
          <cell r="F317" t="str">
            <v>L(ML)</v>
          </cell>
          <cell r="G317" t="str">
            <v>A(ML)</v>
          </cell>
          <cell r="H317" t="str">
            <v>TOTAL</v>
          </cell>
        </row>
        <row r="318">
          <cell r="A318">
            <v>1</v>
          </cell>
          <cell r="B318" t="str">
            <v>Volumen de la calzada a intervenir, Calle 46 entre Carrera 05 y 08, incluye intersecciones</v>
          </cell>
          <cell r="C318">
            <v>1</v>
          </cell>
          <cell r="D318">
            <v>1</v>
          </cell>
          <cell r="E318">
            <v>5.2</v>
          </cell>
          <cell r="F318">
            <v>290</v>
          </cell>
          <cell r="G318">
            <v>0.2</v>
          </cell>
          <cell r="H318">
            <v>301.60000000000002</v>
          </cell>
        </row>
        <row r="319">
          <cell r="A319" t="str">
            <v xml:space="preserve">TOTAL CANTIDAD ITEM </v>
          </cell>
          <cell r="H319">
            <v>302</v>
          </cell>
        </row>
        <row r="322">
          <cell r="A322" t="str">
            <v>DEPARTAMENTO DE ANTIOQUIA</v>
          </cell>
          <cell r="E322" t="str">
            <v/>
          </cell>
        </row>
        <row r="323">
          <cell r="A323" t="str">
            <v>MUNICIPIO DE DABEIBA</v>
          </cell>
        </row>
        <row r="324">
          <cell r="A324" t="str">
            <v>MEJORAMIENTO DE LA RED VIAL URBANA EN EL BARRIO SAN ANTONIO DEL MUNICIPIO DE DABEIBA</v>
          </cell>
        </row>
        <row r="326">
          <cell r="A326" t="str">
            <v>MEMORIA DE CANTIDADES</v>
          </cell>
        </row>
        <row r="328">
          <cell r="A328" t="str">
            <v>ITEM</v>
          </cell>
          <cell r="B328" t="str">
            <v>DESCRIPCIÓN</v>
          </cell>
          <cell r="G328" t="str">
            <v>UNIDAD</v>
          </cell>
          <cell r="H328" t="str">
            <v>CANTIDAD</v>
          </cell>
        </row>
        <row r="329">
          <cell r="A329" t="str">
            <v>7.2</v>
          </cell>
          <cell r="B329" t="str">
            <v>Resaltos en concreto hidraulico de 3000psi (compresión de 21 Mpa)  de 7m de longitud, 2m de ancho  y 0.10 m de altura en el centro. Incluye pintura, llaves de cimentación según diseño, Tratamiento de juntas y dilataciones.</v>
          </cell>
          <cell r="G329" t="str">
            <v>ml</v>
          </cell>
          <cell r="H329">
            <v>28</v>
          </cell>
        </row>
        <row r="331">
          <cell r="A331" t="str">
            <v>DETALLE</v>
          </cell>
          <cell r="C331" t="str">
            <v>FACTOR</v>
          </cell>
          <cell r="D331" t="str">
            <v>CANTIDAD</v>
          </cell>
          <cell r="E331" t="str">
            <v>A (ML)</v>
          </cell>
          <cell r="F331" t="str">
            <v>B(M2)</v>
          </cell>
          <cell r="G331" t="str">
            <v>C(M3)</v>
          </cell>
          <cell r="H331" t="str">
            <v>TOTAL</v>
          </cell>
        </row>
        <row r="332">
          <cell r="A332">
            <v>1</v>
          </cell>
          <cell r="B332" t="str">
            <v xml:space="preserve">Resalto </v>
          </cell>
          <cell r="C332">
            <v>1</v>
          </cell>
          <cell r="D332">
            <v>1</v>
          </cell>
          <cell r="E332">
            <v>7</v>
          </cell>
          <cell r="F332">
            <v>1</v>
          </cell>
          <cell r="G332">
            <v>1</v>
          </cell>
          <cell r="H332">
            <v>7</v>
          </cell>
        </row>
        <row r="333">
          <cell r="A333">
            <v>2</v>
          </cell>
          <cell r="B333" t="str">
            <v xml:space="preserve">Resalto </v>
          </cell>
          <cell r="C333">
            <v>1</v>
          </cell>
          <cell r="D333">
            <v>1</v>
          </cell>
          <cell r="E333">
            <v>7</v>
          </cell>
          <cell r="F333">
            <v>1</v>
          </cell>
          <cell r="G333">
            <v>1</v>
          </cell>
          <cell r="H333">
            <v>7</v>
          </cell>
        </row>
        <row r="334">
          <cell r="A334">
            <v>3</v>
          </cell>
          <cell r="B334" t="str">
            <v xml:space="preserve">Resalto </v>
          </cell>
          <cell r="C334">
            <v>1</v>
          </cell>
          <cell r="D334">
            <v>1</v>
          </cell>
          <cell r="E334">
            <v>7</v>
          </cell>
          <cell r="F334">
            <v>1</v>
          </cell>
          <cell r="G334">
            <v>1</v>
          </cell>
          <cell r="H334">
            <v>7</v>
          </cell>
        </row>
        <row r="335">
          <cell r="A335">
            <v>4</v>
          </cell>
          <cell r="B335" t="str">
            <v xml:space="preserve">Resalto </v>
          </cell>
          <cell r="C335">
            <v>1</v>
          </cell>
          <cell r="D335">
            <v>1</v>
          </cell>
          <cell r="E335">
            <v>7</v>
          </cell>
          <cell r="F335">
            <v>1</v>
          </cell>
          <cell r="G335">
            <v>1</v>
          </cell>
          <cell r="H335">
            <v>7</v>
          </cell>
        </row>
        <row r="336">
          <cell r="H336" t="str">
            <v/>
          </cell>
        </row>
        <row r="337">
          <cell r="A337" t="str">
            <v xml:space="preserve">TOTAL CANTIDAD ITEM </v>
          </cell>
          <cell r="H337">
            <v>28</v>
          </cell>
        </row>
        <row r="340">
          <cell r="A340" t="str">
            <v>DEPARTAMENTO DE ANTIOQUIA</v>
          </cell>
          <cell r="E340" t="str">
            <v/>
          </cell>
        </row>
        <row r="341">
          <cell r="A341" t="str">
            <v>MUNICIPIO DE DABEIBA</v>
          </cell>
        </row>
        <row r="342">
          <cell r="A342" t="str">
            <v>MEJORAMIENTO DE LA RED VIAL URBANA EN EL BARRIO SAN ANTONIO DEL MUNICIPIO DE DABEIBA</v>
          </cell>
        </row>
        <row r="344">
          <cell r="A344" t="str">
            <v>MEMORIA DE CANTIDADES</v>
          </cell>
        </row>
        <row r="346">
          <cell r="A346" t="str">
            <v>ITEM</v>
          </cell>
          <cell r="B346" t="str">
            <v>DESCRIPCIÓN</v>
          </cell>
          <cell r="G346" t="str">
            <v>UNIDAD</v>
          </cell>
          <cell r="H346" t="str">
            <v>CANTIDAD</v>
          </cell>
        </row>
        <row r="347">
          <cell r="A347" t="str">
            <v>7.3</v>
          </cell>
          <cell r="B347" t="str">
            <v>Bordillo prefabricado  0,45 x 0,15 x 0,8 m, incluye concreto de nivelación y mortero de pega</v>
          </cell>
          <cell r="G347" t="str">
            <v>ml</v>
          </cell>
          <cell r="H347">
            <v>580</v>
          </cell>
        </row>
        <row r="349">
          <cell r="A349" t="str">
            <v>DETALLE</v>
          </cell>
          <cell r="C349" t="str">
            <v>FACTOR</v>
          </cell>
          <cell r="D349" t="str">
            <v>CANTIDAD</v>
          </cell>
          <cell r="E349" t="str">
            <v>A (ML)</v>
          </cell>
          <cell r="F349" t="str">
            <v>B(M2)</v>
          </cell>
          <cell r="G349" t="str">
            <v>C(M3)</v>
          </cell>
          <cell r="H349" t="str">
            <v>TOTAL</v>
          </cell>
        </row>
        <row r="350">
          <cell r="A350">
            <v>1</v>
          </cell>
          <cell r="B350" t="str">
            <v>Longitud de bordillo CLL46-CRA05-CRA08</v>
          </cell>
          <cell r="C350">
            <v>1</v>
          </cell>
          <cell r="D350">
            <v>1</v>
          </cell>
          <cell r="E350">
            <v>580</v>
          </cell>
          <cell r="F350">
            <v>1</v>
          </cell>
          <cell r="G350">
            <v>1</v>
          </cell>
          <cell r="H350">
            <v>580</v>
          </cell>
        </row>
        <row r="351">
          <cell r="A351" t="str">
            <v xml:space="preserve">TOTAL CANTIDAD ITEM </v>
          </cell>
          <cell r="H351">
            <v>580</v>
          </cell>
        </row>
        <row r="353">
          <cell r="A353" t="str">
            <v>DEPARTAMENTO DE ANTIOQUIA</v>
          </cell>
          <cell r="E353" t="str">
            <v/>
          </cell>
        </row>
        <row r="354">
          <cell r="A354" t="str">
            <v>MUNICIPIO DE DABEIBA</v>
          </cell>
        </row>
        <row r="355">
          <cell r="A355" t="str">
            <v>MEJORAMIENTO DE LA RED VIAL URBANA EN EL BARRIO SAN ANTONIO DEL MUNICIPIO DE DABEIBA</v>
          </cell>
        </row>
        <row r="357">
          <cell r="A357" t="str">
            <v>MEMORIA DE CANTIDADES</v>
          </cell>
        </row>
        <row r="359">
          <cell r="A359" t="str">
            <v>ITEM</v>
          </cell>
          <cell r="B359" t="str">
            <v>DESCRIPCIÓN</v>
          </cell>
          <cell r="G359" t="str">
            <v>UNIDAD</v>
          </cell>
          <cell r="H359" t="str">
            <v>CANTIDAD</v>
          </cell>
        </row>
        <row r="360">
          <cell r="A360" t="str">
            <v>8.1</v>
          </cell>
          <cell r="B360" t="str">
            <v>Suministro, transporte e instalación de acero Fy=420Mpa (60.000PSI) grado 60</v>
          </cell>
          <cell r="G360" t="str">
            <v>Kg</v>
          </cell>
          <cell r="H360">
            <v>4129</v>
          </cell>
        </row>
        <row r="361">
          <cell r="A361" t="str">
            <v>DETALLE</v>
          </cell>
          <cell r="C361" t="str">
            <v>PESO</v>
          </cell>
          <cell r="D361" t="str">
            <v>LONGITUD</v>
          </cell>
          <cell r="E361" t="str">
            <v>N VECES</v>
          </cell>
          <cell r="F361" t="str">
            <v>CANT. ELEM</v>
          </cell>
          <cell r="H361" t="str">
            <v>TOTAL</v>
          </cell>
        </row>
        <row r="362">
          <cell r="A362">
            <v>1</v>
          </cell>
          <cell r="B362" t="str">
            <v>Refuerzo Longitudinal (barras de amarre) ø=1/2"</v>
          </cell>
          <cell r="C362">
            <v>0.99399999999999999</v>
          </cell>
          <cell r="D362">
            <v>0.85</v>
          </cell>
          <cell r="E362">
            <v>321</v>
          </cell>
          <cell r="F362">
            <v>1</v>
          </cell>
          <cell r="G362">
            <v>1</v>
          </cell>
          <cell r="H362">
            <v>271</v>
          </cell>
        </row>
        <row r="363">
          <cell r="A363">
            <v>2</v>
          </cell>
          <cell r="B363" t="str">
            <v>Refuerzo transversal (Dovelas) ø=7/8"</v>
          </cell>
          <cell r="C363">
            <v>3.9729999999999999</v>
          </cell>
          <cell r="D363">
            <v>0.35</v>
          </cell>
          <cell r="E363">
            <v>66</v>
          </cell>
          <cell r="F363">
            <v>24</v>
          </cell>
          <cell r="G363">
            <v>1</v>
          </cell>
          <cell r="H363">
            <v>2203</v>
          </cell>
        </row>
        <row r="364">
          <cell r="A364">
            <v>3</v>
          </cell>
          <cell r="B364" t="str">
            <v xml:space="preserve">Canastilla de sujección </v>
          </cell>
          <cell r="C364">
            <v>0.25</v>
          </cell>
          <cell r="D364">
            <v>27</v>
          </cell>
          <cell r="E364">
            <v>66</v>
          </cell>
          <cell r="F364">
            <v>1</v>
          </cell>
          <cell r="G364">
            <v>1</v>
          </cell>
          <cell r="H364">
            <v>446</v>
          </cell>
        </row>
        <row r="365">
          <cell r="A365">
            <v>10</v>
          </cell>
          <cell r="B365" t="str">
            <v>Sumidero aguas lluvias - Refuerzo losa dirección 1</v>
          </cell>
          <cell r="C365">
            <v>0.56000000000000005</v>
          </cell>
          <cell r="D365">
            <v>1.1299999999999999</v>
          </cell>
          <cell r="E365">
            <v>7</v>
          </cell>
          <cell r="F365">
            <v>12</v>
          </cell>
          <cell r="G365">
            <v>1</v>
          </cell>
          <cell r="H365">
            <v>53</v>
          </cell>
        </row>
        <row r="366">
          <cell r="A366">
            <v>11</v>
          </cell>
          <cell r="B366" t="str">
            <v>Sumidero aguas lluvias - Refuerzo losa dirección 2</v>
          </cell>
          <cell r="C366">
            <v>0.56000000000000005</v>
          </cell>
          <cell r="D366">
            <v>0.83</v>
          </cell>
          <cell r="E366">
            <v>5</v>
          </cell>
          <cell r="F366">
            <v>12</v>
          </cell>
          <cell r="G366">
            <v>1</v>
          </cell>
          <cell r="H366">
            <v>28</v>
          </cell>
        </row>
        <row r="367">
          <cell r="A367">
            <v>12</v>
          </cell>
          <cell r="B367" t="str">
            <v>Sumidero aguas lluvias - paredes dirección vertical doble parrilla</v>
          </cell>
          <cell r="C367">
            <v>0.56000000000000005</v>
          </cell>
          <cell r="D367">
            <v>1.03</v>
          </cell>
          <cell r="E367">
            <v>52</v>
          </cell>
          <cell r="F367">
            <v>12</v>
          </cell>
          <cell r="G367">
            <v>1</v>
          </cell>
          <cell r="H367">
            <v>360</v>
          </cell>
        </row>
        <row r="368">
          <cell r="A368">
            <v>13</v>
          </cell>
          <cell r="B368" t="str">
            <v>Sumidero aguas lluvias - paredes dirección horizontal doble parrilla</v>
          </cell>
          <cell r="C368">
            <v>0.56000000000000005</v>
          </cell>
          <cell r="D368">
            <v>3.48</v>
          </cell>
          <cell r="E368">
            <v>14</v>
          </cell>
          <cell r="F368">
            <v>12</v>
          </cell>
          <cell r="G368">
            <v>1</v>
          </cell>
          <cell r="H368">
            <v>327</v>
          </cell>
        </row>
        <row r="369">
          <cell r="A369">
            <v>14</v>
          </cell>
          <cell r="B369" t="str">
            <v>Acero Longitudinal Llave de confinamiento anden, ø=3/8"</v>
          </cell>
          <cell r="C369">
            <v>0.56000000000000005</v>
          </cell>
          <cell r="D369">
            <v>248</v>
          </cell>
          <cell r="E369">
            <v>1</v>
          </cell>
          <cell r="F369">
            <v>2</v>
          </cell>
          <cell r="G369">
            <v>1</v>
          </cell>
          <cell r="H369">
            <v>278</v>
          </cell>
        </row>
        <row r="370">
          <cell r="A370">
            <v>15</v>
          </cell>
          <cell r="B370" t="str">
            <v>Acero Transversal estribos llave de confinamiento anden, ø=1/4"</v>
          </cell>
          <cell r="C370">
            <v>0.56000000000000005</v>
          </cell>
          <cell r="D370">
            <v>0.25</v>
          </cell>
          <cell r="E370">
            <v>1161</v>
          </cell>
          <cell r="F370">
            <v>1</v>
          </cell>
          <cell r="G370">
            <v>1</v>
          </cell>
          <cell r="H370">
            <v>163</v>
          </cell>
        </row>
        <row r="371">
          <cell r="A371" t="str">
            <v>TOTAL CANTIDAD ITEM 13</v>
          </cell>
          <cell r="H371">
            <v>4129</v>
          </cell>
        </row>
        <row r="375">
          <cell r="A375" t="str">
            <v>DEPARTAMENTO DE ANTIOQUIA</v>
          </cell>
          <cell r="E375" t="str">
            <v/>
          </cell>
        </row>
        <row r="376">
          <cell r="A376" t="str">
            <v>MUNICIPIO DE DABEIBA</v>
          </cell>
        </row>
        <row r="377">
          <cell r="A377" t="str">
            <v>MEJORAMIENTO DE LA RED VIAL URBANA EN EL BARRIO SAN ANTONIO DEL MUNICIPIO DE DABEIBA</v>
          </cell>
        </row>
        <row r="379">
          <cell r="A379" t="str">
            <v>MEMORIA DE CANTIDADES</v>
          </cell>
        </row>
        <row r="381">
          <cell r="A381" t="str">
            <v>ITEM</v>
          </cell>
          <cell r="B381" t="str">
            <v>DESCRIPCIÓN</v>
          </cell>
          <cell r="G381" t="str">
            <v>UNIDAD</v>
          </cell>
          <cell r="H381" t="str">
            <v>CANTIDAD</v>
          </cell>
        </row>
        <row r="382">
          <cell r="A382" t="str">
            <v>8.2</v>
          </cell>
          <cell r="B382" t="str">
            <v>Suministro, transporte y colocación de Malla Electrosoldada 15x15cm Diametro 4.0mm (D-084)</v>
          </cell>
          <cell r="G382" t="str">
            <v>m2</v>
          </cell>
          <cell r="H382">
            <v>896</v>
          </cell>
        </row>
        <row r="383">
          <cell r="A383" t="str">
            <v>DETALLE</v>
          </cell>
          <cell r="C383" t="str">
            <v>FACTOR</v>
          </cell>
          <cell r="D383" t="str">
            <v>CANTIDAD</v>
          </cell>
          <cell r="E383" t="str">
            <v>A (ML)</v>
          </cell>
          <cell r="F383" t="str">
            <v>B(M2)</v>
          </cell>
          <cell r="G383" t="str">
            <v>C(M3)</v>
          </cell>
          <cell r="H383" t="str">
            <v>TOTAL</v>
          </cell>
        </row>
        <row r="384">
          <cell r="A384">
            <v>2</v>
          </cell>
          <cell r="B384" t="str">
            <v>Area de anden, Calle 46 entre carrera 08 e ingreso a unidad deportiva, Anden = 1,30m</v>
          </cell>
          <cell r="C384">
            <v>1</v>
          </cell>
          <cell r="D384">
            <v>1</v>
          </cell>
          <cell r="E384">
            <v>2.4</v>
          </cell>
          <cell r="F384">
            <v>290</v>
          </cell>
          <cell r="G384">
            <v>1</v>
          </cell>
          <cell r="H384">
            <v>696</v>
          </cell>
        </row>
        <row r="385">
          <cell r="A385">
            <v>3</v>
          </cell>
          <cell r="B385" t="str">
            <v>piso duro</v>
          </cell>
          <cell r="C385">
            <v>1</v>
          </cell>
          <cell r="D385">
            <v>1</v>
          </cell>
          <cell r="E385">
            <v>1</v>
          </cell>
          <cell r="F385">
            <v>200</v>
          </cell>
          <cell r="G385">
            <v>1</v>
          </cell>
          <cell r="H385">
            <v>200</v>
          </cell>
        </row>
        <row r="386">
          <cell r="H386" t="str">
            <v/>
          </cell>
        </row>
        <row r="387">
          <cell r="A387" t="str">
            <v>TOTAL CANTIDAD ITEM 8.2</v>
          </cell>
          <cell r="H387">
            <v>896</v>
          </cell>
        </row>
        <row r="390">
          <cell r="A390" t="str">
            <v>DEPARTAMENTO DE ANTIOQUIA</v>
          </cell>
          <cell r="E390" t="str">
            <v/>
          </cell>
        </row>
        <row r="391">
          <cell r="A391" t="str">
            <v>MUNICIPIO DE DABEIBA</v>
          </cell>
        </row>
        <row r="392">
          <cell r="A392" t="str">
            <v>MEJORAMIENTO DE LA RED VIAL URBANA EN EL BARRIO SAN ANTONIO DEL MUNICIPIO DE DABEIBA</v>
          </cell>
        </row>
        <row r="394">
          <cell r="A394" t="str">
            <v>MEMORIA DE CANTIDADES</v>
          </cell>
        </row>
        <row r="396">
          <cell r="A396" t="str">
            <v>ITEM</v>
          </cell>
          <cell r="B396" t="str">
            <v>DESCRIPCIÓN</v>
          </cell>
          <cell r="G396" t="str">
            <v>UNIDAD</v>
          </cell>
          <cell r="H396" t="str">
            <v>CANTIDAD</v>
          </cell>
        </row>
        <row r="397">
          <cell r="A397" t="str">
            <v>9.1</v>
          </cell>
          <cell r="B397" t="str">
            <v>Suministro, transporte e instalación de señal vertical de 75 cm x 75 cm más lámina inferior, en lámina galvanizada calibre 16, reflectivo tipo IX amarillo limón, estructura metálica tipo pedestal compuesto por un paral en ángulo de 2"x2"x1/4" y brazos en ángulo 2"x2"x1/8".</v>
          </cell>
          <cell r="G397" t="str">
            <v>Unidad</v>
          </cell>
          <cell r="H397">
            <v>19</v>
          </cell>
        </row>
        <row r="398">
          <cell r="A398" t="str">
            <v>DETALLE</v>
          </cell>
          <cell r="C398" t="str">
            <v>FACTOR</v>
          </cell>
          <cell r="D398" t="str">
            <v>CANTIDAD</v>
          </cell>
          <cell r="E398" t="str">
            <v>A (ML)</v>
          </cell>
          <cell r="F398" t="str">
            <v>B(M2)</v>
          </cell>
          <cell r="G398" t="str">
            <v>C(M3)</v>
          </cell>
          <cell r="H398" t="str">
            <v>TOTAL</v>
          </cell>
        </row>
        <row r="399">
          <cell r="A399">
            <v>1</v>
          </cell>
          <cell r="B399" t="str">
            <v>SP 12 Intersección lateral izquierda</v>
          </cell>
          <cell r="C399">
            <v>1</v>
          </cell>
          <cell r="D399">
            <v>4</v>
          </cell>
          <cell r="E399">
            <v>1</v>
          </cell>
          <cell r="F399">
            <v>1</v>
          </cell>
          <cell r="G399">
            <v>1</v>
          </cell>
          <cell r="H399">
            <v>4</v>
          </cell>
        </row>
        <row r="400">
          <cell r="A400">
            <v>2</v>
          </cell>
          <cell r="B400" t="str">
            <v>SP 13 Intersección lateral derecha</v>
          </cell>
          <cell r="C400">
            <v>1</v>
          </cell>
          <cell r="D400">
            <v>4</v>
          </cell>
          <cell r="E400">
            <v>1</v>
          </cell>
          <cell r="F400">
            <v>1</v>
          </cell>
          <cell r="G400">
            <v>1</v>
          </cell>
          <cell r="H400">
            <v>4</v>
          </cell>
        </row>
        <row r="401">
          <cell r="A401">
            <v>3</v>
          </cell>
          <cell r="B401" t="str">
            <v>SP 11 Intersección de vías</v>
          </cell>
          <cell r="C401">
            <v>1</v>
          </cell>
          <cell r="D401">
            <v>1</v>
          </cell>
          <cell r="E401">
            <v>1</v>
          </cell>
          <cell r="F401">
            <v>1</v>
          </cell>
          <cell r="G401">
            <v>1</v>
          </cell>
          <cell r="H401">
            <v>1</v>
          </cell>
        </row>
        <row r="402">
          <cell r="A402">
            <v>4</v>
          </cell>
          <cell r="B402" t="str">
            <v>SP 25A Ubicación de resalto</v>
          </cell>
          <cell r="C402">
            <v>1</v>
          </cell>
          <cell r="D402">
            <v>10</v>
          </cell>
          <cell r="E402">
            <v>1</v>
          </cell>
          <cell r="F402">
            <v>1</v>
          </cell>
          <cell r="G402">
            <v>1</v>
          </cell>
          <cell r="H402">
            <v>10</v>
          </cell>
        </row>
        <row r="403">
          <cell r="A403" t="str">
            <v>TOTAL CANTIDAD ITEM 9.1</v>
          </cell>
          <cell r="H403">
            <v>19</v>
          </cell>
        </row>
        <row r="406">
          <cell r="A406" t="str">
            <v>DEPARTAMENTO DE ANTIOQUIA</v>
          </cell>
          <cell r="E406" t="str">
            <v/>
          </cell>
        </row>
        <row r="407">
          <cell r="A407" t="str">
            <v>MUNICIPIO DE DABEIBA</v>
          </cell>
        </row>
        <row r="408">
          <cell r="A408" t="str">
            <v>MEJORAMIENTO DE LA RED VIAL URBANA EN EL BARRIO SAN ANTONIO DEL MUNICIPIO DE DABEIBA</v>
          </cell>
        </row>
        <row r="410">
          <cell r="A410" t="str">
            <v>MEMORIA DE CANTIDADES</v>
          </cell>
        </row>
        <row r="412">
          <cell r="A412" t="str">
            <v>ITEM</v>
          </cell>
          <cell r="B412" t="str">
            <v>DESCRIPCIÓN</v>
          </cell>
          <cell r="G412" t="str">
            <v>UNIDAD</v>
          </cell>
          <cell r="H412" t="str">
            <v>CANTIDAD</v>
          </cell>
        </row>
        <row r="413">
          <cell r="A413" t="str">
            <v>9.2</v>
          </cell>
          <cell r="B413" t="str">
            <v>Suministro, transporte e instalación de pintura acrílica sobre vía en pavimento, incluye todo lo necesario para su correcta instalación</v>
          </cell>
          <cell r="G413" t="str">
            <v>m2</v>
          </cell>
          <cell r="H413">
            <v>77</v>
          </cell>
        </row>
        <row r="414">
          <cell r="A414" t="str">
            <v>DETALLE</v>
          </cell>
          <cell r="C414" t="str">
            <v>FACTOR</v>
          </cell>
          <cell r="D414" t="str">
            <v>CANTIDAD</v>
          </cell>
          <cell r="E414" t="str">
            <v>A (ML)</v>
          </cell>
          <cell r="F414" t="str">
            <v>B(M2)</v>
          </cell>
          <cell r="G414" t="str">
            <v>C(M3)</v>
          </cell>
          <cell r="H414" t="str">
            <v>TOTAL</v>
          </cell>
        </row>
        <row r="415">
          <cell r="A415">
            <v>1</v>
          </cell>
          <cell r="B415" t="str">
            <v>Señal Horizontal PARE</v>
          </cell>
          <cell r="C415">
            <v>1</v>
          </cell>
          <cell r="D415">
            <v>4</v>
          </cell>
          <cell r="E415">
            <v>1</v>
          </cell>
          <cell r="F415">
            <v>4.5999999999999996</v>
          </cell>
          <cell r="G415">
            <v>1</v>
          </cell>
          <cell r="H415">
            <v>18.399999999999999</v>
          </cell>
        </row>
        <row r="416">
          <cell r="A416">
            <v>2</v>
          </cell>
          <cell r="B416" t="str">
            <v>Señal Horizontal DE FRENTE</v>
          </cell>
          <cell r="C416">
            <v>1</v>
          </cell>
          <cell r="D416">
            <v>7</v>
          </cell>
          <cell r="E416">
            <v>1</v>
          </cell>
          <cell r="F416">
            <v>1.5</v>
          </cell>
          <cell r="G416">
            <v>1</v>
          </cell>
          <cell r="H416">
            <v>10.5</v>
          </cell>
        </row>
        <row r="417">
          <cell r="A417">
            <v>3</v>
          </cell>
          <cell r="B417" t="str">
            <v>Señal Horizontal DE FRENTE O A LA DERECHA</v>
          </cell>
          <cell r="C417">
            <v>1</v>
          </cell>
          <cell r="D417">
            <v>4</v>
          </cell>
          <cell r="E417">
            <v>1</v>
          </cell>
          <cell r="F417">
            <v>2.17</v>
          </cell>
          <cell r="G417">
            <v>1</v>
          </cell>
          <cell r="H417">
            <v>8.68</v>
          </cell>
        </row>
        <row r="418">
          <cell r="A418">
            <v>4</v>
          </cell>
          <cell r="B418" t="str">
            <v>Señal Horizontal DE FRENTE, A LA DERECHA O A LA IZQUIERA</v>
          </cell>
          <cell r="C418">
            <v>1</v>
          </cell>
          <cell r="D418">
            <v>1</v>
          </cell>
          <cell r="E418">
            <v>1</v>
          </cell>
          <cell r="F418">
            <v>3.15</v>
          </cell>
          <cell r="G418">
            <v>1</v>
          </cell>
          <cell r="H418">
            <v>3.15</v>
          </cell>
        </row>
        <row r="419">
          <cell r="A419">
            <v>5</v>
          </cell>
          <cell r="B419" t="str">
            <v>Señal Horizontal DE FRENTE O A LA IZQUIERDA</v>
          </cell>
          <cell r="C419">
            <v>1</v>
          </cell>
          <cell r="D419">
            <v>4</v>
          </cell>
          <cell r="E419">
            <v>1</v>
          </cell>
          <cell r="F419">
            <v>2.17</v>
          </cell>
          <cell r="G419">
            <v>1</v>
          </cell>
          <cell r="H419">
            <v>8.68</v>
          </cell>
        </row>
        <row r="420">
          <cell r="A420">
            <v>6</v>
          </cell>
          <cell r="B420" t="str">
            <v>Linea EJE DE VIA</v>
          </cell>
          <cell r="C420">
            <v>1</v>
          </cell>
          <cell r="D420">
            <v>1</v>
          </cell>
          <cell r="E420">
            <v>272</v>
          </cell>
          <cell r="F420">
            <v>0.1</v>
          </cell>
          <cell r="G420">
            <v>1</v>
          </cell>
          <cell r="H420">
            <v>27.200000000000003</v>
          </cell>
        </row>
        <row r="421">
          <cell r="A421" t="str">
            <v>TOTAL CANTIDAD ITEM 9.2</v>
          </cell>
          <cell r="H421">
            <v>77</v>
          </cell>
        </row>
        <row r="424">
          <cell r="A424" t="str">
            <v>DEPARTAMENTO DE ANTIOQUIA</v>
          </cell>
          <cell r="E424" t="str">
            <v/>
          </cell>
        </row>
        <row r="425">
          <cell r="A425" t="str">
            <v>MUNICIPIO DE DABEIBA</v>
          </cell>
        </row>
        <row r="426">
          <cell r="A426" t="str">
            <v>MEJORAMIENTO DE LA RED VIAL URBANA EN EL BARRIO SAN ANTONIO DEL MUNICIPIO DE DABEIBA</v>
          </cell>
        </row>
        <row r="428">
          <cell r="A428" t="str">
            <v>MEMORIA DE CANTIDADES</v>
          </cell>
        </row>
        <row r="430">
          <cell r="A430" t="str">
            <v>ITEM</v>
          </cell>
          <cell r="B430" t="str">
            <v>DESCRIPCIÓN</v>
          </cell>
          <cell r="G430" t="str">
            <v>UNIDAD</v>
          </cell>
          <cell r="H430" t="str">
            <v>CANTIDAD</v>
          </cell>
        </row>
        <row r="431">
          <cell r="A431" t="str">
            <v>10.1</v>
          </cell>
          <cell r="B431" t="str">
            <v>Caja tipo sumidero en concreto de 2500 psi, 80x80 cm, incluye Rejilla tipo basculante compuesta por un marco, ala, bisagra o punto de pivote, No incluye refuerzo.</v>
          </cell>
          <cell r="G431" t="str">
            <v>Unidad</v>
          </cell>
          <cell r="H431">
            <v>77</v>
          </cell>
        </row>
        <row r="432">
          <cell r="A432" t="str">
            <v>DETALLE</v>
          </cell>
          <cell r="C432" t="str">
            <v>FACTOR</v>
          </cell>
          <cell r="D432" t="str">
            <v>CANTIDAD</v>
          </cell>
          <cell r="E432" t="str">
            <v>A (ML)</v>
          </cell>
          <cell r="F432" t="str">
            <v>B(M2)</v>
          </cell>
          <cell r="G432" t="str">
            <v>C(M3)</v>
          </cell>
          <cell r="H432" t="str">
            <v>TOTAL</v>
          </cell>
        </row>
        <row r="433">
          <cell r="A433">
            <v>1</v>
          </cell>
          <cell r="B433" t="str">
            <v>Señal Horizontal PARE</v>
          </cell>
          <cell r="C433">
            <v>1</v>
          </cell>
          <cell r="D433">
            <v>4</v>
          </cell>
          <cell r="E433">
            <v>1</v>
          </cell>
          <cell r="F433">
            <v>4.5999999999999996</v>
          </cell>
          <cell r="G433">
            <v>1</v>
          </cell>
          <cell r="H433">
            <v>18.399999999999999</v>
          </cell>
        </row>
        <row r="434">
          <cell r="A434">
            <v>2</v>
          </cell>
          <cell r="B434" t="str">
            <v>Señal Horizontal DE FRENTE</v>
          </cell>
          <cell r="C434">
            <v>1</v>
          </cell>
          <cell r="D434">
            <v>7</v>
          </cell>
          <cell r="E434">
            <v>1</v>
          </cell>
          <cell r="F434">
            <v>1.5</v>
          </cell>
          <cell r="G434">
            <v>1</v>
          </cell>
          <cell r="H434">
            <v>10.5</v>
          </cell>
        </row>
        <row r="435">
          <cell r="A435">
            <v>3</v>
          </cell>
          <cell r="B435" t="str">
            <v>Señal Horizontal DE FRENTE O A LA DERECHA</v>
          </cell>
          <cell r="C435">
            <v>1</v>
          </cell>
          <cell r="D435">
            <v>4</v>
          </cell>
          <cell r="E435">
            <v>1</v>
          </cell>
          <cell r="F435">
            <v>2.17</v>
          </cell>
          <cell r="G435">
            <v>1</v>
          </cell>
          <cell r="H435">
            <v>8.68</v>
          </cell>
        </row>
        <row r="436">
          <cell r="A436">
            <v>4</v>
          </cell>
          <cell r="B436" t="str">
            <v>Señal Horizontal DE FRENTE, A LA DERECHA O A LA IZQUIERA</v>
          </cell>
          <cell r="C436">
            <v>1</v>
          </cell>
          <cell r="D436">
            <v>1</v>
          </cell>
          <cell r="E436">
            <v>1</v>
          </cell>
          <cell r="F436">
            <v>3.15</v>
          </cell>
          <cell r="G436">
            <v>1</v>
          </cell>
          <cell r="H436">
            <v>3.15</v>
          </cell>
        </row>
        <row r="437">
          <cell r="A437">
            <v>5</v>
          </cell>
          <cell r="B437" t="str">
            <v>Señal Horizontal DE FRENTE O A LA IZQUIERDA</v>
          </cell>
          <cell r="C437">
            <v>1</v>
          </cell>
          <cell r="D437">
            <v>4</v>
          </cell>
          <cell r="E437">
            <v>1</v>
          </cell>
          <cell r="F437">
            <v>2.17</v>
          </cell>
          <cell r="G437">
            <v>1</v>
          </cell>
          <cell r="H437">
            <v>8.68</v>
          </cell>
        </row>
        <row r="438">
          <cell r="A438">
            <v>6</v>
          </cell>
          <cell r="B438" t="str">
            <v>Linea EJE DE VIA</v>
          </cell>
          <cell r="C438">
            <v>1</v>
          </cell>
          <cell r="D438">
            <v>1</v>
          </cell>
          <cell r="E438">
            <v>272</v>
          </cell>
          <cell r="F438">
            <v>0.1</v>
          </cell>
          <cell r="G438">
            <v>1</v>
          </cell>
          <cell r="H438">
            <v>27.200000000000003</v>
          </cell>
        </row>
        <row r="439">
          <cell r="A439" t="str">
            <v>TOTAL CANTIDAD ITEM 10.1</v>
          </cell>
          <cell r="H439">
            <v>77</v>
          </cell>
        </row>
        <row r="442">
          <cell r="A442" t="str">
            <v>DEPARTAMENTO DE ANTIOQUIA</v>
          </cell>
          <cell r="E442" t="str">
            <v/>
          </cell>
        </row>
        <row r="443">
          <cell r="A443" t="str">
            <v>MUNICIPIO DE DABEIBA</v>
          </cell>
        </row>
        <row r="444">
          <cell r="A444" t="str">
            <v>MEJORAMIENTO DE LA RED VIAL URBANA EN EL BARRIO SAN ANTONIO DEL MUNICIPIO DE DABEIBA</v>
          </cell>
        </row>
        <row r="446">
          <cell r="A446" t="str">
            <v>MEMORIA DE CANTIDADES</v>
          </cell>
        </row>
        <row r="448">
          <cell r="A448" t="str">
            <v>ITEM</v>
          </cell>
          <cell r="B448" t="str">
            <v>DESCRIPCIÓN</v>
          </cell>
          <cell r="G448" t="str">
            <v>UNIDAD</v>
          </cell>
          <cell r="H448" t="str">
            <v>CANTIDAD</v>
          </cell>
        </row>
        <row r="449">
          <cell r="A449" t="str">
            <v>10.1</v>
          </cell>
          <cell r="B449" t="str">
            <v>Caja tipo sumidero en concreto de 2500 psi, 80x80 cm, incluye Rejilla tipo basculante compuesta por un marco, ala, bisagra o punto de pivote, No incluye refuerzo.</v>
          </cell>
          <cell r="G449" t="str">
            <v>Unidad</v>
          </cell>
          <cell r="H449">
            <v>11</v>
          </cell>
        </row>
        <row r="450">
          <cell r="A450" t="str">
            <v>DETALLE</v>
          </cell>
          <cell r="C450" t="str">
            <v>FACTOR</v>
          </cell>
          <cell r="D450" t="str">
            <v>CANTIDAD</v>
          </cell>
          <cell r="E450" t="str">
            <v>A (ML)</v>
          </cell>
          <cell r="F450" t="str">
            <v>B(M2)</v>
          </cell>
          <cell r="G450" t="str">
            <v>C(M3)</v>
          </cell>
          <cell r="H450" t="str">
            <v>TOTAL</v>
          </cell>
        </row>
        <row r="451">
          <cell r="A451">
            <v>1</v>
          </cell>
          <cell r="B451" t="str">
            <v>Sumidero a MH P51</v>
          </cell>
          <cell r="C451">
            <v>1</v>
          </cell>
          <cell r="D451">
            <v>1</v>
          </cell>
          <cell r="E451">
            <v>1</v>
          </cell>
          <cell r="F451">
            <v>1</v>
          </cell>
          <cell r="G451">
            <v>1</v>
          </cell>
          <cell r="H451">
            <v>1</v>
          </cell>
        </row>
        <row r="452">
          <cell r="A452">
            <v>2</v>
          </cell>
          <cell r="B452" t="str">
            <v>Sumidero a MH P50</v>
          </cell>
          <cell r="C452">
            <v>1</v>
          </cell>
          <cell r="D452">
            <v>2</v>
          </cell>
          <cell r="E452">
            <v>1</v>
          </cell>
          <cell r="F452">
            <v>1</v>
          </cell>
          <cell r="G452">
            <v>1</v>
          </cell>
          <cell r="H452">
            <v>2</v>
          </cell>
        </row>
        <row r="453">
          <cell r="A453">
            <v>3</v>
          </cell>
          <cell r="B453" t="str">
            <v>Sumidero a MH P49</v>
          </cell>
          <cell r="C453">
            <v>1</v>
          </cell>
          <cell r="D453">
            <v>2</v>
          </cell>
          <cell r="E453">
            <v>1</v>
          </cell>
          <cell r="F453">
            <v>1</v>
          </cell>
          <cell r="G453">
            <v>1</v>
          </cell>
          <cell r="H453">
            <v>2</v>
          </cell>
        </row>
        <row r="454">
          <cell r="A454">
            <v>4</v>
          </cell>
          <cell r="B454" t="str">
            <v>Sumidero a MH P48</v>
          </cell>
          <cell r="C454">
            <v>1</v>
          </cell>
          <cell r="D454">
            <v>2</v>
          </cell>
          <cell r="E454">
            <v>1</v>
          </cell>
          <cell r="F454">
            <v>1</v>
          </cell>
          <cell r="G454">
            <v>1</v>
          </cell>
          <cell r="H454">
            <v>2</v>
          </cell>
        </row>
        <row r="455">
          <cell r="A455">
            <v>5</v>
          </cell>
          <cell r="B455" t="str">
            <v>Sumidero a MH P46A</v>
          </cell>
          <cell r="C455">
            <v>1</v>
          </cell>
          <cell r="D455">
            <v>2</v>
          </cell>
          <cell r="E455">
            <v>1</v>
          </cell>
          <cell r="F455">
            <v>1</v>
          </cell>
          <cell r="G455">
            <v>1</v>
          </cell>
          <cell r="H455">
            <v>2</v>
          </cell>
        </row>
        <row r="456">
          <cell r="A456">
            <v>6</v>
          </cell>
          <cell r="B456" t="str">
            <v>Sumidero a MH P45A</v>
          </cell>
          <cell r="C456">
            <v>1</v>
          </cell>
          <cell r="D456">
            <v>2</v>
          </cell>
          <cell r="E456">
            <v>1</v>
          </cell>
          <cell r="F456">
            <v>1</v>
          </cell>
          <cell r="G456">
            <v>1</v>
          </cell>
          <cell r="H456">
            <v>2</v>
          </cell>
        </row>
        <row r="457">
          <cell r="A457" t="str">
            <v>TOTAL CANTIDAD ITEM 10.1</v>
          </cell>
          <cell r="H457">
            <v>11</v>
          </cell>
        </row>
        <row r="460">
          <cell r="A460" t="str">
            <v>P</v>
          </cell>
          <cell r="E460" t="str">
            <v/>
          </cell>
        </row>
        <row r="461">
          <cell r="A461" t="str">
            <v>MUNICIPIO DE DABEIBA</v>
          </cell>
        </row>
        <row r="462">
          <cell r="A462" t="str">
            <v>MEJORAMIENTO DE LA RED VIAL URBANA EN EL BARRIO SAN ANTONIO DEL MUNICIPIO DE DABEIBA</v>
          </cell>
        </row>
        <row r="464">
          <cell r="A464" t="str">
            <v>MEMORIA DE CANTIDADES</v>
          </cell>
        </row>
        <row r="466">
          <cell r="A466" t="str">
            <v>ITEM</v>
          </cell>
          <cell r="B466" t="str">
            <v>DESCRIPCIÓN</v>
          </cell>
          <cell r="G466" t="str">
            <v>UNIDAD</v>
          </cell>
          <cell r="H466" t="str">
            <v>CANTIDAD</v>
          </cell>
        </row>
        <row r="467">
          <cell r="A467" t="str">
            <v>10.2</v>
          </cell>
          <cell r="B467" t="str">
            <v>Base y cañuela para cámara de inspección d = 1,20 m en concreto de 280Kg/cm2 no reforzado</v>
          </cell>
          <cell r="G467" t="str">
            <v>Unidad</v>
          </cell>
          <cell r="H467">
            <v>6</v>
          </cell>
        </row>
        <row r="468">
          <cell r="A468" t="str">
            <v>DETALLE</v>
          </cell>
          <cell r="C468" t="str">
            <v>FACTOR</v>
          </cell>
          <cell r="D468" t="str">
            <v>CANTIDAD</v>
          </cell>
          <cell r="E468" t="str">
            <v>A (ML)</v>
          </cell>
          <cell r="F468" t="str">
            <v>B(M2)</v>
          </cell>
          <cell r="G468" t="str">
            <v>C(M3)</v>
          </cell>
          <cell r="H468" t="str">
            <v>TOTAL</v>
          </cell>
        </row>
        <row r="469">
          <cell r="A469">
            <v>1</v>
          </cell>
          <cell r="B469" t="str">
            <v>MH P51</v>
          </cell>
          <cell r="C469">
            <v>1</v>
          </cell>
          <cell r="D469">
            <v>1</v>
          </cell>
          <cell r="E469">
            <v>1</v>
          </cell>
          <cell r="F469">
            <v>1</v>
          </cell>
          <cell r="G469">
            <v>1</v>
          </cell>
          <cell r="H469">
            <v>1</v>
          </cell>
        </row>
        <row r="470">
          <cell r="A470">
            <v>2</v>
          </cell>
          <cell r="B470" t="str">
            <v>MH P50</v>
          </cell>
          <cell r="C470">
            <v>1</v>
          </cell>
          <cell r="D470">
            <v>1</v>
          </cell>
          <cell r="E470">
            <v>1</v>
          </cell>
          <cell r="F470">
            <v>1</v>
          </cell>
          <cell r="G470">
            <v>1</v>
          </cell>
          <cell r="H470">
            <v>1</v>
          </cell>
        </row>
        <row r="471">
          <cell r="A471">
            <v>3</v>
          </cell>
          <cell r="B471" t="str">
            <v>MH P49</v>
          </cell>
          <cell r="C471">
            <v>1</v>
          </cell>
          <cell r="D471">
            <v>1</v>
          </cell>
          <cell r="E471">
            <v>1</v>
          </cell>
          <cell r="F471">
            <v>1</v>
          </cell>
          <cell r="G471">
            <v>1</v>
          </cell>
          <cell r="H471">
            <v>1</v>
          </cell>
        </row>
        <row r="472">
          <cell r="A472">
            <v>4</v>
          </cell>
          <cell r="B472" t="str">
            <v>MH P48</v>
          </cell>
          <cell r="C472">
            <v>1</v>
          </cell>
          <cell r="D472">
            <v>1</v>
          </cell>
          <cell r="E472">
            <v>1</v>
          </cell>
          <cell r="F472">
            <v>1</v>
          </cell>
          <cell r="G472">
            <v>1</v>
          </cell>
          <cell r="H472">
            <v>1</v>
          </cell>
        </row>
        <row r="473">
          <cell r="A473">
            <v>5</v>
          </cell>
          <cell r="B473" t="str">
            <v>MH P46A</v>
          </cell>
          <cell r="C473">
            <v>1</v>
          </cell>
          <cell r="D473">
            <v>1</v>
          </cell>
          <cell r="E473">
            <v>1</v>
          </cell>
          <cell r="F473">
            <v>1</v>
          </cell>
          <cell r="G473">
            <v>1</v>
          </cell>
          <cell r="H473">
            <v>1</v>
          </cell>
        </row>
        <row r="474">
          <cell r="A474">
            <v>6</v>
          </cell>
          <cell r="B474" t="str">
            <v>MH P45A</v>
          </cell>
          <cell r="C474">
            <v>1</v>
          </cell>
          <cell r="D474">
            <v>1</v>
          </cell>
          <cell r="E474">
            <v>1</v>
          </cell>
          <cell r="F474">
            <v>1</v>
          </cell>
          <cell r="G474">
            <v>1</v>
          </cell>
          <cell r="H474">
            <v>1</v>
          </cell>
        </row>
        <row r="475">
          <cell r="A475" t="str">
            <v>TOTAL CANTIDAD ITEM 10.2</v>
          </cell>
          <cell r="H475">
            <v>6</v>
          </cell>
        </row>
        <row r="478">
          <cell r="A478" t="str">
            <v>DEPARTAMENTO DE ANTIOQUIA</v>
          </cell>
          <cell r="E478" t="str">
            <v/>
          </cell>
        </row>
        <row r="479">
          <cell r="A479" t="str">
            <v>MUNICIPIO DE DABEIBA</v>
          </cell>
        </row>
        <row r="480">
          <cell r="A480" t="str">
            <v>MEJORAMIENTO DE LA RED VIAL URBANA EN EL BARRIO SAN ANTONIO DEL MUNICIPIO DE DABEIBA</v>
          </cell>
        </row>
        <row r="482">
          <cell r="A482" t="str">
            <v>MEMORIA DE CANTIDADES</v>
          </cell>
        </row>
        <row r="484">
          <cell r="A484" t="str">
            <v>ITEM</v>
          </cell>
          <cell r="B484" t="str">
            <v>DESCRIPCIÓN</v>
          </cell>
          <cell r="G484" t="str">
            <v>UNIDAD</v>
          </cell>
          <cell r="H484" t="str">
            <v>CANTIDAD</v>
          </cell>
        </row>
        <row r="485">
          <cell r="A485" t="str">
            <v>10.3</v>
          </cell>
          <cell r="B485" t="str">
            <v>Cuerpo para cámara de inspección d = 1,20 m, en concreto no reforzado de 280Kg/cm2, incluye suministro e instalación de peldaños en ganchos de acero ø=5/8".</v>
          </cell>
          <cell r="G485" t="str">
            <v>ml</v>
          </cell>
          <cell r="H485">
            <v>5</v>
          </cell>
        </row>
        <row r="486">
          <cell r="A486" t="str">
            <v>DETALLE</v>
          </cell>
          <cell r="C486" t="str">
            <v>FACTOR</v>
          </cell>
          <cell r="D486" t="str">
            <v>CANTIDAD</v>
          </cell>
          <cell r="E486" t="str">
            <v>A (ML)</v>
          </cell>
          <cell r="F486" t="str">
            <v>B(M2)</v>
          </cell>
          <cell r="G486" t="str">
            <v>C(M3)</v>
          </cell>
          <cell r="H486" t="str">
            <v>TOTAL</v>
          </cell>
        </row>
        <row r="487">
          <cell r="A487">
            <v>1</v>
          </cell>
          <cell r="B487" t="str">
            <v>Cuerpo MH P51</v>
          </cell>
          <cell r="C487">
            <v>1</v>
          </cell>
          <cell r="D487">
            <v>1</v>
          </cell>
          <cell r="E487">
            <v>0.3</v>
          </cell>
          <cell r="F487">
            <v>1</v>
          </cell>
          <cell r="G487">
            <v>1</v>
          </cell>
          <cell r="H487">
            <v>0.3</v>
          </cell>
        </row>
        <row r="488">
          <cell r="A488">
            <v>2</v>
          </cell>
          <cell r="B488" t="str">
            <v>Cuerpo MH P50</v>
          </cell>
          <cell r="C488">
            <v>1</v>
          </cell>
          <cell r="D488">
            <v>1</v>
          </cell>
          <cell r="E488">
            <v>0.55000000000000004</v>
          </cell>
          <cell r="F488">
            <v>1</v>
          </cell>
          <cell r="G488">
            <v>1</v>
          </cell>
          <cell r="H488">
            <v>0.55000000000000004</v>
          </cell>
        </row>
        <row r="489">
          <cell r="A489">
            <v>3</v>
          </cell>
          <cell r="B489" t="str">
            <v>Cuerpo MH P49</v>
          </cell>
          <cell r="C489">
            <v>1</v>
          </cell>
          <cell r="D489">
            <v>1</v>
          </cell>
          <cell r="E489">
            <v>1.08</v>
          </cell>
          <cell r="F489">
            <v>1</v>
          </cell>
          <cell r="G489">
            <v>1</v>
          </cell>
          <cell r="H489">
            <v>1.08</v>
          </cell>
        </row>
        <row r="490">
          <cell r="A490">
            <v>4</v>
          </cell>
          <cell r="B490" t="str">
            <v>Cuerpo MH P48</v>
          </cell>
          <cell r="C490">
            <v>1</v>
          </cell>
          <cell r="D490">
            <v>1</v>
          </cell>
          <cell r="E490">
            <v>1.35</v>
          </cell>
          <cell r="F490">
            <v>1</v>
          </cell>
          <cell r="G490">
            <v>1</v>
          </cell>
          <cell r="H490">
            <v>1.35</v>
          </cell>
        </row>
        <row r="491">
          <cell r="A491">
            <v>5</v>
          </cell>
          <cell r="B491" t="str">
            <v>Cuerpo MH P46A</v>
          </cell>
          <cell r="C491">
            <v>1</v>
          </cell>
          <cell r="D491">
            <v>1</v>
          </cell>
          <cell r="E491">
            <v>0.93000000000000016</v>
          </cell>
          <cell r="F491">
            <v>1</v>
          </cell>
          <cell r="G491">
            <v>1</v>
          </cell>
          <cell r="H491">
            <v>0.93000000000000016</v>
          </cell>
        </row>
        <row r="492">
          <cell r="A492">
            <v>6</v>
          </cell>
          <cell r="B492" t="str">
            <v>Cuerpo MH P45A</v>
          </cell>
          <cell r="C492">
            <v>1</v>
          </cell>
          <cell r="D492">
            <v>1</v>
          </cell>
          <cell r="E492">
            <v>0.60000000000000009</v>
          </cell>
          <cell r="F492">
            <v>1</v>
          </cell>
          <cell r="G492">
            <v>1</v>
          </cell>
          <cell r="H492">
            <v>0.60000000000000009</v>
          </cell>
        </row>
        <row r="493">
          <cell r="A493" t="str">
            <v>TOTAL CANTIDAD ITEM 10.3</v>
          </cell>
          <cell r="H493">
            <v>5</v>
          </cell>
        </row>
        <row r="496">
          <cell r="A496" t="str">
            <v>DEPARTAMENTO DE ANTIOQUIA</v>
          </cell>
          <cell r="E496" t="str">
            <v/>
          </cell>
        </row>
        <row r="497">
          <cell r="A497" t="str">
            <v>MUNICIPIO DE DABEIBA</v>
          </cell>
        </row>
        <row r="498">
          <cell r="A498" t="str">
            <v>MEJORAMIENTO DE LA RED VIAL URBANA EN EL BARRIO SAN ANTONIO DEL MUNICIPIO DE DABEIBA</v>
          </cell>
        </row>
        <row r="500">
          <cell r="A500" t="str">
            <v>MEMORIA DE CANTIDADES</v>
          </cell>
        </row>
        <row r="502">
          <cell r="A502" t="str">
            <v>ITEM</v>
          </cell>
          <cell r="B502" t="str">
            <v>DESCRIPCIÓN</v>
          </cell>
          <cell r="G502" t="str">
            <v>UNIDAD</v>
          </cell>
          <cell r="H502" t="str">
            <v>CANTIDAD</v>
          </cell>
        </row>
        <row r="503">
          <cell r="A503" t="str">
            <v>10.4</v>
          </cell>
          <cell r="B503" t="str">
            <v>Cono para cámara de inspección d = 1,20 m, en concreto reforzado de 280Kg/cm2, incluye suministro e instalación de peldaños en ganchos de acero ø=5/8". El acero de refuerzo se pagara en su respectivo item</v>
          </cell>
          <cell r="G503" t="str">
            <v>Unidad</v>
          </cell>
          <cell r="H503">
            <v>4</v>
          </cell>
        </row>
        <row r="504">
          <cell r="A504" t="str">
            <v>DETALLE</v>
          </cell>
          <cell r="C504" t="str">
            <v>FACTOR</v>
          </cell>
          <cell r="D504" t="str">
            <v>CANTIDAD</v>
          </cell>
          <cell r="E504" t="str">
            <v>A (ML)</v>
          </cell>
          <cell r="F504" t="str">
            <v>B(M2)</v>
          </cell>
          <cell r="G504" t="str">
            <v>C(M3)</v>
          </cell>
          <cell r="H504" t="str">
            <v>TOTAL</v>
          </cell>
        </row>
        <row r="505">
          <cell r="A505">
            <v>1</v>
          </cell>
          <cell r="B505" t="str">
            <v>Cono MH P51</v>
          </cell>
          <cell r="C505">
            <v>1</v>
          </cell>
          <cell r="D505">
            <v>1</v>
          </cell>
          <cell r="E505">
            <v>0.7</v>
          </cell>
          <cell r="F505">
            <v>1</v>
          </cell>
          <cell r="G505">
            <v>1</v>
          </cell>
          <cell r="H505">
            <v>0.7</v>
          </cell>
        </row>
        <row r="506">
          <cell r="A506">
            <v>2</v>
          </cell>
          <cell r="B506" t="str">
            <v>Cono MH P50</v>
          </cell>
          <cell r="C506">
            <v>1</v>
          </cell>
          <cell r="D506">
            <v>1</v>
          </cell>
          <cell r="E506">
            <v>0.7</v>
          </cell>
          <cell r="F506">
            <v>1</v>
          </cell>
          <cell r="G506">
            <v>1</v>
          </cell>
          <cell r="H506">
            <v>0.7</v>
          </cell>
        </row>
        <row r="507">
          <cell r="A507">
            <v>3</v>
          </cell>
          <cell r="B507" t="str">
            <v>Cono MH P49</v>
          </cell>
          <cell r="C507">
            <v>1</v>
          </cell>
          <cell r="D507">
            <v>1</v>
          </cell>
          <cell r="E507">
            <v>0.7</v>
          </cell>
          <cell r="F507">
            <v>1</v>
          </cell>
          <cell r="G507">
            <v>1</v>
          </cell>
          <cell r="H507">
            <v>0.7</v>
          </cell>
        </row>
        <row r="508">
          <cell r="A508">
            <v>4</v>
          </cell>
          <cell r="B508" t="str">
            <v>Cono MH P48</v>
          </cell>
          <cell r="C508">
            <v>1</v>
          </cell>
          <cell r="D508">
            <v>1</v>
          </cell>
          <cell r="E508">
            <v>0.7</v>
          </cell>
          <cell r="F508">
            <v>1</v>
          </cell>
          <cell r="G508">
            <v>1</v>
          </cell>
          <cell r="H508">
            <v>0.7</v>
          </cell>
        </row>
        <row r="509">
          <cell r="A509">
            <v>5</v>
          </cell>
          <cell r="B509" t="str">
            <v>Cono MH P46A</v>
          </cell>
          <cell r="C509">
            <v>1</v>
          </cell>
          <cell r="D509">
            <v>1</v>
          </cell>
          <cell r="E509">
            <v>0.7</v>
          </cell>
          <cell r="F509">
            <v>1</v>
          </cell>
          <cell r="G509">
            <v>1</v>
          </cell>
          <cell r="H509">
            <v>0.7</v>
          </cell>
        </row>
        <row r="510">
          <cell r="A510">
            <v>6</v>
          </cell>
          <cell r="B510" t="str">
            <v>Cono MH P45A</v>
          </cell>
          <cell r="C510">
            <v>1</v>
          </cell>
          <cell r="D510">
            <v>1</v>
          </cell>
          <cell r="E510">
            <v>0.7</v>
          </cell>
          <cell r="F510">
            <v>1</v>
          </cell>
          <cell r="G510">
            <v>1</v>
          </cell>
          <cell r="H510">
            <v>0.7</v>
          </cell>
        </row>
        <row r="511">
          <cell r="A511" t="str">
            <v>TOTAL CANTIDAD ITEM 10.4</v>
          </cell>
          <cell r="H511">
            <v>4</v>
          </cell>
        </row>
        <row r="514">
          <cell r="A514" t="str">
            <v>DEPARTAMENTO DE ANTIOQUIA</v>
          </cell>
          <cell r="E514" t="str">
            <v/>
          </cell>
        </row>
        <row r="515">
          <cell r="A515" t="str">
            <v>MUNICIPIO DE DABEIBA</v>
          </cell>
        </row>
        <row r="516">
          <cell r="A516" t="str">
            <v>MEJORAMIENTO DE LA RED VIAL URBANA EN EL BARRIO SAN ANTONIO DEL MUNICIPIO DE DABEIBA</v>
          </cell>
        </row>
        <row r="518">
          <cell r="A518" t="str">
            <v>MEMORIA DE CANTIDADES</v>
          </cell>
        </row>
        <row r="520">
          <cell r="A520" t="str">
            <v>ITEM</v>
          </cell>
          <cell r="B520" t="str">
            <v>DESCRIPCIÓN</v>
          </cell>
          <cell r="G520" t="str">
            <v>UNIDAD</v>
          </cell>
          <cell r="H520" t="str">
            <v>CANTIDAD</v>
          </cell>
        </row>
        <row r="521">
          <cell r="A521" t="str">
            <v>10.5</v>
          </cell>
          <cell r="B521" t="str">
            <v>Tapa en concreto reforzado de 280Kg/cm2 para cámara de inspección d = 0,60 m, incluye aro base y aro tapa. El acero de refuerzo se pagara en su respectivo item</v>
          </cell>
          <cell r="G521" t="str">
            <v>Unidad</v>
          </cell>
          <cell r="H521">
            <v>6</v>
          </cell>
        </row>
        <row r="522">
          <cell r="A522" t="str">
            <v>DETALLE</v>
          </cell>
          <cell r="C522" t="str">
            <v>FACTOR</v>
          </cell>
          <cell r="D522" t="str">
            <v>CANTIDAD</v>
          </cell>
          <cell r="E522" t="str">
            <v>A (ML)</v>
          </cell>
          <cell r="F522" t="str">
            <v>B(M2)</v>
          </cell>
          <cell r="G522" t="str">
            <v>C(M3)</v>
          </cell>
          <cell r="H522" t="str">
            <v>TOTAL</v>
          </cell>
        </row>
        <row r="523">
          <cell r="A523">
            <v>1</v>
          </cell>
          <cell r="B523" t="str">
            <v>Tapa MH P51</v>
          </cell>
          <cell r="C523">
            <v>1</v>
          </cell>
          <cell r="D523">
            <v>1</v>
          </cell>
          <cell r="E523">
            <v>1</v>
          </cell>
          <cell r="F523">
            <v>1</v>
          </cell>
          <cell r="G523">
            <v>1</v>
          </cell>
          <cell r="H523">
            <v>1</v>
          </cell>
        </row>
        <row r="524">
          <cell r="A524">
            <v>2</v>
          </cell>
          <cell r="B524" t="str">
            <v>Tapa MH P50</v>
          </cell>
          <cell r="C524">
            <v>1</v>
          </cell>
          <cell r="D524">
            <v>1</v>
          </cell>
          <cell r="E524">
            <v>1</v>
          </cell>
          <cell r="F524">
            <v>1</v>
          </cell>
          <cell r="G524">
            <v>1</v>
          </cell>
          <cell r="H524">
            <v>1</v>
          </cell>
        </row>
        <row r="525">
          <cell r="A525">
            <v>3</v>
          </cell>
          <cell r="B525" t="str">
            <v>Tapa MH P49</v>
          </cell>
          <cell r="C525">
            <v>1</v>
          </cell>
          <cell r="D525">
            <v>1</v>
          </cell>
          <cell r="E525">
            <v>1</v>
          </cell>
          <cell r="F525">
            <v>1</v>
          </cell>
          <cell r="G525">
            <v>1</v>
          </cell>
          <cell r="H525">
            <v>1</v>
          </cell>
        </row>
        <row r="526">
          <cell r="A526">
            <v>4</v>
          </cell>
          <cell r="B526" t="str">
            <v>Tapa MH P48</v>
          </cell>
          <cell r="C526">
            <v>1</v>
          </cell>
          <cell r="D526">
            <v>1</v>
          </cell>
          <cell r="E526">
            <v>1</v>
          </cell>
          <cell r="F526">
            <v>1</v>
          </cell>
          <cell r="G526">
            <v>1</v>
          </cell>
          <cell r="H526">
            <v>1</v>
          </cell>
        </row>
        <row r="527">
          <cell r="A527">
            <v>5</v>
          </cell>
          <cell r="B527" t="str">
            <v>Tapa MH P46A</v>
          </cell>
          <cell r="C527">
            <v>1</v>
          </cell>
          <cell r="D527">
            <v>1</v>
          </cell>
          <cell r="E527">
            <v>1</v>
          </cell>
          <cell r="F527">
            <v>1</v>
          </cell>
          <cell r="G527">
            <v>1</v>
          </cell>
          <cell r="H527">
            <v>1</v>
          </cell>
        </row>
        <row r="528">
          <cell r="A528">
            <v>6</v>
          </cell>
          <cell r="B528" t="str">
            <v>Tapa MH P45A</v>
          </cell>
          <cell r="C528">
            <v>1</v>
          </cell>
          <cell r="D528">
            <v>1</v>
          </cell>
          <cell r="E528">
            <v>1</v>
          </cell>
          <cell r="F528">
            <v>1</v>
          </cell>
          <cell r="G528">
            <v>1</v>
          </cell>
          <cell r="H528">
            <v>1</v>
          </cell>
        </row>
        <row r="529">
          <cell r="A529" t="str">
            <v>TOTAL CANTIDAD ITEM 10.5</v>
          </cell>
          <cell r="H529">
            <v>6</v>
          </cell>
        </row>
        <row r="532">
          <cell r="A532" t="str">
            <v>DEPARTAMENTO DE ANTIOQUIA</v>
          </cell>
          <cell r="E532" t="str">
            <v/>
          </cell>
        </row>
        <row r="533">
          <cell r="A533" t="str">
            <v>MUNICIPIO DE DABEIBA</v>
          </cell>
        </row>
        <row r="534">
          <cell r="A534" t="str">
            <v>MEJORAMIENTO DE LA RED VIAL URBANA EN EL BARRIO SAN ANTONIO DEL MUNICIPIO DE DABEIBA</v>
          </cell>
        </row>
        <row r="536">
          <cell r="A536" t="str">
            <v>MEMORIA DE CANTIDADES</v>
          </cell>
        </row>
        <row r="538">
          <cell r="A538" t="str">
            <v>ITEM</v>
          </cell>
          <cell r="B538" t="str">
            <v>DESCRIPCIÓN</v>
          </cell>
          <cell r="G538" t="str">
            <v>UNIDAD</v>
          </cell>
          <cell r="H538" t="str">
            <v>CANTIDAD</v>
          </cell>
        </row>
        <row r="539">
          <cell r="A539" t="str">
            <v>11.1</v>
          </cell>
          <cell r="B539" t="str">
            <v>Suministro, transporte y colocación de tubería novafort de Ø 20" alcantarillado lluvias. Incluye accesorios de empalme, Topografía  y todo lo necesario para su correcta instalación.  la excavación y los llenos se pagaran en su ítem respectivo.</v>
          </cell>
          <cell r="G539">
            <v>0</v>
          </cell>
          <cell r="H539">
            <v>248</v>
          </cell>
        </row>
        <row r="540">
          <cell r="A540" t="str">
            <v>DETALLE</v>
          </cell>
          <cell r="C540" t="str">
            <v>FACTOR</v>
          </cell>
          <cell r="D540" t="str">
            <v>CANTIDAD</v>
          </cell>
          <cell r="E540" t="str">
            <v>A (ML)</v>
          </cell>
          <cell r="F540" t="str">
            <v>B(M2)</v>
          </cell>
          <cell r="G540" t="str">
            <v>C(M3)</v>
          </cell>
          <cell r="H540" t="str">
            <v>TOTAL</v>
          </cell>
        </row>
        <row r="541">
          <cell r="A541">
            <v>1</v>
          </cell>
          <cell r="B541" t="str">
            <v>Alcantarillado Aguas Lluvias P51-P50</v>
          </cell>
          <cell r="C541">
            <v>1</v>
          </cell>
          <cell r="D541">
            <v>1</v>
          </cell>
          <cell r="E541">
            <v>52.3</v>
          </cell>
          <cell r="F541">
            <v>1</v>
          </cell>
          <cell r="G541">
            <v>1</v>
          </cell>
          <cell r="H541">
            <v>52.3</v>
          </cell>
        </row>
        <row r="542">
          <cell r="A542">
            <v>2</v>
          </cell>
          <cell r="B542" t="str">
            <v>Alcantarillado Aguas Lluvias P50-P49</v>
          </cell>
          <cell r="C542">
            <v>1</v>
          </cell>
          <cell r="D542">
            <v>1</v>
          </cell>
          <cell r="E542">
            <v>59</v>
          </cell>
          <cell r="F542">
            <v>1</v>
          </cell>
          <cell r="G542">
            <v>1</v>
          </cell>
          <cell r="H542">
            <v>59</v>
          </cell>
        </row>
        <row r="543">
          <cell r="A543">
            <v>3</v>
          </cell>
          <cell r="B543" t="str">
            <v>Alcantarillado Aguas Lluvias P49-P48</v>
          </cell>
          <cell r="C543">
            <v>1</v>
          </cell>
          <cell r="D543">
            <v>1</v>
          </cell>
          <cell r="E543">
            <v>21.4</v>
          </cell>
          <cell r="F543">
            <v>1</v>
          </cell>
          <cell r="G543">
            <v>1</v>
          </cell>
          <cell r="H543">
            <v>21.4</v>
          </cell>
        </row>
        <row r="544">
          <cell r="A544">
            <v>4</v>
          </cell>
          <cell r="B544" t="str">
            <v>Alcantarillado Aguas Lluvias P45A-P46A</v>
          </cell>
          <cell r="C544">
            <v>1</v>
          </cell>
          <cell r="D544">
            <v>1</v>
          </cell>
          <cell r="E544">
            <v>51.7</v>
          </cell>
          <cell r="F544">
            <v>1</v>
          </cell>
          <cell r="G544">
            <v>1</v>
          </cell>
          <cell r="H544">
            <v>51.7</v>
          </cell>
        </row>
        <row r="545">
          <cell r="A545">
            <v>5</v>
          </cell>
          <cell r="B545" t="str">
            <v>Alcantarillado Aguas Lluvias P46A-P48</v>
          </cell>
          <cell r="C545">
            <v>1</v>
          </cell>
          <cell r="D545">
            <v>1</v>
          </cell>
          <cell r="E545">
            <v>63.3</v>
          </cell>
          <cell r="F545">
            <v>1</v>
          </cell>
          <cell r="G545">
            <v>1</v>
          </cell>
          <cell r="H545">
            <v>63.3</v>
          </cell>
        </row>
        <row r="546">
          <cell r="H546" t="str">
            <v/>
          </cell>
        </row>
        <row r="547">
          <cell r="A547" t="str">
            <v>TOTAL CANTIDAD ITEM 11.1</v>
          </cell>
          <cell r="H547">
            <v>248</v>
          </cell>
        </row>
        <row r="549">
          <cell r="A549" t="str">
            <v>DEPARTAMENTO DE ANTIOQUIA</v>
          </cell>
          <cell r="E549" t="str">
            <v/>
          </cell>
        </row>
        <row r="550">
          <cell r="A550" t="str">
            <v>MUNICIPIO DE DABEIBA</v>
          </cell>
        </row>
        <row r="551">
          <cell r="A551" t="str">
            <v>MEJORAMIENTO DE LA RED VIAL URBANA EN EL BARRIO SAN ANTONIO DEL MUNICIPIO DE DABEIBA</v>
          </cell>
        </row>
        <row r="553">
          <cell r="A553" t="str">
            <v>MEMORIA DE CANTIDADES</v>
          </cell>
        </row>
        <row r="555">
          <cell r="A555" t="str">
            <v>ITEM</v>
          </cell>
          <cell r="B555" t="str">
            <v>DESCRIPCIÓN</v>
          </cell>
          <cell r="G555" t="str">
            <v>UNIDAD</v>
          </cell>
          <cell r="H555" t="str">
            <v>CANTIDAD</v>
          </cell>
        </row>
        <row r="556">
          <cell r="A556" t="str">
            <v>11.2</v>
          </cell>
          <cell r="B556" t="str">
            <v>Suministro, transporte y colocación de tubería novafort de Ø 12" para salida de sumideros. Incluye accesorios de empalme, Topografía y todo lo necesario para su correcta instalación.  La excavación y los llenos se pagaran en su ítem respectivo.</v>
          </cell>
          <cell r="G556" t="str">
            <v>ml</v>
          </cell>
          <cell r="H556">
            <v>734</v>
          </cell>
        </row>
        <row r="557">
          <cell r="A557" t="str">
            <v>DETALLE</v>
          </cell>
          <cell r="C557" t="str">
            <v>FACTOR</v>
          </cell>
          <cell r="D557" t="str">
            <v>CANTIDAD</v>
          </cell>
          <cell r="E557" t="str">
            <v>A (ML)</v>
          </cell>
          <cell r="F557" t="str">
            <v>B(M2)</v>
          </cell>
          <cell r="G557" t="str">
            <v>C(M3)</v>
          </cell>
          <cell r="H557" t="str">
            <v>TOTAL</v>
          </cell>
        </row>
        <row r="558">
          <cell r="A558">
            <v>1</v>
          </cell>
          <cell r="B558" t="str">
            <v>Descargue tuberia a MH P51</v>
          </cell>
          <cell r="C558">
            <v>1</v>
          </cell>
          <cell r="D558">
            <v>1</v>
          </cell>
          <cell r="E558">
            <v>1</v>
          </cell>
          <cell r="F558">
            <v>734.33</v>
          </cell>
          <cell r="G558">
            <v>1</v>
          </cell>
          <cell r="H558">
            <v>734.33</v>
          </cell>
        </row>
        <row r="559">
          <cell r="H559" t="str">
            <v/>
          </cell>
        </row>
        <row r="560">
          <cell r="H560" t="str">
            <v/>
          </cell>
        </row>
        <row r="561">
          <cell r="H561" t="str">
            <v/>
          </cell>
        </row>
        <row r="562">
          <cell r="H562" t="str">
            <v/>
          </cell>
        </row>
        <row r="563">
          <cell r="H563" t="str">
            <v/>
          </cell>
        </row>
        <row r="564">
          <cell r="A564" t="str">
            <v>TOTAL CANTIDAD ITEM 11.2</v>
          </cell>
          <cell r="H564">
            <v>734</v>
          </cell>
        </row>
        <row r="566">
          <cell r="A566" t="str">
            <v>DEPARTAMENTO DE ANTIOQUIA</v>
          </cell>
          <cell r="E566" t="str">
            <v/>
          </cell>
        </row>
        <row r="567">
          <cell r="A567" t="str">
            <v>MUNICIPIO DE DABEIBA</v>
          </cell>
        </row>
        <row r="568">
          <cell r="A568" t="str">
            <v>MEJORAMIENTO DE LA RED VIAL URBANA EN EL BARRIO SAN ANTONIO DEL MUNICIPIO DE DABEIBA</v>
          </cell>
        </row>
        <row r="570">
          <cell r="A570" t="str">
            <v>MEMORIA DE CANTIDADES</v>
          </cell>
        </row>
        <row r="572">
          <cell r="A572" t="str">
            <v>ITEM</v>
          </cell>
          <cell r="B572" t="str">
            <v>DESCRIPCIÓN</v>
          </cell>
          <cell r="G572" t="str">
            <v>UNIDAD</v>
          </cell>
          <cell r="H572" t="str">
            <v>CANTIDAD</v>
          </cell>
        </row>
        <row r="573">
          <cell r="A573" t="str">
            <v>11.3</v>
          </cell>
          <cell r="B573" t="str">
            <v>Suministro, transporte y colocación de tubería PVC D=4" RDE 21  para reposición de red acueducto. Incluye accesorios de empalme, Topografía y todo lo necesario para su correcta instalación.  La excavación y los llenos se pagaran en su ítem respectivo.</v>
          </cell>
          <cell r="G573">
            <v>0</v>
          </cell>
          <cell r="H573">
            <v>140</v>
          </cell>
        </row>
        <row r="574">
          <cell r="A574" t="str">
            <v>DETALLE</v>
          </cell>
          <cell r="C574" t="str">
            <v>FACTOR</v>
          </cell>
          <cell r="D574" t="str">
            <v>CANTIDAD</v>
          </cell>
          <cell r="E574" t="str">
            <v>A (ML)</v>
          </cell>
          <cell r="F574" t="str">
            <v>B(M2)</v>
          </cell>
          <cell r="G574" t="str">
            <v>C(M3)</v>
          </cell>
          <cell r="H574" t="str">
            <v>TOTAL</v>
          </cell>
        </row>
        <row r="575">
          <cell r="A575">
            <v>1</v>
          </cell>
          <cell r="B575" t="str">
            <v>Tuberia acueducto 4"</v>
          </cell>
          <cell r="C575">
            <v>1</v>
          </cell>
          <cell r="D575">
            <v>1</v>
          </cell>
          <cell r="E575">
            <v>140</v>
          </cell>
          <cell r="F575">
            <v>1</v>
          </cell>
          <cell r="G575">
            <v>1</v>
          </cell>
          <cell r="H575">
            <v>140</v>
          </cell>
        </row>
        <row r="576">
          <cell r="H576" t="str">
            <v/>
          </cell>
        </row>
        <row r="577">
          <cell r="A577" t="str">
            <v>TOTAL CANTIDAD ITEM 11.3</v>
          </cell>
          <cell r="H577">
            <v>140</v>
          </cell>
        </row>
        <row r="579">
          <cell r="A579" t="str">
            <v>DEPARTAMENTO DE ANTIOQUIA</v>
          </cell>
          <cell r="E579" t="str">
            <v/>
          </cell>
        </row>
        <row r="580">
          <cell r="A580" t="str">
            <v>MUNICIPIO DE DABEIBA</v>
          </cell>
        </row>
        <row r="581">
          <cell r="A581" t="str">
            <v>MEJORAMIENTO DE LA RED VIAL URBANA EN EL BARRIO SAN ANTONIO DEL MUNICIPIO DE DABEIBA</v>
          </cell>
        </row>
        <row r="583">
          <cell r="A583" t="str">
            <v>MEMORIA DE CANTIDADES</v>
          </cell>
        </row>
        <row r="585">
          <cell r="A585" t="str">
            <v>ITEM</v>
          </cell>
          <cell r="B585" t="str">
            <v>DESCRIPCIÓN</v>
          </cell>
          <cell r="G585" t="str">
            <v>UNIDAD</v>
          </cell>
          <cell r="H585" t="str">
            <v>CANTIDAD</v>
          </cell>
        </row>
        <row r="586">
          <cell r="A586" t="str">
            <v>11.4</v>
          </cell>
          <cell r="B586" t="str">
            <v>Suministro, transporte y colocación de tubería PVC D=2" RDE 21  para reposición de red acueducto. Incluye accesorios de empalme, Topografía y todo lo necesario para su correcta instalación.  La excavación y los llenos se pagaran en su ítem respectivo.</v>
          </cell>
          <cell r="G586">
            <v>0</v>
          </cell>
          <cell r="H586">
            <v>140</v>
          </cell>
        </row>
        <row r="587">
          <cell r="A587" t="str">
            <v>DETALLE</v>
          </cell>
          <cell r="C587" t="str">
            <v>FACTOR</v>
          </cell>
          <cell r="D587" t="str">
            <v>CANTIDAD</v>
          </cell>
          <cell r="E587" t="str">
            <v>A (ML)</v>
          </cell>
          <cell r="F587" t="str">
            <v>B(M2)</v>
          </cell>
          <cell r="G587" t="str">
            <v>C(M3)</v>
          </cell>
          <cell r="H587" t="str">
            <v>TOTAL</v>
          </cell>
        </row>
        <row r="588">
          <cell r="A588">
            <v>1</v>
          </cell>
          <cell r="B588" t="str">
            <v>Tuberia acueducto 2"</v>
          </cell>
          <cell r="C588">
            <v>1</v>
          </cell>
          <cell r="D588">
            <v>1</v>
          </cell>
          <cell r="E588">
            <v>140</v>
          </cell>
          <cell r="F588">
            <v>1</v>
          </cell>
          <cell r="G588">
            <v>1</v>
          </cell>
          <cell r="H588">
            <v>140</v>
          </cell>
        </row>
        <row r="589">
          <cell r="H589" t="str">
            <v/>
          </cell>
        </row>
        <row r="590">
          <cell r="A590" t="str">
            <v>TOTAL CANTIDAD ITEM 11.4</v>
          </cell>
          <cell r="H590">
            <v>140</v>
          </cell>
        </row>
        <row r="592">
          <cell r="A592" t="str">
            <v>DEPARTAMENTO DE ANTIOQUIA</v>
          </cell>
          <cell r="E592" t="str">
            <v/>
          </cell>
        </row>
        <row r="593">
          <cell r="A593" t="str">
            <v>MUNICIPIO DE DABEIBA</v>
          </cell>
        </row>
        <row r="594">
          <cell r="A594" t="str">
            <v>MEJORAMIENTO DE LA RED VIAL URBANA EN EL BARRIO SAN ANTONIO DEL MUNICIPIO DE DABEIBA</v>
          </cell>
        </row>
        <row r="596">
          <cell r="A596" t="str">
            <v>MEMORIA DE CANTIDADES</v>
          </cell>
        </row>
        <row r="598">
          <cell r="A598" t="str">
            <v>ITEM</v>
          </cell>
          <cell r="B598" t="str">
            <v>DESCRIPCIÓN</v>
          </cell>
          <cell r="G598" t="str">
            <v>UNIDAD</v>
          </cell>
          <cell r="H598" t="str">
            <v>CANTIDAD</v>
          </cell>
        </row>
        <row r="599">
          <cell r="A599" t="str">
            <v>11.5</v>
          </cell>
          <cell r="B599" t="str">
            <v>Suministro, transporte y colocación de acometida de acueducto de 4" a 1/2" . Incluye collarin de 4" a 1/2", registro de incorporación y tuberia PVC 1/2" desde la tuberia de distribucción hasta el registro. y los demas accesorios de empalme</v>
          </cell>
          <cell r="G599">
            <v>0</v>
          </cell>
          <cell r="H599">
            <v>20</v>
          </cell>
        </row>
        <row r="600">
          <cell r="A600" t="str">
            <v>DETALLE</v>
          </cell>
          <cell r="C600" t="str">
            <v>FACTOR</v>
          </cell>
          <cell r="D600" t="str">
            <v>CANTIDAD</v>
          </cell>
          <cell r="E600" t="str">
            <v>A (ML)</v>
          </cell>
          <cell r="F600" t="str">
            <v>B(M2)</v>
          </cell>
          <cell r="G600" t="str">
            <v>C(M3)</v>
          </cell>
          <cell r="H600" t="str">
            <v>TOTAL</v>
          </cell>
        </row>
        <row r="601">
          <cell r="A601">
            <v>1</v>
          </cell>
          <cell r="B601" t="str">
            <v>Acometidas de 4"</v>
          </cell>
          <cell r="C601">
            <v>1</v>
          </cell>
          <cell r="D601">
            <v>20</v>
          </cell>
          <cell r="E601">
            <v>1</v>
          </cell>
          <cell r="F601">
            <v>1</v>
          </cell>
          <cell r="G601">
            <v>1</v>
          </cell>
          <cell r="H601">
            <v>20</v>
          </cell>
        </row>
        <row r="602">
          <cell r="H602" t="str">
            <v/>
          </cell>
        </row>
        <row r="603">
          <cell r="A603" t="str">
            <v>TOTAL CANTIDAD ITEM 11.5</v>
          </cell>
          <cell r="H603">
            <v>20</v>
          </cell>
        </row>
        <row r="607">
          <cell r="A607" t="str">
            <v>DEPARTAMENTO DE ANTIOQUIA</v>
          </cell>
          <cell r="E607" t="str">
            <v/>
          </cell>
        </row>
        <row r="608">
          <cell r="A608" t="str">
            <v>MUNICIPIO DE DABEIBA</v>
          </cell>
        </row>
        <row r="609">
          <cell r="A609" t="str">
            <v>MEJORAMIENTO DE LA RED VIAL URBANA EN EL BARRIO SAN ANTONIO DEL MUNICIPIO DE DABEIBA</v>
          </cell>
        </row>
        <row r="611">
          <cell r="A611" t="str">
            <v>MEMORIA DE CANTIDADES</v>
          </cell>
        </row>
        <row r="613">
          <cell r="A613" t="str">
            <v>ITEM</v>
          </cell>
          <cell r="B613" t="str">
            <v>DESCRIPCIÓN</v>
          </cell>
          <cell r="G613" t="str">
            <v>UNIDAD</v>
          </cell>
          <cell r="H613" t="str">
            <v>CANTIDAD</v>
          </cell>
        </row>
        <row r="614">
          <cell r="A614" t="str">
            <v>11.6</v>
          </cell>
          <cell r="B614" t="str">
            <v>Suministro, transporte y colocación de acometida de acueducto de 2" a 1/2" . Incluye collarin de 4" a 1/2", registro de incorporación y tuberia PVC 1/2" desde la tuberia de distribucción hasta el registro. y los demas accesorios de empalme</v>
          </cell>
          <cell r="G614">
            <v>0</v>
          </cell>
          <cell r="H614">
            <v>3</v>
          </cell>
        </row>
        <row r="615">
          <cell r="A615" t="str">
            <v>DETALLE</v>
          </cell>
          <cell r="C615" t="str">
            <v>FACTOR</v>
          </cell>
          <cell r="D615" t="str">
            <v>CANTIDAD</v>
          </cell>
          <cell r="E615" t="str">
            <v>A (ML)</v>
          </cell>
          <cell r="F615" t="str">
            <v>B(M2)</v>
          </cell>
          <cell r="G615" t="str">
            <v>C(M3)</v>
          </cell>
          <cell r="H615" t="str">
            <v>TOTAL</v>
          </cell>
        </row>
        <row r="616">
          <cell r="A616">
            <v>1</v>
          </cell>
          <cell r="B616" t="str">
            <v>Acometidas de 4"</v>
          </cell>
          <cell r="C616">
            <v>1</v>
          </cell>
          <cell r="D616">
            <v>3</v>
          </cell>
          <cell r="E616">
            <v>1</v>
          </cell>
          <cell r="F616">
            <v>1</v>
          </cell>
          <cell r="G616">
            <v>1</v>
          </cell>
          <cell r="H616">
            <v>3</v>
          </cell>
        </row>
        <row r="617">
          <cell r="H617" t="str">
            <v/>
          </cell>
        </row>
        <row r="618">
          <cell r="A618" t="str">
            <v>TOTAL CANTIDAD ITEM 11.6</v>
          </cell>
          <cell r="H618">
            <v>3</v>
          </cell>
        </row>
        <row r="621">
          <cell r="A621" t="str">
            <v>MUNICIPIO DE DABEIBA</v>
          </cell>
        </row>
        <row r="622">
          <cell r="A622" t="str">
            <v>MEJORAMIENTO DE LA RED VIAL URBANA EN EL BARRIO SAN ANTONIO DEL MUNICIPIO DE DABEIBA</v>
          </cell>
        </row>
        <row r="624">
          <cell r="A624" t="str">
            <v>MEMORIA DE CANTIDADES</v>
          </cell>
        </row>
        <row r="626">
          <cell r="A626" t="str">
            <v>ITEM</v>
          </cell>
          <cell r="B626" t="str">
            <v>DESCRIPCIÓN</v>
          </cell>
          <cell r="G626" t="str">
            <v>UNIDAD</v>
          </cell>
          <cell r="H626" t="str">
            <v>CANTIDAD</v>
          </cell>
        </row>
        <row r="627">
          <cell r="A627" t="str">
            <v>11.7</v>
          </cell>
          <cell r="B627" t="str">
            <v>Suministro, transporte y colocación de tubería novafort de Ø 24" alcantarillado lluvias. Incluye accesorios de empalme, Topografía  y todo lo necesario para su correcta instalación.  la excavación y los llenos se pagaran en su ítem respectivo.</v>
          </cell>
          <cell r="G627">
            <v>0</v>
          </cell>
          <cell r="H627">
            <v>5.3</v>
          </cell>
        </row>
        <row r="628">
          <cell r="A628" t="str">
            <v>DETALLE</v>
          </cell>
          <cell r="C628" t="str">
            <v>FACTOR</v>
          </cell>
          <cell r="D628" t="str">
            <v>CANTIDAD</v>
          </cell>
          <cell r="E628" t="str">
            <v>A (ML)</v>
          </cell>
          <cell r="F628" t="str">
            <v>B(M2)</v>
          </cell>
          <cell r="G628" t="str">
            <v>C(M3)</v>
          </cell>
          <cell r="H628" t="str">
            <v>TOTAL</v>
          </cell>
        </row>
        <row r="629">
          <cell r="A629">
            <v>1</v>
          </cell>
          <cell r="B629" t="str">
            <v>Alcantarillado Aguas Lluvias P48-P47</v>
          </cell>
          <cell r="C629">
            <v>1</v>
          </cell>
          <cell r="D629">
            <v>1</v>
          </cell>
          <cell r="E629">
            <v>5.3</v>
          </cell>
          <cell r="F629">
            <v>1</v>
          </cell>
          <cell r="G629">
            <v>1</v>
          </cell>
          <cell r="H629">
            <v>5.3</v>
          </cell>
        </row>
        <row r="630">
          <cell r="H630" t="str">
            <v/>
          </cell>
        </row>
        <row r="631">
          <cell r="A631" t="str">
            <v>TOTAL CANTIDAD ITEM 11.7</v>
          </cell>
          <cell r="H631">
            <v>5</v>
          </cell>
        </row>
        <row r="633">
          <cell r="A633" t="str">
            <v>MUNICIPIO DE DABEIBA</v>
          </cell>
        </row>
        <row r="634">
          <cell r="A634" t="str">
            <v>MEJORAMIENTO DE LA RED VIAL URBANA EN EL BARRIO SAN ANTONIO DEL MUNICIPIO DE DABEIBA</v>
          </cell>
        </row>
        <row r="636">
          <cell r="A636" t="str">
            <v>MEMORIA DE CANTIDADES</v>
          </cell>
        </row>
        <row r="638">
          <cell r="A638" t="str">
            <v>ITEM</v>
          </cell>
          <cell r="B638" t="str">
            <v>DESCRIPCIÓN</v>
          </cell>
          <cell r="G638" t="str">
            <v>UNIDAD</v>
          </cell>
          <cell r="H638" t="str">
            <v>CANTIDAD</v>
          </cell>
        </row>
        <row r="639">
          <cell r="A639" t="str">
            <v>12.1</v>
          </cell>
          <cell r="B639" t="str">
            <v xml:space="preserve">Transporte de material suelto (prestamo, sub-base) para distancias entre 0 km y 17km medidos a partir de 100 m. </v>
          </cell>
          <cell r="G639" t="str">
            <v>m3-km</v>
          </cell>
          <cell r="H639">
            <v>17643.600000000002</v>
          </cell>
        </row>
        <row r="640">
          <cell r="A640" t="str">
            <v>DETALLE</v>
          </cell>
          <cell r="C640" t="str">
            <v>FACTOR</v>
          </cell>
          <cell r="D640" t="str">
            <v>CANTIDAD</v>
          </cell>
          <cell r="E640" t="str">
            <v>A (ML)</v>
          </cell>
          <cell r="F640" t="str">
            <v>B(M2)</v>
          </cell>
          <cell r="G640" t="str">
            <v>C(M3)</v>
          </cell>
          <cell r="H640" t="str">
            <v>TOTAL</v>
          </cell>
        </row>
        <row r="641">
          <cell r="A641">
            <v>1</v>
          </cell>
          <cell r="B641" t="str">
            <v>Transporte de sub-base granular</v>
          </cell>
          <cell r="C641">
            <v>1.3</v>
          </cell>
          <cell r="D641">
            <v>1</v>
          </cell>
          <cell r="E641">
            <v>1</v>
          </cell>
          <cell r="F641">
            <v>15</v>
          </cell>
          <cell r="G641">
            <v>583</v>
          </cell>
          <cell r="H641">
            <v>11368.5</v>
          </cell>
        </row>
        <row r="642">
          <cell r="A642">
            <v>2</v>
          </cell>
          <cell r="B642" t="str">
            <v>Transporte de material de prestamo</v>
          </cell>
          <cell r="C642">
            <v>1.3</v>
          </cell>
          <cell r="D642">
            <v>1</v>
          </cell>
          <cell r="E642">
            <v>1</v>
          </cell>
          <cell r="F642">
            <v>15</v>
          </cell>
          <cell r="G642">
            <v>113</v>
          </cell>
          <cell r="H642">
            <v>2203.5</v>
          </cell>
        </row>
        <row r="643">
          <cell r="A643" t="str">
            <v>TOTAL CANTIDAD ITEM 12.1</v>
          </cell>
          <cell r="H643">
            <v>17643.600000000002</v>
          </cell>
        </row>
        <row r="645">
          <cell r="A645" t="str">
            <v>MUNICIPIO DE DABEIBA</v>
          </cell>
        </row>
        <row r="646">
          <cell r="A646" t="str">
            <v>MEJORAMIENTO DE LA RED VIAL URBANA EN EL BARRIO SAN ANTONIO DEL MUNICIPIO DE DABEIBA</v>
          </cell>
        </row>
        <row r="648">
          <cell r="A648" t="str">
            <v>MEMORIA DE CANTIDADES</v>
          </cell>
        </row>
        <row r="650">
          <cell r="A650" t="str">
            <v>ITEM</v>
          </cell>
          <cell r="B650" t="str">
            <v>DESCRIPCIÓN</v>
          </cell>
          <cell r="G650" t="str">
            <v>UNIDAD</v>
          </cell>
          <cell r="H650" t="str">
            <v>CANTIDAD</v>
          </cell>
        </row>
        <row r="651">
          <cell r="A651" t="str">
            <v>12.2</v>
          </cell>
          <cell r="B651" t="str">
            <v>Transporte de sobrantes provenientes de la excavación de la explanación, canales, préstamos para distancias entre 1km y 15km medidos a partir de 100 m. Material suelto</v>
          </cell>
          <cell r="G651" t="str">
            <v>m3-km</v>
          </cell>
          <cell r="H651">
            <v>12648</v>
          </cell>
        </row>
        <row r="652">
          <cell r="A652" t="str">
            <v>DETALLE</v>
          </cell>
          <cell r="C652" t="str">
            <v>FACTOR</v>
          </cell>
          <cell r="D652" t="str">
            <v>CANTIDAD</v>
          </cell>
          <cell r="E652" t="str">
            <v>A (ML)</v>
          </cell>
          <cell r="F652" t="str">
            <v>B(M2)</v>
          </cell>
          <cell r="G652" t="str">
            <v>C(M3)</v>
          </cell>
          <cell r="H652" t="str">
            <v>TOTAL</v>
          </cell>
        </row>
        <row r="653">
          <cell r="A653">
            <v>1</v>
          </cell>
          <cell r="B653" t="str">
            <v>Transporte de explanación, canales y prestamos</v>
          </cell>
          <cell r="C653">
            <v>1.2</v>
          </cell>
          <cell r="D653">
            <v>1</v>
          </cell>
          <cell r="E653">
            <v>1</v>
          </cell>
          <cell r="F653">
            <v>10</v>
          </cell>
          <cell r="G653">
            <v>583</v>
          </cell>
          <cell r="H653">
            <v>6996</v>
          </cell>
        </row>
        <row r="654">
          <cell r="A654">
            <v>2</v>
          </cell>
          <cell r="B654" t="str">
            <v>Transporte material homogeneo de 0-2 m</v>
          </cell>
          <cell r="C654">
            <v>1.2</v>
          </cell>
          <cell r="D654">
            <v>1</v>
          </cell>
          <cell r="E654">
            <v>1</v>
          </cell>
          <cell r="F654">
            <v>10</v>
          </cell>
          <cell r="G654">
            <v>462</v>
          </cell>
          <cell r="H654">
            <v>5544</v>
          </cell>
        </row>
        <row r="655">
          <cell r="A655">
            <v>3</v>
          </cell>
          <cell r="B655" t="str">
            <v>Transporte material homogeneo de 2-4 m</v>
          </cell>
          <cell r="C655">
            <v>1.2</v>
          </cell>
          <cell r="D655">
            <v>1</v>
          </cell>
          <cell r="E655">
            <v>1</v>
          </cell>
          <cell r="F655">
            <v>10</v>
          </cell>
          <cell r="G655">
            <v>9</v>
          </cell>
          <cell r="H655">
            <v>108</v>
          </cell>
        </row>
        <row r="656">
          <cell r="A656" t="str">
            <v>TOTAL CANTIDAD ITEM 12.2</v>
          </cell>
          <cell r="H656">
            <v>12648</v>
          </cell>
        </row>
        <row r="658">
          <cell r="A658" t="str">
            <v>MUNICIPIO DE DABEIBA</v>
          </cell>
        </row>
        <row r="659">
          <cell r="A659" t="str">
            <v>MEJORAMIENTO DE LA RED VIAL URBANA EN EL BARRIO SAN ANTONIO DEL MUNICIPIO DE DABEIBA</v>
          </cell>
        </row>
        <row r="661">
          <cell r="A661" t="str">
            <v>MEMORIA DE CANTIDADES</v>
          </cell>
        </row>
        <row r="663">
          <cell r="A663" t="str">
            <v>ITEM</v>
          </cell>
          <cell r="B663" t="str">
            <v>DESCRIPCIÓN</v>
          </cell>
          <cell r="G663" t="str">
            <v>UNIDAD</v>
          </cell>
          <cell r="H663" t="str">
            <v>CANTIDAD</v>
          </cell>
        </row>
        <row r="664">
          <cell r="A664" t="str">
            <v>12.3</v>
          </cell>
          <cell r="B664" t="str">
            <v>Transporte de sobrantes de demoliciones. Medido suelto para distancias entre 1km y 15km medidos a partir de 100 m</v>
          </cell>
          <cell r="G664" t="str">
            <v>m3-km</v>
          </cell>
          <cell r="H664">
            <v>1080</v>
          </cell>
        </row>
        <row r="665">
          <cell r="A665" t="str">
            <v>DETALLE</v>
          </cell>
          <cell r="C665" t="str">
            <v>FACTOR</v>
          </cell>
          <cell r="D665" t="str">
            <v>CANTIDAD</v>
          </cell>
          <cell r="E665" t="str">
            <v>A (ML)</v>
          </cell>
          <cell r="F665" t="str">
            <v>B(M2)</v>
          </cell>
          <cell r="G665" t="str">
            <v>C(M3)</v>
          </cell>
          <cell r="H665" t="str">
            <v>TOTAL</v>
          </cell>
        </row>
        <row r="666">
          <cell r="A666">
            <v>1</v>
          </cell>
          <cell r="B666" t="str">
            <v>Transporte demolición pavimento Rigido</v>
          </cell>
          <cell r="C666">
            <v>1</v>
          </cell>
          <cell r="D666">
            <v>1</v>
          </cell>
          <cell r="E666">
            <v>1</v>
          </cell>
          <cell r="F666">
            <v>15</v>
          </cell>
          <cell r="G666">
            <v>60</v>
          </cell>
          <cell r="H666">
            <v>900</v>
          </cell>
        </row>
        <row r="667">
          <cell r="A667">
            <v>2</v>
          </cell>
          <cell r="B667" t="str">
            <v>Transporte demolición de manposteria</v>
          </cell>
          <cell r="C667">
            <v>1</v>
          </cell>
          <cell r="D667">
            <v>1</v>
          </cell>
          <cell r="E667">
            <v>1</v>
          </cell>
          <cell r="F667">
            <v>15</v>
          </cell>
          <cell r="G667">
            <v>3</v>
          </cell>
          <cell r="H667">
            <v>45</v>
          </cell>
        </row>
        <row r="668">
          <cell r="A668">
            <v>3</v>
          </cell>
          <cell r="B668" t="str">
            <v>Transporte demolición anden de concreto</v>
          </cell>
          <cell r="C668">
            <v>1</v>
          </cell>
          <cell r="D668">
            <v>1</v>
          </cell>
          <cell r="E668">
            <v>1</v>
          </cell>
          <cell r="F668">
            <v>15</v>
          </cell>
          <cell r="G668">
            <v>9</v>
          </cell>
          <cell r="H668">
            <v>135</v>
          </cell>
        </row>
        <row r="669">
          <cell r="A669" t="str">
            <v>TOTAL CANTIDAD ITEM 12.3</v>
          </cell>
          <cell r="H669">
            <v>1080</v>
          </cell>
        </row>
      </sheetData>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ow r="7">
          <cell r="A7" t="str">
            <v>CÓDIGO</v>
          </cell>
          <cell r="B7" t="str">
            <v>DESCRIPCIÓN</v>
          </cell>
          <cell r="C7" t="str">
            <v>UNIDAD</v>
          </cell>
          <cell r="D7" t="str">
            <v>VALOR UNITARIO</v>
          </cell>
        </row>
        <row r="8">
          <cell r="B8" t="str">
            <v>APU AUXILIARES</v>
          </cell>
        </row>
        <row r="9">
          <cell r="A9" t="str">
            <v>MA001</v>
          </cell>
          <cell r="B9" t="str">
            <v>CONCRETO 2000 PSI (140 MPA) EN OBRA</v>
          </cell>
          <cell r="C9" t="str">
            <v>M3</v>
          </cell>
          <cell r="D9">
            <v>459259</v>
          </cell>
        </row>
        <row r="10">
          <cell r="A10" t="str">
            <v>MA002</v>
          </cell>
          <cell r="B10" t="str">
            <v>CONCRETO 2500 PSI (175 MPA) EN OBRA</v>
          </cell>
          <cell r="C10" t="str">
            <v>M3</v>
          </cell>
          <cell r="D10">
            <v>503018</v>
          </cell>
        </row>
        <row r="11">
          <cell r="A11" t="str">
            <v>MA003</v>
          </cell>
          <cell r="B11" t="str">
            <v>CONCRETO 3000 PSI (210 MPA) EN OBRA</v>
          </cell>
          <cell r="C11" t="str">
            <v>M3</v>
          </cell>
          <cell r="D11">
            <v>524205</v>
          </cell>
        </row>
        <row r="12">
          <cell r="A12" t="str">
            <v>MA004</v>
          </cell>
          <cell r="B12" t="str">
            <v>CONCRETO 3500 PSI (245 MPA) EN OBRA</v>
          </cell>
          <cell r="C12" t="str">
            <v>M3</v>
          </cell>
          <cell r="D12">
            <v>532292</v>
          </cell>
        </row>
        <row r="13">
          <cell r="A13" t="str">
            <v>MA005</v>
          </cell>
          <cell r="B13" t="str">
            <v>CONCRETO 4000 PSI (280 MPA) EN OBRA</v>
          </cell>
          <cell r="C13" t="str">
            <v>M3</v>
          </cell>
          <cell r="D13">
            <v>782858</v>
          </cell>
        </row>
        <row r="14">
          <cell r="A14" t="str">
            <v>MA006</v>
          </cell>
          <cell r="B14" t="str">
            <v>MORTERO 1:2 EN OBRA (REVOQUE)</v>
          </cell>
          <cell r="C14" t="str">
            <v>M3</v>
          </cell>
          <cell r="D14">
            <v>496547</v>
          </cell>
        </row>
        <row r="15">
          <cell r="A15" t="str">
            <v>MA007</v>
          </cell>
          <cell r="B15" t="str">
            <v>MORTERO 1:2 EN OBRA (GROUT)</v>
          </cell>
          <cell r="C15" t="str">
            <v>M3</v>
          </cell>
          <cell r="D15">
            <v>498714</v>
          </cell>
        </row>
        <row r="16">
          <cell r="A16" t="str">
            <v>MA008</v>
          </cell>
          <cell r="B16" t="str">
            <v>MORTERO 1:3 EN OBRA (REVOQUE)</v>
          </cell>
          <cell r="C16" t="str">
            <v>M3</v>
          </cell>
          <cell r="D16">
            <v>464043</v>
          </cell>
        </row>
        <row r="17">
          <cell r="A17" t="str">
            <v>MA009</v>
          </cell>
          <cell r="B17" t="str">
            <v>MORTERO 1:3 EN OBRA (GROUT)</v>
          </cell>
          <cell r="C17" t="str">
            <v>M3</v>
          </cell>
          <cell r="D17">
            <v>464043</v>
          </cell>
        </row>
        <row r="18">
          <cell r="A18" t="str">
            <v>MA010</v>
          </cell>
          <cell r="B18" t="str">
            <v>MORTERO 1:3 EN OBRA (PEGA)</v>
          </cell>
          <cell r="C18" t="str">
            <v>M3</v>
          </cell>
          <cell r="D18">
            <v>464043</v>
          </cell>
        </row>
        <row r="19">
          <cell r="A19" t="str">
            <v>MA011</v>
          </cell>
          <cell r="B19" t="str">
            <v>MORTERO 1:4 EN OBRA (REVOQUE)</v>
          </cell>
          <cell r="C19" t="str">
            <v>M3</v>
          </cell>
          <cell r="D19">
            <v>399927</v>
          </cell>
        </row>
        <row r="20">
          <cell r="A20" t="str">
            <v>MA012</v>
          </cell>
          <cell r="B20" t="str">
            <v>MORTERO 1:4 EN OBRA (GROUT)</v>
          </cell>
          <cell r="C20" t="str">
            <v>M3</v>
          </cell>
          <cell r="D20">
            <v>399927</v>
          </cell>
        </row>
        <row r="21">
          <cell r="A21" t="str">
            <v>MA013</v>
          </cell>
          <cell r="B21" t="str">
            <v>MORTERO 1:4 EN OBRA (PEGA)</v>
          </cell>
          <cell r="C21" t="str">
            <v>M3</v>
          </cell>
          <cell r="D21">
            <v>400752</v>
          </cell>
        </row>
        <row r="22">
          <cell r="A22" t="str">
            <v>MA014</v>
          </cell>
          <cell r="B22" t="str">
            <v>MORTERO 1:5 EN OBRA (REVOQUE)</v>
          </cell>
          <cell r="C22" t="str">
            <v>M3</v>
          </cell>
          <cell r="D22" t="str">
            <v/>
          </cell>
        </row>
        <row r="23">
          <cell r="A23" t="str">
            <v>MA015</v>
          </cell>
          <cell r="B23" t="str">
            <v>MORTERO 1:5 EN OBRA (PEGA)</v>
          </cell>
          <cell r="C23" t="str">
            <v>M3</v>
          </cell>
          <cell r="D23" t="str">
            <v/>
          </cell>
        </row>
        <row r="24">
          <cell r="A24" t="str">
            <v>MA016</v>
          </cell>
          <cell r="B24" t="str">
            <v>MORTERO 1:6 EN OBRA (PEGA)</v>
          </cell>
          <cell r="C24" t="str">
            <v>M3</v>
          </cell>
          <cell r="D24" t="str">
            <v/>
          </cell>
        </row>
        <row r="25">
          <cell r="A25" t="str">
            <v>MA017</v>
          </cell>
          <cell r="B25" t="str">
            <v>FORMALETA PARA MUROS, ALETAS, DISIPADORES Y ESTRIBOS (6 USOS)</v>
          </cell>
          <cell r="C25" t="str">
            <v>M2</v>
          </cell>
          <cell r="D25" t="str">
            <v/>
          </cell>
        </row>
        <row r="26">
          <cell r="A26" t="str">
            <v>MA018</v>
          </cell>
          <cell r="D26" t="str">
            <v/>
          </cell>
        </row>
        <row r="27">
          <cell r="A27" t="str">
            <v>MA019</v>
          </cell>
          <cell r="D27" t="str">
            <v/>
          </cell>
        </row>
        <row r="28">
          <cell r="B28" t="str">
            <v>MATERIALES</v>
          </cell>
        </row>
        <row r="29">
          <cell r="A29" t="str">
            <v>MA020</v>
          </cell>
          <cell r="B29" t="str">
            <v>CEMENTO GRIS (50 KG) PORTLAND TIPO I</v>
          </cell>
          <cell r="C29" t="str">
            <v>SC</v>
          </cell>
          <cell r="D29">
            <v>35290</v>
          </cell>
        </row>
        <row r="30">
          <cell r="A30" t="str">
            <v>MA021</v>
          </cell>
          <cell r="B30" t="str">
            <v xml:space="preserve">ARENA DE PEGA </v>
          </cell>
          <cell r="C30" t="str">
            <v>M3</v>
          </cell>
          <cell r="D30">
            <v>45460</v>
          </cell>
        </row>
        <row r="31">
          <cell r="A31" t="str">
            <v>MA022</v>
          </cell>
          <cell r="B31" t="str">
            <v xml:space="preserve">ARENA DE REVOQUE </v>
          </cell>
          <cell r="C31" t="str">
            <v>M3</v>
          </cell>
          <cell r="D31">
            <v>45460</v>
          </cell>
        </row>
        <row r="32">
          <cell r="A32" t="str">
            <v>MA023</v>
          </cell>
          <cell r="B32" t="str">
            <v>ARENA FINA PARA CONCRETOS</v>
          </cell>
          <cell r="C32" t="str">
            <v>M3</v>
          </cell>
          <cell r="D32">
            <v>45460</v>
          </cell>
        </row>
        <row r="33">
          <cell r="A33" t="str">
            <v>MA024</v>
          </cell>
          <cell r="B33" t="str">
            <v>AGREGADO TRITURADO</v>
          </cell>
          <cell r="C33" t="str">
            <v>M3</v>
          </cell>
          <cell r="D33">
            <v>62475</v>
          </cell>
        </row>
        <row r="34">
          <cell r="A34" t="str">
            <v>MA025</v>
          </cell>
          <cell r="B34" t="str">
            <v>AGUA</v>
          </cell>
          <cell r="C34" t="str">
            <v>LT</v>
          </cell>
          <cell r="D34">
            <v>50</v>
          </cell>
        </row>
        <row r="35">
          <cell r="A35" t="str">
            <v>MA026</v>
          </cell>
          <cell r="B35" t="str">
            <v>SUBBASE GRANULAR</v>
          </cell>
          <cell r="C35" t="str">
            <v>M3</v>
          </cell>
          <cell r="D35">
            <v>54400</v>
          </cell>
        </row>
        <row r="36">
          <cell r="A36" t="str">
            <v>MA027</v>
          </cell>
          <cell r="B36" t="str">
            <v>BASE GRANULAR</v>
          </cell>
          <cell r="C36" t="str">
            <v>M3</v>
          </cell>
          <cell r="D36">
            <v>60002</v>
          </cell>
        </row>
        <row r="37">
          <cell r="A37" t="str">
            <v>MA028</v>
          </cell>
          <cell r="B37" t="str">
            <v>ACERO REFUERZO G-60 FIGURADO</v>
          </cell>
          <cell r="C37" t="str">
            <v>KG</v>
          </cell>
          <cell r="D37">
            <v>7000</v>
          </cell>
        </row>
        <row r="38">
          <cell r="A38" t="str">
            <v>MA029</v>
          </cell>
          <cell r="B38" t="str">
            <v>ALAMBRE RECOCIDO C 18</v>
          </cell>
          <cell r="C38" t="str">
            <v>KG</v>
          </cell>
          <cell r="D38">
            <v>4200</v>
          </cell>
        </row>
        <row r="39">
          <cell r="A39" t="str">
            <v>MA030</v>
          </cell>
          <cell r="B39" t="str">
            <v>LARGUERO MADERA COMÚN 4CMX8CMX2.80</v>
          </cell>
          <cell r="C39" t="str">
            <v>UN</v>
          </cell>
          <cell r="D39">
            <v>12000</v>
          </cell>
        </row>
        <row r="40">
          <cell r="A40" t="str">
            <v>MA031</v>
          </cell>
          <cell r="B40" t="str">
            <v>TABLERO AGLOMERADO MDP (SUPER T) 1.83 X 2.44</v>
          </cell>
          <cell r="C40" t="str">
            <v>UN</v>
          </cell>
          <cell r="D40">
            <v>151900</v>
          </cell>
        </row>
        <row r="41">
          <cell r="A41" t="str">
            <v>MA032</v>
          </cell>
          <cell r="B41" t="str">
            <v>CLAVOS COMUNES 1½ A 3½"</v>
          </cell>
          <cell r="C41" t="str">
            <v>LB</v>
          </cell>
          <cell r="D41">
            <v>2500</v>
          </cell>
        </row>
        <row r="42">
          <cell r="A42" t="str">
            <v>MA033</v>
          </cell>
          <cell r="B42" t="str">
            <v>ESFERA REFLECTIVA</v>
          </cell>
          <cell r="C42" t="str">
            <v>KG</v>
          </cell>
          <cell r="D42">
            <v>6200</v>
          </cell>
        </row>
        <row r="43">
          <cell r="A43" t="str">
            <v>MA034</v>
          </cell>
          <cell r="B43" t="str">
            <v>PINTURA ACRILICA EN FRIO</v>
          </cell>
          <cell r="C43" t="str">
            <v>GAL</v>
          </cell>
          <cell r="D43">
            <v>92900</v>
          </cell>
        </row>
        <row r="44">
          <cell r="A44" t="str">
            <v>MA035</v>
          </cell>
          <cell r="B44" t="str">
            <v>MEZCLA ASFÁLTICA MDC-25 (RODADURA  1" AL 5.6% - INVÍAS)</v>
          </cell>
          <cell r="C44" t="str">
            <v>TON</v>
          </cell>
          <cell r="D44">
            <v>319277</v>
          </cell>
        </row>
        <row r="45">
          <cell r="A45" t="str">
            <v>MA036</v>
          </cell>
          <cell r="B45" t="str">
            <v>PARAL EN ÁNGULO 2"X2"X1/4" Y BRAZO EN ÁNGULO 2"X2"X1/8</v>
          </cell>
          <cell r="C45" t="str">
            <v>UN</v>
          </cell>
          <cell r="D45">
            <v>120000</v>
          </cell>
        </row>
        <row r="46">
          <cell r="A46" t="str">
            <v>MA037</v>
          </cell>
          <cell r="B46" t="str">
            <v>TABLERO LAMINA GALVANIZADA CALIBRE 16- MATERIAL REFLECTIVO TIPO IX -ETIQUETA DE IDENTIFICACION</v>
          </cell>
          <cell r="C46" t="str">
            <v>UN</v>
          </cell>
          <cell r="D46">
            <v>128000</v>
          </cell>
        </row>
        <row r="47">
          <cell r="A47" t="str">
            <v>MA038</v>
          </cell>
          <cell r="B47" t="str">
            <v>VALLA 1 (12,0X4,0M). INCLUYE ESTRUCTURA METÁLICA PARA FIJACIÓN Y SOPORTE</v>
          </cell>
          <cell r="C47" t="str">
            <v>UN</v>
          </cell>
          <cell r="D47">
            <v>4562000</v>
          </cell>
        </row>
        <row r="48">
          <cell r="A48" t="str">
            <v>MA039</v>
          </cell>
          <cell r="B48" t="str">
            <v>VALLA 2 (3,0X2,0M). INCLUYE ESTRUCTURA METÁLICA PARA FIJACIÓN Y SOPORTE</v>
          </cell>
          <cell r="C48" t="str">
            <v>UN</v>
          </cell>
          <cell r="D48">
            <v>1019000</v>
          </cell>
        </row>
        <row r="49">
          <cell r="A49" t="str">
            <v>MA040</v>
          </cell>
          <cell r="B49" t="str">
            <v>VALLA 3 (3,0X2,0M). NO INCLUYE ESTRUCTURA METÁLICA PARA FIJACIÓN Y SOPORTE (SOLO LONA)</v>
          </cell>
          <cell r="C49" t="str">
            <v>UN</v>
          </cell>
          <cell r="D49">
            <v>655000</v>
          </cell>
        </row>
        <row r="50">
          <cell r="A50" t="str">
            <v>MA041</v>
          </cell>
          <cell r="B50" t="str">
            <v>VALLA 4 (2,0X2,0M). NO INCLUYE ESTRUCTURA METÁLICA PARA FIJACIÓN Y SOPORTE (SOLO LONA)</v>
          </cell>
          <cell r="C50" t="str">
            <v>UN</v>
          </cell>
          <cell r="D50">
            <v>88000</v>
          </cell>
        </row>
        <row r="51">
          <cell r="A51" t="str">
            <v>MA042</v>
          </cell>
          <cell r="B51" t="str">
            <v>VALLA 5 (0,9X0,5M). NO INCLUYE ESTRUCTURA METÁLICA PARA FIJACIÓN Y SOPORTE (SOLO LONA)</v>
          </cell>
          <cell r="C51" t="str">
            <v>UN</v>
          </cell>
          <cell r="D51">
            <v>41000</v>
          </cell>
        </row>
        <row r="52">
          <cell r="A52" t="str">
            <v>MA043</v>
          </cell>
          <cell r="B52" t="str">
            <v>Estacas de topografía</v>
          </cell>
          <cell r="C52" t="str">
            <v>UN</v>
          </cell>
          <cell r="D52">
            <v>2500</v>
          </cell>
        </row>
        <row r="53">
          <cell r="A53" t="str">
            <v>MA044</v>
          </cell>
          <cell r="B53" t="str">
            <v>CAN EN MADERA PARA ENTIBADO</v>
          </cell>
          <cell r="C53" t="str">
            <v>UN</v>
          </cell>
          <cell r="D53">
            <v>16000</v>
          </cell>
        </row>
        <row r="54">
          <cell r="A54" t="str">
            <v>MA045</v>
          </cell>
          <cell r="B54" t="str">
            <v>TABLA EN MADERA DE 18cmx2.5cmx3.0cm</v>
          </cell>
          <cell r="C54" t="str">
            <v>UN</v>
          </cell>
          <cell r="D54">
            <v>12000</v>
          </cell>
        </row>
        <row r="55">
          <cell r="A55" t="str">
            <v>MA046</v>
          </cell>
          <cell r="B55" t="str">
            <v>PIEDRA RODADA DE RIO TAMAÑO MAXIMO 1"</v>
          </cell>
          <cell r="C55" t="str">
            <v>M3</v>
          </cell>
          <cell r="D55">
            <v>67000</v>
          </cell>
        </row>
        <row r="56">
          <cell r="A56" t="str">
            <v>MA047</v>
          </cell>
          <cell r="B56" t="str">
            <v>AFIRMADO - MATERIAL DE PRESTAMO</v>
          </cell>
          <cell r="C56" t="str">
            <v>M3</v>
          </cell>
          <cell r="D56">
            <v>15000</v>
          </cell>
        </row>
        <row r="57">
          <cell r="A57" t="str">
            <v>MA048</v>
          </cell>
          <cell r="B57" t="str">
            <v>Dilataciones en madera 1.5 x 8 cm</v>
          </cell>
          <cell r="C57" t="str">
            <v>UN</v>
          </cell>
          <cell r="D57">
            <v>4000</v>
          </cell>
        </row>
        <row r="58">
          <cell r="A58" t="str">
            <v>MA049</v>
          </cell>
          <cell r="B58" t="str">
            <v>Masilla autonivelante para juntas horizontales</v>
          </cell>
          <cell r="C58" t="str">
            <v>CARTUCHOX300CM3</v>
          </cell>
          <cell r="D58">
            <v>42000</v>
          </cell>
        </row>
        <row r="59">
          <cell r="A59" t="str">
            <v>MA050</v>
          </cell>
          <cell r="B59" t="str">
            <v>Cintilla de poliuretano tipo sellalon</v>
          </cell>
          <cell r="C59" t="str">
            <v>ML</v>
          </cell>
          <cell r="D59">
            <v>550</v>
          </cell>
        </row>
        <row r="60">
          <cell r="A60" t="str">
            <v>MA051</v>
          </cell>
          <cell r="B60" t="str">
            <v>Antisol blanco</v>
          </cell>
          <cell r="C60" t="str">
            <v>KG</v>
          </cell>
          <cell r="D60">
            <v>7500</v>
          </cell>
        </row>
        <row r="61">
          <cell r="A61" t="str">
            <v>MA052</v>
          </cell>
          <cell r="B61" t="str">
            <v>loseta de cemento guia tactil, formato 40 x 40.</v>
          </cell>
          <cell r="C61" t="str">
            <v>UN</v>
          </cell>
          <cell r="D61">
            <v>60452</v>
          </cell>
        </row>
        <row r="62">
          <cell r="A62" t="str">
            <v>MA053</v>
          </cell>
          <cell r="B62" t="str">
            <v>Malla Electrosoldada 15x15cm Diametro 4.0mm (D-084)</v>
          </cell>
          <cell r="C62" t="str">
            <v>M2</v>
          </cell>
          <cell r="D62">
            <v>6500</v>
          </cell>
        </row>
        <row r="63">
          <cell r="A63" t="str">
            <v>MA054</v>
          </cell>
          <cell r="B63" t="str">
            <v>Rejilla tipo basculante compuesta por un marco, ala, bisagra o punto de pivote.</v>
          </cell>
          <cell r="C63" t="str">
            <v>UN</v>
          </cell>
          <cell r="D63">
            <v>180000</v>
          </cell>
        </row>
        <row r="64">
          <cell r="A64" t="str">
            <v>MA055</v>
          </cell>
          <cell r="B64" t="str">
            <v>Tapa circular con bloqueo mediante 3  pestañas y marco de fundición</v>
          </cell>
          <cell r="C64" t="str">
            <v>UN</v>
          </cell>
          <cell r="D64">
            <v>197205</v>
          </cell>
        </row>
        <row r="65">
          <cell r="A65" t="str">
            <v>MA056</v>
          </cell>
          <cell r="B65" t="str">
            <v>Pate de polipropileno para pozo de 330 x160 mm</v>
          </cell>
          <cell r="C65" t="str">
            <v>UN</v>
          </cell>
          <cell r="D65">
            <v>10780</v>
          </cell>
        </row>
        <row r="66">
          <cell r="A66" t="str">
            <v>MA057</v>
          </cell>
          <cell r="B66" t="str">
            <v>Cono asimetrico en concreto simple</v>
          </cell>
          <cell r="C66" t="str">
            <v>UN</v>
          </cell>
          <cell r="D66">
            <v>129737</v>
          </cell>
        </row>
        <row r="67">
          <cell r="A67" t="str">
            <v>MA058</v>
          </cell>
          <cell r="B67" t="str">
            <v>Base manhol 125x125x100 en concreto simple</v>
          </cell>
          <cell r="C67" t="str">
            <v>UN</v>
          </cell>
          <cell r="D67">
            <v>382810</v>
          </cell>
        </row>
        <row r="68">
          <cell r="A68" t="str">
            <v>MA059</v>
          </cell>
          <cell r="B68" t="str">
            <v>Anillo prefabricado de concreto simple de 100 cmm D interior y 50 cm de alto</v>
          </cell>
          <cell r="C68" t="str">
            <v>UN</v>
          </cell>
          <cell r="D68">
            <v>91851</v>
          </cell>
        </row>
        <row r="69">
          <cell r="A69" t="str">
            <v>MA060</v>
          </cell>
          <cell r="B69" t="str">
            <v>Disolvente para pintura acrilica</v>
          </cell>
          <cell r="C69" t="str">
            <v>gal</v>
          </cell>
          <cell r="D69">
            <v>21000</v>
          </cell>
        </row>
        <row r="70">
          <cell r="A70" t="str">
            <v>MA061</v>
          </cell>
          <cell r="B70" t="str">
            <v>Bloque de concreto 15 x 20 x 40</v>
          </cell>
          <cell r="C70" t="str">
            <v>UN</v>
          </cell>
          <cell r="D70">
            <v>2700</v>
          </cell>
        </row>
        <row r="71">
          <cell r="A71" t="str">
            <v>MA062</v>
          </cell>
          <cell r="B71" t="str">
            <v>Sistema Epoxico para anclaje de barras</v>
          </cell>
          <cell r="C71" t="str">
            <v>Kg</v>
          </cell>
          <cell r="D71">
            <v>113711</v>
          </cell>
        </row>
        <row r="72">
          <cell r="A72" t="str">
            <v>MA063</v>
          </cell>
          <cell r="B72" t="str">
            <v>Aro base y aro tapa de Hierrro Fundido ø=0,60m</v>
          </cell>
          <cell r="C72" t="str">
            <v>Unidad</v>
          </cell>
          <cell r="D72">
            <v>280000</v>
          </cell>
        </row>
        <row r="73">
          <cell r="A73" t="str">
            <v>MA064</v>
          </cell>
          <cell r="B73" t="str">
            <v>Tubería PVC Sanitaria de 12."</v>
          </cell>
          <cell r="C73" t="str">
            <v>ml</v>
          </cell>
          <cell r="D73">
            <v>105000</v>
          </cell>
        </row>
        <row r="74">
          <cell r="A74" t="str">
            <v>MA065</v>
          </cell>
          <cell r="B74" t="str">
            <v>Tubería PVC Sanitaria de 12"</v>
          </cell>
          <cell r="C74" t="str">
            <v>ml</v>
          </cell>
          <cell r="D74">
            <v>85000</v>
          </cell>
        </row>
        <row r="75">
          <cell r="A75" t="str">
            <v>MA066</v>
          </cell>
          <cell r="B75" t="str">
            <v>Lubricante para instalación de tubería</v>
          </cell>
          <cell r="C75" t="str">
            <v>lb</v>
          </cell>
          <cell r="D75">
            <v>18000</v>
          </cell>
        </row>
        <row r="76">
          <cell r="A76" t="str">
            <v>MA067</v>
          </cell>
          <cell r="B76" t="str">
            <v>Estopa peinada</v>
          </cell>
          <cell r="C76" t="str">
            <v>bolsa</v>
          </cell>
          <cell r="D76">
            <v>2000</v>
          </cell>
        </row>
        <row r="77">
          <cell r="A77" t="str">
            <v>MA068</v>
          </cell>
          <cell r="B77" t="str">
            <v>Accesorios de empalme - anillo caucho 12"</v>
          </cell>
          <cell r="C77" t="str">
            <v>un</v>
          </cell>
          <cell r="D77">
            <v>28195</v>
          </cell>
        </row>
        <row r="78">
          <cell r="A78" t="str">
            <v>MA069</v>
          </cell>
          <cell r="B78" t="str">
            <v>Tuberia PVC Acueducto D=4" RDE 21</v>
          </cell>
          <cell r="C78" t="str">
            <v>ml</v>
          </cell>
          <cell r="D78">
            <v>46000</v>
          </cell>
        </row>
        <row r="79">
          <cell r="A79" t="str">
            <v>MA070</v>
          </cell>
          <cell r="B79" t="str">
            <v>Tuberia PVC Acueducto D=2" RDE 21</v>
          </cell>
          <cell r="C79" t="str">
            <v>ml</v>
          </cell>
          <cell r="D79">
            <v>15000</v>
          </cell>
        </row>
        <row r="80">
          <cell r="A80" t="str">
            <v>MA071</v>
          </cell>
          <cell r="B80" t="str">
            <v>Limpiador PVC</v>
          </cell>
          <cell r="C80" t="str">
            <v>1/4 galon</v>
          </cell>
          <cell r="D80">
            <v>27000</v>
          </cell>
        </row>
        <row r="81">
          <cell r="A81" t="str">
            <v>MA072</v>
          </cell>
          <cell r="B81" t="str">
            <v xml:space="preserve">Tubo de presión D= 1/2" RDE 9 PVC 500 PSI </v>
          </cell>
          <cell r="C81" t="str">
            <v>ml</v>
          </cell>
          <cell r="D81">
            <v>3500</v>
          </cell>
        </row>
        <row r="82">
          <cell r="A82" t="str">
            <v>MA073</v>
          </cell>
          <cell r="B82" t="str">
            <v xml:space="preserve">Collarin de derivación PVC 4"X1/2" para acueducto </v>
          </cell>
          <cell r="C82" t="str">
            <v>unidad</v>
          </cell>
          <cell r="D82">
            <v>27000</v>
          </cell>
        </row>
        <row r="83">
          <cell r="A83" t="str">
            <v>MA074</v>
          </cell>
          <cell r="B83" t="str">
            <v xml:space="preserve">Collarin de derivación PVC 2"X1/2" para acueducto </v>
          </cell>
          <cell r="C83" t="str">
            <v>unidad</v>
          </cell>
          <cell r="D83">
            <v>16000</v>
          </cell>
        </row>
        <row r="84">
          <cell r="A84" t="str">
            <v>MA075</v>
          </cell>
          <cell r="B84" t="str">
            <v>Registro de corte incorporación de 1/2" para acueducto</v>
          </cell>
          <cell r="C84" t="str">
            <v>unidad</v>
          </cell>
          <cell r="D84">
            <v>23300</v>
          </cell>
        </row>
        <row r="85">
          <cell r="A85" t="str">
            <v>MA076</v>
          </cell>
          <cell r="B85" t="str">
            <v>Bordillo barrera rectoprefabricado 15x45x80</v>
          </cell>
          <cell r="C85" t="str">
            <v>unidad</v>
          </cell>
          <cell r="D85">
            <v>40000</v>
          </cell>
        </row>
        <row r="86">
          <cell r="A86" t="str">
            <v>MA077</v>
          </cell>
          <cell r="B86" t="str">
            <v>Tubería PVC Sanitaria de 20"</v>
          </cell>
          <cell r="C86" t="str">
            <v>ml</v>
          </cell>
          <cell r="D86">
            <v>316666.66666666669</v>
          </cell>
        </row>
        <row r="87">
          <cell r="A87" t="str">
            <v>MA078</v>
          </cell>
          <cell r="B87" t="str">
            <v>Accesorios de empalme - anillo caucho 20"</v>
          </cell>
          <cell r="C87" t="str">
            <v>unidad</v>
          </cell>
          <cell r="D87">
            <v>93172</v>
          </cell>
        </row>
        <row r="88">
          <cell r="A88" t="str">
            <v>MA079</v>
          </cell>
          <cell r="B88" t="str">
            <v>Tubería PVC Sanitaria de 24"</v>
          </cell>
          <cell r="C88" t="str">
            <v>ml</v>
          </cell>
          <cell r="D88">
            <v>448461.53846153844</v>
          </cell>
        </row>
        <row r="89">
          <cell r="A89" t="str">
            <v>MA080</v>
          </cell>
          <cell r="B89" t="str">
            <v>rejilla para sumidero transvedrsal</v>
          </cell>
          <cell r="C89" t="str">
            <v>ml</v>
          </cell>
          <cell r="D89">
            <v>354000</v>
          </cell>
        </row>
        <row r="90">
          <cell r="B90" t="str">
            <v>Tubería PVC Sanitaria de 10"</v>
          </cell>
          <cell r="C90" t="str">
            <v>ml</v>
          </cell>
          <cell r="D90">
            <v>72000</v>
          </cell>
        </row>
      </sheetData>
      <sheetData sheetId="14">
        <row r="1">
          <cell r="A1" t="str">
            <v>DEPARTAMENTO DE ANTIOQUIA</v>
          </cell>
          <cell r="F1" t="str">
            <v/>
          </cell>
        </row>
        <row r="2">
          <cell r="A2" t="str">
            <v>MUNICIPIO DE DABEIBA</v>
          </cell>
        </row>
        <row r="3">
          <cell r="A3" t="str">
            <v>MEJORAMIENTO DE LA RED VIAL URBANA EN EL BARRIO SAN ANTONIO DEL MUNICIPIO DE DABEIBA</v>
          </cell>
        </row>
        <row r="5">
          <cell r="A5" t="str">
            <v>ANÁLISIS DE PRECIOS UNITARIOS</v>
          </cell>
        </row>
        <row r="7">
          <cell r="A7" t="str">
            <v>ITEM</v>
          </cell>
          <cell r="B7" t="str">
            <v>DESCRIPCIÓN</v>
          </cell>
          <cell r="E7" t="str">
            <v>UNIDAD</v>
          </cell>
          <cell r="F7" t="str">
            <v>CANTIDAD</v>
          </cell>
          <cell r="G7" t="str">
            <v>COSTO DIRECTO</v>
          </cell>
        </row>
        <row r="8">
          <cell r="A8" t="str">
            <v>MA001</v>
          </cell>
          <cell r="B8" t="str">
            <v>CONCRETO 2000 PSI (140 MPA) EN OBRA</v>
          </cell>
          <cell r="E8" t="str">
            <v>M3</v>
          </cell>
          <cell r="F8" t="str">
            <v>N.D</v>
          </cell>
          <cell r="G8">
            <v>459259</v>
          </cell>
        </row>
        <row r="10">
          <cell r="A10" t="str">
            <v>1. COSTOS DIRECTOS</v>
          </cell>
        </row>
        <row r="12">
          <cell r="A12" t="str">
            <v>I. EQUIPO</v>
          </cell>
        </row>
        <row r="13">
          <cell r="A13" t="str">
            <v>CÓDIGO</v>
          </cell>
          <cell r="B13" t="str">
            <v>DESCRIPCIÓN</v>
          </cell>
          <cell r="D13" t="str">
            <v>UNIDAD</v>
          </cell>
          <cell r="E13" t="str">
            <v>TARIFA</v>
          </cell>
          <cell r="F13" t="str">
            <v>RENDIMIENTO</v>
          </cell>
          <cell r="G13" t="str">
            <v>VR. UNITARIO</v>
          </cell>
        </row>
        <row r="14">
          <cell r="A14" t="str">
            <v>EQ004</v>
          </cell>
          <cell r="B14" t="str">
            <v>CONCRETADORA 1.5 SACOS A GASOLINA</v>
          </cell>
          <cell r="D14" t="str">
            <v>DÍA</v>
          </cell>
          <cell r="E14">
            <v>78000</v>
          </cell>
          <cell r="F14">
            <v>8</v>
          </cell>
          <cell r="G14">
            <v>9750</v>
          </cell>
        </row>
        <row r="15">
          <cell r="A15" t="str">
            <v>EQ001</v>
          </cell>
          <cell r="B15" t="str">
            <v>HERRAMIENTA MENOR (5% DE LA MANO DE OBRA)</v>
          </cell>
          <cell r="D15" t="str">
            <v>%</v>
          </cell>
          <cell r="E15">
            <v>0.05</v>
          </cell>
          <cell r="F15">
            <v>54969.375</v>
          </cell>
          <cell r="G15">
            <v>2748.46875</v>
          </cell>
        </row>
        <row r="16">
          <cell r="F16" t="str">
            <v>SUBTOTAL</v>
          </cell>
          <cell r="G16">
            <v>12498.46875</v>
          </cell>
        </row>
        <row r="18">
          <cell r="A18" t="str">
            <v>II. MATERIALES</v>
          </cell>
        </row>
        <row r="19">
          <cell r="A19" t="str">
            <v>CÓDIGO</v>
          </cell>
          <cell r="B19" t="str">
            <v>DESCRIPCIÓN</v>
          </cell>
          <cell r="C19" t="str">
            <v>UNIDAD</v>
          </cell>
          <cell r="D19" t="str">
            <v>CANTIDAD</v>
          </cell>
          <cell r="E19" t="str">
            <v>DESP.</v>
          </cell>
          <cell r="F19" t="str">
            <v>PRECIO UNIT.</v>
          </cell>
          <cell r="G19" t="str">
            <v>VR. UNITARIO</v>
          </cell>
        </row>
        <row r="20">
          <cell r="A20" t="str">
            <v>MA020</v>
          </cell>
          <cell r="B20" t="str">
            <v>CEMENTO GRIS (50 KG) PORTLAND TIPO I</v>
          </cell>
          <cell r="C20" t="str">
            <v>SC</v>
          </cell>
          <cell r="D20">
            <v>5.2</v>
          </cell>
          <cell r="E20">
            <v>0.05</v>
          </cell>
          <cell r="F20">
            <v>35290</v>
          </cell>
          <cell r="G20">
            <v>192683.4</v>
          </cell>
        </row>
        <row r="21">
          <cell r="A21" t="str">
            <v>MA023</v>
          </cell>
          <cell r="B21" t="str">
            <v>ARENA FINA PARA CONCRETOS</v>
          </cell>
          <cell r="C21" t="str">
            <v>M3</v>
          </cell>
          <cell r="D21">
            <v>0.63</v>
          </cell>
          <cell r="E21">
            <v>0.05</v>
          </cell>
          <cell r="F21">
            <v>45460</v>
          </cell>
          <cell r="G21">
            <v>30071.79</v>
          </cell>
        </row>
        <row r="22">
          <cell r="A22" t="str">
            <v>MA024</v>
          </cell>
          <cell r="B22" t="str">
            <v>AGREGADO TRITURADO</v>
          </cell>
          <cell r="C22" t="str">
            <v>M3</v>
          </cell>
          <cell r="D22">
            <v>0.84</v>
          </cell>
          <cell r="E22">
            <v>0.05</v>
          </cell>
          <cell r="F22">
            <v>62475</v>
          </cell>
          <cell r="G22">
            <v>55102.950000000004</v>
          </cell>
        </row>
        <row r="23">
          <cell r="A23" t="str">
            <v>MA025</v>
          </cell>
          <cell r="B23" t="str">
            <v>AGUA</v>
          </cell>
          <cell r="C23" t="str">
            <v>LT</v>
          </cell>
          <cell r="D23">
            <v>170</v>
          </cell>
          <cell r="E23">
            <v>0.1</v>
          </cell>
          <cell r="F23">
            <v>50</v>
          </cell>
          <cell r="G23">
            <v>9350</v>
          </cell>
        </row>
        <row r="24">
          <cell r="F24" t="str">
            <v>SUBTOTAL</v>
          </cell>
          <cell r="G24">
            <v>287208.14</v>
          </cell>
        </row>
        <row r="26">
          <cell r="A26" t="str">
            <v>III. TRANSPORTES</v>
          </cell>
        </row>
        <row r="27">
          <cell r="A27" t="str">
            <v>CÓDIGO</v>
          </cell>
          <cell r="B27" t="str">
            <v>DESCRIPCIÓN</v>
          </cell>
          <cell r="C27" t="str">
            <v>TIPO</v>
          </cell>
          <cell r="D27" t="str">
            <v>VOLUMEN/PESO</v>
          </cell>
          <cell r="E27" t="str">
            <v>DISTANCIA</v>
          </cell>
          <cell r="F27" t="str">
            <v>TARIFA</v>
          </cell>
          <cell r="G27" t="str">
            <v>VR. UNITARIO</v>
          </cell>
        </row>
        <row r="28">
          <cell r="A28" t="str">
            <v>TR020</v>
          </cell>
          <cell r="B28" t="str">
            <v>TRANSPORTE DE MATERIALES  (TRITURADO), 0-54 KM</v>
          </cell>
          <cell r="C28" t="str">
            <v>PLAYATRITURADO</v>
          </cell>
          <cell r="D28">
            <v>0.88200000000000001</v>
          </cell>
          <cell r="E28">
            <v>120</v>
          </cell>
          <cell r="F28">
            <v>950</v>
          </cell>
          <cell r="G28">
            <v>100548</v>
          </cell>
        </row>
        <row r="29">
          <cell r="A29" t="str">
            <v>TR002</v>
          </cell>
          <cell r="B29" t="str">
            <v>TRANSPORTE DE MATERIALES DE PLAYA (ARENILLON, PIEDRA RODADA DE RIO DMAX=1") 0-1KM</v>
          </cell>
          <cell r="C29" t="str">
            <v>PLAYA</v>
          </cell>
          <cell r="D29">
            <v>0.66150000000000009</v>
          </cell>
          <cell r="E29">
            <v>1</v>
          </cell>
          <cell r="F29">
            <v>6100</v>
          </cell>
          <cell r="G29">
            <v>4035.1500000000005</v>
          </cell>
        </row>
        <row r="30">
          <cell r="A30" t="str">
            <v>TR001</v>
          </cell>
          <cell r="B30" t="str">
            <v>TRANSPORTE DE INSUMOS GENERALES 0-1KM</v>
          </cell>
          <cell r="C30" t="str">
            <v>INSUMOS</v>
          </cell>
          <cell r="D30">
            <v>0.26</v>
          </cell>
          <cell r="E30">
            <v>1</v>
          </cell>
          <cell r="F30">
            <v>4250</v>
          </cell>
          <cell r="G30">
            <v>1105</v>
          </cell>
        </row>
        <row r="31">
          <cell r="F31" t="str">
            <v>SUBTOTAL</v>
          </cell>
          <cell r="G31">
            <v>104583.15</v>
          </cell>
        </row>
        <row r="33">
          <cell r="A33" t="str">
            <v>IV. MANO DE OBRA</v>
          </cell>
        </row>
        <row r="34">
          <cell r="A34" t="str">
            <v>CÓDIGO</v>
          </cell>
          <cell r="B34" t="str">
            <v>CARGOS PERSONAL</v>
          </cell>
          <cell r="D34" t="str">
            <v>CANTIDAD</v>
          </cell>
          <cell r="E34" t="str">
            <v>JORNAL TOTAL</v>
          </cell>
          <cell r="F34" t="str">
            <v>RENDIMIENTO</v>
          </cell>
          <cell r="G34" t="str">
            <v>VR. UNITARIO</v>
          </cell>
        </row>
        <row r="35">
          <cell r="A35" t="str">
            <v>MO033</v>
          </cell>
          <cell r="B35" t="str">
            <v>OPERADOR EQUIPO LIVIANO</v>
          </cell>
          <cell r="D35">
            <v>1</v>
          </cell>
          <cell r="E35">
            <v>104675</v>
          </cell>
          <cell r="F35">
            <v>8</v>
          </cell>
          <cell r="G35">
            <v>13084.375</v>
          </cell>
        </row>
        <row r="36">
          <cell r="A36" t="str">
            <v>MO032</v>
          </cell>
          <cell r="B36" t="str">
            <v>AYUDANTE RASO</v>
          </cell>
          <cell r="D36">
            <v>4</v>
          </cell>
          <cell r="E36">
            <v>83770</v>
          </cell>
          <cell r="F36">
            <v>8</v>
          </cell>
          <cell r="G36">
            <v>41885</v>
          </cell>
        </row>
        <row r="37">
          <cell r="G37" t="str">
            <v/>
          </cell>
        </row>
        <row r="38">
          <cell r="A38" t="str">
            <v/>
          </cell>
          <cell r="E38" t="str">
            <v/>
          </cell>
          <cell r="F38" t="str">
            <v/>
          </cell>
          <cell r="G38" t="str">
            <v/>
          </cell>
        </row>
        <row r="39">
          <cell r="F39" t="str">
            <v>SUBTOTAL</v>
          </cell>
          <cell r="G39">
            <v>54969.375</v>
          </cell>
        </row>
        <row r="41">
          <cell r="A41" t="str">
            <v>V. SERVICIOS</v>
          </cell>
        </row>
        <row r="42">
          <cell r="A42" t="str">
            <v>CÓDIGO</v>
          </cell>
          <cell r="B42" t="str">
            <v>DESCRIPCIÓN</v>
          </cell>
          <cell r="D42" t="str">
            <v>UNIDAD</v>
          </cell>
          <cell r="E42" t="str">
            <v>CANTIDAD</v>
          </cell>
          <cell r="F42" t="str">
            <v>PRECIO UNIT.</v>
          </cell>
          <cell r="G42" t="str">
            <v>VR. UNITARIO</v>
          </cell>
        </row>
        <row r="43">
          <cell r="A43" t="str">
            <v/>
          </cell>
          <cell r="D43" t="str">
            <v/>
          </cell>
          <cell r="E43">
            <v>1</v>
          </cell>
          <cell r="F43" t="str">
            <v/>
          </cell>
          <cell r="G43" t="str">
            <v/>
          </cell>
        </row>
        <row r="44">
          <cell r="A44" t="str">
            <v/>
          </cell>
          <cell r="D44" t="str">
            <v/>
          </cell>
          <cell r="E44">
            <v>1</v>
          </cell>
          <cell r="F44" t="str">
            <v/>
          </cell>
          <cell r="G44" t="str">
            <v/>
          </cell>
        </row>
        <row r="45">
          <cell r="A45" t="str">
            <v/>
          </cell>
          <cell r="D45" t="str">
            <v/>
          </cell>
          <cell r="F45" t="str">
            <v/>
          </cell>
          <cell r="G45" t="str">
            <v/>
          </cell>
        </row>
        <row r="46">
          <cell r="F46" t="str">
            <v>SUBTOTAL</v>
          </cell>
          <cell r="G46" t="str">
            <v/>
          </cell>
        </row>
        <row r="48">
          <cell r="A48" t="str">
            <v>TOTAL COSTO DIRECTO</v>
          </cell>
          <cell r="G48">
            <v>459259</v>
          </cell>
        </row>
        <row r="50">
          <cell r="A50" t="str">
            <v>2. COSTOS INDIRECTOS</v>
          </cell>
        </row>
        <row r="52">
          <cell r="A52" t="str">
            <v>DESCRIPCIÓN</v>
          </cell>
          <cell r="F52" t="str">
            <v>PORCENTAJE</v>
          </cell>
          <cell r="G52" t="str">
            <v>VALOR TOTAL</v>
          </cell>
        </row>
        <row r="53">
          <cell r="A53" t="str">
            <v>ADMINISTRACION</v>
          </cell>
          <cell r="F53">
            <v>0.33389999999999997</v>
          </cell>
          <cell r="G53">
            <v>153346.58009999999</v>
          </cell>
        </row>
        <row r="54">
          <cell r="A54" t="str">
            <v>IMPREVISTOS</v>
          </cell>
          <cell r="F54" t="str">
            <v/>
          </cell>
          <cell r="G54" t="str">
            <v/>
          </cell>
        </row>
        <row r="55">
          <cell r="A55" t="str">
            <v>UTILIDADES</v>
          </cell>
          <cell r="F55">
            <v>0.05</v>
          </cell>
          <cell r="G55">
            <v>22962.95</v>
          </cell>
        </row>
        <row r="56">
          <cell r="A56" t="str">
            <v>TOTAL COSTO INDIRECTO</v>
          </cell>
          <cell r="F56">
            <v>0.38389999999999996</v>
          </cell>
          <cell r="G56">
            <v>176310</v>
          </cell>
        </row>
        <row r="58">
          <cell r="A58" t="str">
            <v>PRECIO UNITARIO TOTAL APROXIMADO AL PESO</v>
          </cell>
          <cell r="G58">
            <v>635569</v>
          </cell>
        </row>
        <row r="63">
          <cell r="D63" t="str">
            <v>FIRMA RESPONSABLE</v>
          </cell>
        </row>
        <row r="65">
          <cell r="A65" t="str">
            <v>DEPARTAMENTO DE ANTIOQUIA</v>
          </cell>
          <cell r="F65" t="str">
            <v/>
          </cell>
        </row>
        <row r="66">
          <cell r="A66" t="str">
            <v>MUNICIPIO DE DABEIBA</v>
          </cell>
        </row>
        <row r="67">
          <cell r="A67" t="str">
            <v>MEJORAMIENTO DE LA RED VIAL URBANA EN EL BARRIO SAN ANTONIO DEL MUNICIPIO DE DABEIBA</v>
          </cell>
        </row>
        <row r="69">
          <cell r="A69" t="str">
            <v>ANÁLISIS DE PRECIOS UNITARIOS</v>
          </cell>
        </row>
        <row r="71">
          <cell r="A71" t="str">
            <v>ITEM</v>
          </cell>
          <cell r="B71" t="str">
            <v>DESCRIPCIÓN</v>
          </cell>
          <cell r="E71" t="str">
            <v>UNIDAD</v>
          </cell>
          <cell r="F71" t="str">
            <v>CANTIDAD</v>
          </cell>
          <cell r="G71" t="str">
            <v>COSTO DIRECTO</v>
          </cell>
        </row>
        <row r="72">
          <cell r="A72" t="str">
            <v>MA002</v>
          </cell>
          <cell r="B72" t="str">
            <v>CONCRETO 2500 PSI (175 MPA) EN OBRA</v>
          </cell>
          <cell r="E72" t="str">
            <v>M3</v>
          </cell>
          <cell r="F72" t="str">
            <v>N.D</v>
          </cell>
          <cell r="G72">
            <v>503018</v>
          </cell>
        </row>
        <row r="74">
          <cell r="A74" t="str">
            <v>1. COSTOS DIRECTOS</v>
          </cell>
        </row>
        <row r="76">
          <cell r="A76" t="str">
            <v>I. EQUIPO</v>
          </cell>
        </row>
        <row r="77">
          <cell r="A77" t="str">
            <v>CÓDIGO</v>
          </cell>
          <cell r="B77" t="str">
            <v>DESCRIPCIÓN</v>
          </cell>
          <cell r="D77" t="str">
            <v>UNIDAD</v>
          </cell>
          <cell r="E77" t="str">
            <v>TARIFA</v>
          </cell>
          <cell r="F77" t="str">
            <v>RENDIMIENTO</v>
          </cell>
          <cell r="G77" t="str">
            <v>VR. UNITARIO</v>
          </cell>
        </row>
        <row r="78">
          <cell r="A78" t="str">
            <v>EQ004</v>
          </cell>
          <cell r="B78" t="str">
            <v>CONCRETADORA 1.5 SACOS A GASOLINA</v>
          </cell>
          <cell r="D78" t="str">
            <v>DÍA</v>
          </cell>
          <cell r="E78">
            <v>78000</v>
          </cell>
          <cell r="F78">
            <v>8</v>
          </cell>
          <cell r="G78">
            <v>9750</v>
          </cell>
        </row>
        <row r="79">
          <cell r="A79" t="str">
            <v>EQ001</v>
          </cell>
          <cell r="B79" t="str">
            <v>HERRAMIENTA MENOR (5% DE LA MANO DE OBRA)</v>
          </cell>
          <cell r="D79" t="str">
            <v>%</v>
          </cell>
          <cell r="E79">
            <v>0.05</v>
          </cell>
          <cell r="F79">
            <v>54969.375</v>
          </cell>
          <cell r="G79">
            <v>2748.46875</v>
          </cell>
        </row>
        <row r="80">
          <cell r="F80" t="str">
            <v>SUBTOTAL</v>
          </cell>
          <cell r="G80">
            <v>12498.46875</v>
          </cell>
        </row>
        <row r="82">
          <cell r="A82" t="str">
            <v>II. MATERIALES</v>
          </cell>
        </row>
        <row r="83">
          <cell r="A83" t="str">
            <v>CÓDIGO</v>
          </cell>
          <cell r="B83" t="str">
            <v>DESCRIPCIÓN</v>
          </cell>
          <cell r="C83" t="str">
            <v>UNIDAD</v>
          </cell>
          <cell r="D83" t="str">
            <v>CANTIDAD</v>
          </cell>
          <cell r="E83" t="str">
            <v>DESP.</v>
          </cell>
          <cell r="F83" t="str">
            <v>PRECIO UNIT.</v>
          </cell>
          <cell r="G83" t="str">
            <v>VR. UNITARIO</v>
          </cell>
        </row>
        <row r="84">
          <cell r="A84" t="str">
            <v>MA020</v>
          </cell>
          <cell r="B84" t="str">
            <v>CEMENTO GRIS (50 KG) PORTLAND TIPO I</v>
          </cell>
          <cell r="C84" t="str">
            <v>SC</v>
          </cell>
          <cell r="D84">
            <v>6</v>
          </cell>
          <cell r="E84">
            <v>0.05</v>
          </cell>
          <cell r="F84">
            <v>35290</v>
          </cell>
          <cell r="G84">
            <v>222327</v>
          </cell>
        </row>
        <row r="85">
          <cell r="A85" t="str">
            <v>MA023</v>
          </cell>
          <cell r="B85" t="str">
            <v>ARENA FINA PARA CONCRETOS</v>
          </cell>
          <cell r="C85" t="str">
            <v>M3</v>
          </cell>
          <cell r="D85">
            <v>0.48</v>
          </cell>
          <cell r="E85">
            <v>0.05</v>
          </cell>
          <cell r="F85">
            <v>45460</v>
          </cell>
          <cell r="G85">
            <v>22911.84</v>
          </cell>
        </row>
        <row r="86">
          <cell r="A86" t="str">
            <v>MA024</v>
          </cell>
          <cell r="B86" t="str">
            <v>AGREGADO TRITURADO</v>
          </cell>
          <cell r="C86" t="str">
            <v>M3</v>
          </cell>
          <cell r="D86">
            <v>0.96</v>
          </cell>
          <cell r="E86">
            <v>0.05</v>
          </cell>
          <cell r="F86">
            <v>62475</v>
          </cell>
          <cell r="G86">
            <v>62974.8</v>
          </cell>
        </row>
        <row r="87">
          <cell r="A87" t="str">
            <v>MA025</v>
          </cell>
          <cell r="B87" t="str">
            <v>AGUA</v>
          </cell>
          <cell r="C87" t="str">
            <v>LT</v>
          </cell>
          <cell r="D87">
            <v>170</v>
          </cell>
          <cell r="E87">
            <v>0.1</v>
          </cell>
          <cell r="F87">
            <v>50</v>
          </cell>
          <cell r="G87">
            <v>9350</v>
          </cell>
        </row>
        <row r="88">
          <cell r="F88" t="str">
            <v>SUBTOTAL</v>
          </cell>
          <cell r="G88">
            <v>317563.64</v>
          </cell>
        </row>
        <row r="90">
          <cell r="A90" t="str">
            <v>III. TRANSPORTES</v>
          </cell>
        </row>
        <row r="91">
          <cell r="A91" t="str">
            <v>CÓDIGO</v>
          </cell>
          <cell r="B91" t="str">
            <v>DESCRIPCIÓN</v>
          </cell>
          <cell r="C91" t="str">
            <v>TIPO</v>
          </cell>
          <cell r="D91" t="str">
            <v>VOLUMEN/PESO</v>
          </cell>
          <cell r="E91" t="str">
            <v>DISTANCIA</v>
          </cell>
          <cell r="F91" t="str">
            <v>TARIFA</v>
          </cell>
          <cell r="G91" t="str">
            <v>VR. UNITARIO</v>
          </cell>
        </row>
        <row r="92">
          <cell r="A92" t="str">
            <v>TR020</v>
          </cell>
          <cell r="B92" t="str">
            <v>TRANSPORTE DE MATERIALES  (TRITURADO), 0-54 KM</v>
          </cell>
          <cell r="C92" t="str">
            <v>PLAYATRITURADO</v>
          </cell>
          <cell r="D92">
            <v>1.008</v>
          </cell>
          <cell r="E92">
            <v>120</v>
          </cell>
          <cell r="F92">
            <v>950</v>
          </cell>
          <cell r="G92">
            <v>114912.00000000001</v>
          </cell>
        </row>
        <row r="93">
          <cell r="A93" t="str">
            <v>TR002</v>
          </cell>
          <cell r="B93" t="str">
            <v>TRANSPORTE DE MATERIALES DE PLAYA (ARENILLON, PIEDRA RODADA DE RIO DMAX=1") 0-1KM</v>
          </cell>
          <cell r="C93" t="str">
            <v>PLAYA</v>
          </cell>
          <cell r="D93">
            <v>0.504</v>
          </cell>
          <cell r="E93">
            <v>1</v>
          </cell>
          <cell r="F93">
            <v>6100</v>
          </cell>
          <cell r="G93">
            <v>3074.4</v>
          </cell>
        </row>
        <row r="94">
          <cell r="A94" t="str">
            <v>TR001</v>
          </cell>
          <cell r="B94" t="str">
            <v>TRANSPORTE DE INSUMOS GENERALES 0-1KM</v>
          </cell>
          <cell r="C94" t="str">
            <v>INSUMOS</v>
          </cell>
          <cell r="D94">
            <v>0.3</v>
          </cell>
          <cell r="E94">
            <v>1</v>
          </cell>
          <cell r="F94">
            <v>4250</v>
          </cell>
          <cell r="G94">
            <v>1275</v>
          </cell>
        </row>
        <row r="95">
          <cell r="F95" t="str">
            <v>SUBTOTAL</v>
          </cell>
          <cell r="G95">
            <v>117986.40000000001</v>
          </cell>
        </row>
        <row r="97">
          <cell r="A97" t="str">
            <v>IV. MANO DE OBRA</v>
          </cell>
        </row>
        <row r="98">
          <cell r="A98" t="str">
            <v>CÓDIGO</v>
          </cell>
          <cell r="B98" t="str">
            <v>CARGOS PERSONAL</v>
          </cell>
          <cell r="D98" t="str">
            <v>CANTIDAD</v>
          </cell>
          <cell r="E98" t="str">
            <v>JORNAL TOTAL</v>
          </cell>
          <cell r="F98" t="str">
            <v>RENDIMIENTO</v>
          </cell>
          <cell r="G98" t="str">
            <v>VR. UNITARIO</v>
          </cell>
        </row>
        <row r="99">
          <cell r="A99" t="str">
            <v>MO033</v>
          </cell>
          <cell r="B99" t="str">
            <v>OPERADOR EQUIPO LIVIANO</v>
          </cell>
          <cell r="D99">
            <v>1</v>
          </cell>
          <cell r="E99">
            <v>104675</v>
          </cell>
          <cell r="F99">
            <v>8</v>
          </cell>
          <cell r="G99">
            <v>13084.375</v>
          </cell>
        </row>
        <row r="100">
          <cell r="A100" t="str">
            <v>MO032</v>
          </cell>
          <cell r="B100" t="str">
            <v>AYUDANTE RASO</v>
          </cell>
          <cell r="D100">
            <v>4</v>
          </cell>
          <cell r="E100">
            <v>83770</v>
          </cell>
          <cell r="F100">
            <v>8</v>
          </cell>
          <cell r="G100">
            <v>41885</v>
          </cell>
        </row>
        <row r="101">
          <cell r="G101" t="str">
            <v/>
          </cell>
        </row>
        <row r="102">
          <cell r="A102" t="str">
            <v/>
          </cell>
          <cell r="E102" t="str">
            <v/>
          </cell>
          <cell r="F102" t="str">
            <v/>
          </cell>
          <cell r="G102" t="str">
            <v/>
          </cell>
        </row>
        <row r="103">
          <cell r="F103" t="str">
            <v>SUBTOTAL</v>
          </cell>
          <cell r="G103">
            <v>54969.375</v>
          </cell>
        </row>
        <row r="105">
          <cell r="A105" t="str">
            <v>V. SERVICIOS</v>
          </cell>
        </row>
        <row r="106">
          <cell r="A106" t="str">
            <v>CÓDIGO</v>
          </cell>
          <cell r="B106" t="str">
            <v>DESCRIPCIÓN</v>
          </cell>
          <cell r="D106" t="str">
            <v>UNIDAD</v>
          </cell>
          <cell r="E106" t="str">
            <v>CANTIDAD</v>
          </cell>
          <cell r="F106" t="str">
            <v>PRECIO UNIT.</v>
          </cell>
          <cell r="G106" t="str">
            <v>VR. UNITARIO</v>
          </cell>
        </row>
        <row r="107">
          <cell r="A107" t="str">
            <v/>
          </cell>
          <cell r="D107" t="str">
            <v/>
          </cell>
          <cell r="E107">
            <v>1</v>
          </cell>
          <cell r="F107" t="str">
            <v/>
          </cell>
          <cell r="G107" t="str">
            <v/>
          </cell>
        </row>
        <row r="108">
          <cell r="A108" t="str">
            <v/>
          </cell>
          <cell r="D108" t="str">
            <v/>
          </cell>
          <cell r="E108">
            <v>1</v>
          </cell>
          <cell r="F108" t="str">
            <v/>
          </cell>
          <cell r="G108" t="str">
            <v/>
          </cell>
        </row>
        <row r="109">
          <cell r="A109" t="str">
            <v/>
          </cell>
          <cell r="D109" t="str">
            <v/>
          </cell>
          <cell r="F109" t="str">
            <v/>
          </cell>
          <cell r="G109" t="str">
            <v/>
          </cell>
        </row>
        <row r="110">
          <cell r="F110" t="str">
            <v>SUBTOTAL</v>
          </cell>
          <cell r="G110" t="str">
            <v/>
          </cell>
        </row>
        <row r="112">
          <cell r="A112" t="str">
            <v>TOTAL COSTO DIRECTO</v>
          </cell>
          <cell r="G112">
            <v>503018</v>
          </cell>
        </row>
        <row r="114">
          <cell r="A114" t="str">
            <v>2. COSTOS INDIRECTOS</v>
          </cell>
        </row>
        <row r="116">
          <cell r="A116" t="str">
            <v>DESCRIPCIÓN</v>
          </cell>
          <cell r="F116" t="str">
            <v>PORCENTAJE</v>
          </cell>
          <cell r="G116" t="str">
            <v>VALOR TOTAL</v>
          </cell>
        </row>
        <row r="117">
          <cell r="A117" t="str">
            <v>ADMINISTRACION</v>
          </cell>
          <cell r="F117">
            <v>0.33389999999999997</v>
          </cell>
          <cell r="G117">
            <v>167957.7102</v>
          </cell>
        </row>
        <row r="118">
          <cell r="A118" t="str">
            <v>IMPREVISTOS</v>
          </cell>
          <cell r="F118" t="str">
            <v/>
          </cell>
          <cell r="G118" t="str">
            <v/>
          </cell>
        </row>
        <row r="119">
          <cell r="A119" t="str">
            <v>UTILIDADES</v>
          </cell>
          <cell r="F119">
            <v>0.05</v>
          </cell>
          <cell r="G119">
            <v>25150.9</v>
          </cell>
        </row>
        <row r="120">
          <cell r="A120" t="str">
            <v>TOTAL COSTO INDIRECTO</v>
          </cell>
          <cell r="F120">
            <v>0.38389999999999996</v>
          </cell>
          <cell r="G120">
            <v>193109</v>
          </cell>
        </row>
        <row r="122">
          <cell r="A122" t="str">
            <v>PRECIO UNITARIO TOTAL APROXIMADO AL PESO</v>
          </cell>
          <cell r="G122">
            <v>696127</v>
          </cell>
        </row>
        <row r="127">
          <cell r="D127" t="str">
            <v>FIRMA RESPONSABLE</v>
          </cell>
        </row>
        <row r="129">
          <cell r="A129" t="str">
            <v>DEPARTAMENTO DE ANTIOQUIA</v>
          </cell>
          <cell r="F129" t="str">
            <v/>
          </cell>
        </row>
        <row r="130">
          <cell r="A130" t="str">
            <v>MUNICIPIO DE DABEIBA</v>
          </cell>
        </row>
        <row r="131">
          <cell r="A131" t="str">
            <v>MEJORAMIENTO DE LA RED VIAL URBANA EN EL BARRIO SAN ANTONIO DEL MUNICIPIO DE DABEIBA</v>
          </cell>
        </row>
        <row r="133">
          <cell r="A133" t="str">
            <v>ANÁLISIS DE PRECIOS UNITARIOS</v>
          </cell>
        </row>
        <row r="135">
          <cell r="A135" t="str">
            <v>ITEM</v>
          </cell>
          <cell r="B135" t="str">
            <v>DESCRIPCIÓN</v>
          </cell>
          <cell r="E135" t="str">
            <v>UNIDAD</v>
          </cell>
          <cell r="F135" t="str">
            <v>CANTIDAD</v>
          </cell>
          <cell r="G135" t="str">
            <v>COSTO DIRECTO</v>
          </cell>
        </row>
        <row r="136">
          <cell r="A136" t="str">
            <v>MA003</v>
          </cell>
          <cell r="B136" t="str">
            <v>CONCRETO 3000 PSI (210 MPA) EN OBRA</v>
          </cell>
          <cell r="E136" t="str">
            <v>M3</v>
          </cell>
          <cell r="F136" t="str">
            <v>N.D</v>
          </cell>
          <cell r="G136">
            <v>524205</v>
          </cell>
        </row>
        <row r="138">
          <cell r="A138" t="str">
            <v>1. COSTOS DIRECTOS</v>
          </cell>
        </row>
        <row r="140">
          <cell r="A140" t="str">
            <v>I. EQUIPO</v>
          </cell>
        </row>
        <row r="141">
          <cell r="A141" t="str">
            <v>CÓDIGO</v>
          </cell>
          <cell r="B141" t="str">
            <v>DESCRIPCIÓN</v>
          </cell>
          <cell r="D141" t="str">
            <v>UNIDAD</v>
          </cell>
          <cell r="E141" t="str">
            <v>TARIFA</v>
          </cell>
          <cell r="F141" t="str">
            <v>RENDIMIENTO</v>
          </cell>
          <cell r="G141" t="str">
            <v>VR. UNITARIO</v>
          </cell>
        </row>
        <row r="142">
          <cell r="A142" t="str">
            <v>EQ004</v>
          </cell>
          <cell r="B142" t="str">
            <v>CONCRETADORA 1.5 SACOS A GASOLINA</v>
          </cell>
          <cell r="D142" t="str">
            <v>DÍA</v>
          </cell>
          <cell r="E142">
            <v>78000</v>
          </cell>
          <cell r="F142">
            <v>8</v>
          </cell>
          <cell r="G142">
            <v>9750</v>
          </cell>
        </row>
        <row r="143">
          <cell r="A143" t="str">
            <v>EQ001</v>
          </cell>
          <cell r="B143" t="str">
            <v>HERRAMIENTA MENOR (5% DE LA MANO DE OBRA)</v>
          </cell>
          <cell r="D143" t="str">
            <v>%</v>
          </cell>
          <cell r="E143">
            <v>0.05</v>
          </cell>
          <cell r="F143">
            <v>54969.375</v>
          </cell>
          <cell r="G143">
            <v>2748.46875</v>
          </cell>
        </row>
        <row r="144">
          <cell r="F144" t="str">
            <v>SUBTOTAL</v>
          </cell>
          <cell r="G144">
            <v>12498.46875</v>
          </cell>
        </row>
        <row r="146">
          <cell r="A146" t="str">
            <v>II. MATERIALES</v>
          </cell>
        </row>
        <row r="147">
          <cell r="A147" t="str">
            <v>CÓDIGO</v>
          </cell>
          <cell r="B147" t="str">
            <v>DESCRIPCIÓN</v>
          </cell>
          <cell r="C147" t="str">
            <v>UNIDAD</v>
          </cell>
          <cell r="D147" t="str">
            <v>CANTIDAD</v>
          </cell>
          <cell r="E147" t="str">
            <v>DESP.</v>
          </cell>
          <cell r="F147" t="str">
            <v>PRECIO UNIT.</v>
          </cell>
          <cell r="G147" t="str">
            <v>VR. UNITARIO</v>
          </cell>
        </row>
        <row r="148">
          <cell r="A148" t="str">
            <v>MA020</v>
          </cell>
          <cell r="B148" t="str">
            <v>CEMENTO GRIS (50 KG) PORTLAND TIPO I</v>
          </cell>
          <cell r="C148" t="str">
            <v>SC</v>
          </cell>
          <cell r="D148">
            <v>7</v>
          </cell>
          <cell r="E148">
            <v>0.05</v>
          </cell>
          <cell r="F148">
            <v>35290</v>
          </cell>
          <cell r="G148">
            <v>259381.5</v>
          </cell>
        </row>
        <row r="149">
          <cell r="A149" t="str">
            <v>MA023</v>
          </cell>
          <cell r="B149" t="str">
            <v>ARENA FINA PARA CONCRETOS</v>
          </cell>
          <cell r="C149" t="str">
            <v>M3</v>
          </cell>
          <cell r="D149">
            <v>0.56000000000000005</v>
          </cell>
          <cell r="E149">
            <v>0.05</v>
          </cell>
          <cell r="F149">
            <v>45460</v>
          </cell>
          <cell r="G149">
            <v>26730.480000000003</v>
          </cell>
        </row>
        <row r="150">
          <cell r="A150" t="str">
            <v>MA024</v>
          </cell>
          <cell r="B150" t="str">
            <v>AGREGADO TRITURADO</v>
          </cell>
          <cell r="C150" t="str">
            <v>M3</v>
          </cell>
          <cell r="D150">
            <v>0.84</v>
          </cell>
          <cell r="E150">
            <v>0.05</v>
          </cell>
          <cell r="F150">
            <v>62475</v>
          </cell>
          <cell r="G150">
            <v>55102.950000000004</v>
          </cell>
        </row>
        <row r="151">
          <cell r="A151" t="str">
            <v>MA025</v>
          </cell>
          <cell r="B151" t="str">
            <v>AGUA</v>
          </cell>
          <cell r="C151" t="str">
            <v>LT</v>
          </cell>
          <cell r="D151">
            <v>180</v>
          </cell>
          <cell r="E151">
            <v>0.1</v>
          </cell>
          <cell r="F151">
            <v>50</v>
          </cell>
          <cell r="G151">
            <v>9900</v>
          </cell>
        </row>
        <row r="152">
          <cell r="F152" t="str">
            <v>SUBTOTAL</v>
          </cell>
          <cell r="G152">
            <v>351114.93</v>
          </cell>
        </row>
        <row r="154">
          <cell r="A154" t="str">
            <v>III. TRANSPORTES</v>
          </cell>
        </row>
        <row r="155">
          <cell r="A155" t="str">
            <v>CÓDIGO</v>
          </cell>
          <cell r="B155" t="str">
            <v>DESCRIPCIÓN</v>
          </cell>
          <cell r="C155" t="str">
            <v>TIPO</v>
          </cell>
          <cell r="D155" t="str">
            <v>VOLUMEN/PESO</v>
          </cell>
          <cell r="E155" t="str">
            <v>DISTANCIA</v>
          </cell>
          <cell r="F155" t="str">
            <v>TARIFA</v>
          </cell>
          <cell r="G155" t="str">
            <v>VR. UNITARIO</v>
          </cell>
        </row>
        <row r="156">
          <cell r="A156" t="str">
            <v>TR020</v>
          </cell>
          <cell r="B156" t="str">
            <v>TRANSPORTE DE MATERIALES  (TRITURADO), 0-54 KM</v>
          </cell>
          <cell r="C156" t="str">
            <v>PLAYATRITURADO</v>
          </cell>
          <cell r="D156">
            <v>0.88200000000000001</v>
          </cell>
          <cell r="E156">
            <v>120</v>
          </cell>
          <cell r="F156">
            <v>950</v>
          </cell>
          <cell r="G156">
            <v>100548</v>
          </cell>
        </row>
        <row r="157">
          <cell r="A157" t="str">
            <v>TR002</v>
          </cell>
          <cell r="B157" t="str">
            <v>TRANSPORTE DE MATERIALES DE PLAYA (ARENILLON, PIEDRA RODADA DE RIO DMAX=1") 0-1KM</v>
          </cell>
          <cell r="C157" t="str">
            <v>PLAYA</v>
          </cell>
          <cell r="D157">
            <v>0.58800000000000008</v>
          </cell>
          <cell r="E157">
            <v>1</v>
          </cell>
          <cell r="F157">
            <v>6100</v>
          </cell>
          <cell r="G157">
            <v>3586.8000000000006</v>
          </cell>
        </row>
        <row r="158">
          <cell r="A158" t="str">
            <v>TR001</v>
          </cell>
          <cell r="B158" t="str">
            <v>TRANSPORTE DE INSUMOS GENERALES 0-1KM</v>
          </cell>
          <cell r="C158" t="str">
            <v>INSUMOS</v>
          </cell>
          <cell r="D158">
            <v>0.35</v>
          </cell>
          <cell r="E158">
            <v>1</v>
          </cell>
          <cell r="F158">
            <v>4250</v>
          </cell>
          <cell r="G158">
            <v>1487.5</v>
          </cell>
        </row>
        <row r="159">
          <cell r="F159" t="str">
            <v>SUBTOTAL</v>
          </cell>
          <cell r="G159">
            <v>105622.3</v>
          </cell>
        </row>
        <row r="161">
          <cell r="A161" t="str">
            <v>IV. MANO DE OBRA</v>
          </cell>
        </row>
        <row r="162">
          <cell r="A162" t="str">
            <v>CÓDIGO</v>
          </cell>
          <cell r="B162" t="str">
            <v>CARGOS PERSONAL</v>
          </cell>
          <cell r="D162" t="str">
            <v>CANTIDAD</v>
          </cell>
          <cell r="E162" t="str">
            <v>JORNAL TOTAL</v>
          </cell>
          <cell r="F162" t="str">
            <v>RENDIMIENTO</v>
          </cell>
          <cell r="G162" t="str">
            <v>VR. UNITARIO</v>
          </cell>
        </row>
        <row r="163">
          <cell r="A163" t="str">
            <v>MO033</v>
          </cell>
          <cell r="B163" t="str">
            <v>OPERADOR EQUIPO LIVIANO</v>
          </cell>
          <cell r="D163">
            <v>1</v>
          </cell>
          <cell r="E163">
            <v>104675</v>
          </cell>
          <cell r="F163">
            <v>8</v>
          </cell>
          <cell r="G163">
            <v>13084.375</v>
          </cell>
        </row>
        <row r="164">
          <cell r="A164" t="str">
            <v>MO032</v>
          </cell>
          <cell r="B164" t="str">
            <v>AYUDANTE RASO</v>
          </cell>
          <cell r="D164">
            <v>4</v>
          </cell>
          <cell r="E164">
            <v>83770</v>
          </cell>
          <cell r="F164">
            <v>8</v>
          </cell>
          <cell r="G164">
            <v>41885</v>
          </cell>
        </row>
        <row r="165">
          <cell r="G165" t="str">
            <v/>
          </cell>
        </row>
        <row r="166">
          <cell r="A166" t="str">
            <v/>
          </cell>
          <cell r="E166" t="str">
            <v/>
          </cell>
          <cell r="F166" t="str">
            <v/>
          </cell>
          <cell r="G166" t="str">
            <v/>
          </cell>
        </row>
        <row r="167">
          <cell r="F167" t="str">
            <v>SUBTOTAL</v>
          </cell>
          <cell r="G167">
            <v>54969.375</v>
          </cell>
        </row>
        <row r="169">
          <cell r="A169" t="str">
            <v>V. SERVICIOS</v>
          </cell>
        </row>
        <row r="170">
          <cell r="A170" t="str">
            <v>CÓDIGO</v>
          </cell>
          <cell r="B170" t="str">
            <v>DESCRIPCIÓN</v>
          </cell>
          <cell r="D170" t="str">
            <v>UNIDAD</v>
          </cell>
          <cell r="E170" t="str">
            <v>CANTIDAD</v>
          </cell>
          <cell r="F170" t="str">
            <v>PRECIO UNIT.</v>
          </cell>
          <cell r="G170" t="str">
            <v>VR. UNITARIO</v>
          </cell>
        </row>
        <row r="171">
          <cell r="A171" t="str">
            <v/>
          </cell>
          <cell r="D171" t="str">
            <v/>
          </cell>
          <cell r="E171">
            <v>1</v>
          </cell>
          <cell r="F171" t="str">
            <v/>
          </cell>
          <cell r="G171" t="str">
            <v/>
          </cell>
        </row>
        <row r="172">
          <cell r="A172" t="str">
            <v/>
          </cell>
          <cell r="D172" t="str">
            <v/>
          </cell>
          <cell r="E172">
            <v>1</v>
          </cell>
          <cell r="F172" t="str">
            <v/>
          </cell>
          <cell r="G172" t="str">
            <v/>
          </cell>
        </row>
        <row r="173">
          <cell r="A173" t="str">
            <v/>
          </cell>
          <cell r="D173" t="str">
            <v/>
          </cell>
          <cell r="F173" t="str">
            <v/>
          </cell>
          <cell r="G173" t="str">
            <v/>
          </cell>
        </row>
        <row r="174">
          <cell r="F174" t="str">
            <v>SUBTOTAL</v>
          </cell>
          <cell r="G174" t="str">
            <v/>
          </cell>
        </row>
        <row r="176">
          <cell r="A176" t="str">
            <v>TOTAL COSTO DIRECTO</v>
          </cell>
          <cell r="G176">
            <v>524205</v>
          </cell>
        </row>
        <row r="178">
          <cell r="A178" t="str">
            <v>2. COSTOS INDIRECTOS</v>
          </cell>
        </row>
        <row r="180">
          <cell r="A180" t="str">
            <v>DESCRIPCIÓN</v>
          </cell>
          <cell r="F180" t="str">
            <v>PORCENTAJE</v>
          </cell>
          <cell r="G180" t="str">
            <v>VALOR TOTAL</v>
          </cell>
        </row>
        <row r="181">
          <cell r="A181" t="str">
            <v>ADMINISTRACION</v>
          </cell>
          <cell r="F181">
            <v>0.33389999999999997</v>
          </cell>
          <cell r="G181">
            <v>175032.04949999999</v>
          </cell>
        </row>
        <row r="182">
          <cell r="A182" t="str">
            <v>IMPREVISTOS</v>
          </cell>
          <cell r="F182" t="str">
            <v/>
          </cell>
          <cell r="G182" t="str">
            <v/>
          </cell>
        </row>
        <row r="183">
          <cell r="A183" t="str">
            <v>UTILIDADES</v>
          </cell>
          <cell r="F183">
            <v>0.05</v>
          </cell>
          <cell r="G183">
            <v>26210.25</v>
          </cell>
        </row>
        <row r="184">
          <cell r="A184" t="str">
            <v>TOTAL COSTO INDIRECTO</v>
          </cell>
          <cell r="F184">
            <v>0.38389999999999996</v>
          </cell>
          <cell r="G184">
            <v>201242</v>
          </cell>
        </row>
        <row r="186">
          <cell r="A186" t="str">
            <v>PRECIO UNITARIO TOTAL APROXIMADO AL PESO</v>
          </cell>
          <cell r="G186">
            <v>725447</v>
          </cell>
        </row>
        <row r="191">
          <cell r="D191" t="str">
            <v>FIRMA RESPONSABLE</v>
          </cell>
        </row>
        <row r="193">
          <cell r="A193" t="str">
            <v>DEPARTAMENTO DE ANTIOQUIA</v>
          </cell>
          <cell r="F193" t="str">
            <v/>
          </cell>
        </row>
        <row r="194">
          <cell r="A194" t="str">
            <v>MUNICIPIO DE DABEIBA</v>
          </cell>
        </row>
        <row r="195">
          <cell r="A195" t="str">
            <v>MEJORAMIENTO DE LA RED VIAL URBANA EN EL BARRIO SAN ANTONIO DEL MUNICIPIO DE DABEIBA</v>
          </cell>
        </row>
        <row r="197">
          <cell r="A197" t="str">
            <v>ANÁLISIS DE PRECIOS UNITARIOS</v>
          </cell>
        </row>
        <row r="199">
          <cell r="A199" t="str">
            <v>ITEM</v>
          </cell>
          <cell r="B199" t="str">
            <v>DESCRIPCIÓN</v>
          </cell>
          <cell r="E199" t="str">
            <v>UNIDAD</v>
          </cell>
          <cell r="F199" t="str">
            <v>CANTIDAD</v>
          </cell>
          <cell r="G199" t="str">
            <v>COSTO DIRECTO</v>
          </cell>
        </row>
        <row r="200">
          <cell r="A200" t="str">
            <v>MA004</v>
          </cell>
          <cell r="B200" t="str">
            <v>CONCRETO 3500 PSI (245 MPA) EN OBRA</v>
          </cell>
          <cell r="E200" t="str">
            <v>M3</v>
          </cell>
          <cell r="F200" t="str">
            <v>N.D</v>
          </cell>
          <cell r="G200">
            <v>532292</v>
          </cell>
        </row>
        <row r="202">
          <cell r="A202" t="str">
            <v>1. COSTOS DIRECTOS</v>
          </cell>
        </row>
        <row r="204">
          <cell r="A204" t="str">
            <v>I. EQUIPO</v>
          </cell>
        </row>
        <row r="205">
          <cell r="A205" t="str">
            <v>CÓDIGO</v>
          </cell>
          <cell r="B205" t="str">
            <v>DESCRIPCIÓN</v>
          </cell>
          <cell r="D205" t="str">
            <v>UNIDAD</v>
          </cell>
          <cell r="E205" t="str">
            <v>TARIFA</v>
          </cell>
          <cell r="F205" t="str">
            <v>RENDIMIENTO</v>
          </cell>
          <cell r="G205" t="str">
            <v>VR. UNITARIO</v>
          </cell>
        </row>
        <row r="206">
          <cell r="A206" t="str">
            <v>EQ004</v>
          </cell>
          <cell r="B206" t="str">
            <v>CONCRETADORA 1.5 SACOS A GASOLINA</v>
          </cell>
          <cell r="D206" t="str">
            <v>DÍA</v>
          </cell>
          <cell r="E206">
            <v>78000</v>
          </cell>
          <cell r="F206">
            <v>8</v>
          </cell>
          <cell r="G206">
            <v>9750</v>
          </cell>
        </row>
        <row r="207">
          <cell r="A207" t="str">
            <v>EQ001</v>
          </cell>
          <cell r="B207" t="str">
            <v>HERRAMIENTA MENOR (5% DE LA MANO DE OBRA)</v>
          </cell>
          <cell r="D207" t="str">
            <v>%</v>
          </cell>
          <cell r="E207">
            <v>0.05</v>
          </cell>
          <cell r="F207">
            <v>54969.375</v>
          </cell>
          <cell r="G207">
            <v>2748.46875</v>
          </cell>
        </row>
        <row r="208">
          <cell r="F208" t="str">
            <v>SUBTOTAL</v>
          </cell>
          <cell r="G208">
            <v>12498.46875</v>
          </cell>
        </row>
        <row r="210">
          <cell r="A210" t="str">
            <v>II. MATERIALES</v>
          </cell>
        </row>
        <row r="211">
          <cell r="A211" t="str">
            <v>CÓDIGO</v>
          </cell>
          <cell r="B211" t="str">
            <v>DESCRIPCIÓN</v>
          </cell>
          <cell r="C211" t="str">
            <v>UNIDAD</v>
          </cell>
          <cell r="D211" t="str">
            <v>CANTIDAD</v>
          </cell>
          <cell r="E211" t="str">
            <v>DESP.</v>
          </cell>
          <cell r="F211" t="str">
            <v>PRECIO UNIT.</v>
          </cell>
          <cell r="G211" t="str">
            <v>VR. UNITARIO</v>
          </cell>
        </row>
        <row r="212">
          <cell r="A212" t="str">
            <v>MA020</v>
          </cell>
          <cell r="B212" t="str">
            <v>CEMENTO GRIS (50 KG) PORTLAND TIPO I</v>
          </cell>
          <cell r="C212" t="str">
            <v>SC</v>
          </cell>
          <cell r="D212">
            <v>7.6</v>
          </cell>
          <cell r="E212">
            <v>0.05</v>
          </cell>
          <cell r="F212">
            <v>35290</v>
          </cell>
          <cell r="G212">
            <v>281614.2</v>
          </cell>
        </row>
        <row r="213">
          <cell r="A213" t="str">
            <v>MA023</v>
          </cell>
          <cell r="B213" t="str">
            <v>ARENA FINA PARA CONCRETOS</v>
          </cell>
          <cell r="C213" t="str">
            <v>M3</v>
          </cell>
          <cell r="D213">
            <v>0.6</v>
          </cell>
          <cell r="E213">
            <v>0.05</v>
          </cell>
          <cell r="F213">
            <v>45460</v>
          </cell>
          <cell r="G213">
            <v>28639.800000000003</v>
          </cell>
        </row>
        <row r="214">
          <cell r="A214" t="str">
            <v>MA024</v>
          </cell>
          <cell r="B214" t="str">
            <v>AGREGADO TRITURADO</v>
          </cell>
          <cell r="C214" t="str">
            <v>M3</v>
          </cell>
          <cell r="D214">
            <v>0.76</v>
          </cell>
          <cell r="E214">
            <v>0.05</v>
          </cell>
          <cell r="F214">
            <v>62475</v>
          </cell>
          <cell r="G214">
            <v>49855.05</v>
          </cell>
        </row>
        <row r="215">
          <cell r="A215" t="str">
            <v>MA025</v>
          </cell>
          <cell r="B215" t="str">
            <v>AGUA</v>
          </cell>
          <cell r="C215" t="str">
            <v>LT</v>
          </cell>
          <cell r="D215">
            <v>180</v>
          </cell>
          <cell r="E215">
            <v>0.1</v>
          </cell>
          <cell r="F215">
            <v>50</v>
          </cell>
          <cell r="G215">
            <v>9900</v>
          </cell>
        </row>
        <row r="216">
          <cell r="F216" t="str">
            <v>SUBTOTAL</v>
          </cell>
          <cell r="G216">
            <v>370009.05</v>
          </cell>
        </row>
        <row r="218">
          <cell r="A218" t="str">
            <v>III. TRANSPORTES</v>
          </cell>
        </row>
        <row r="219">
          <cell r="A219" t="str">
            <v>CÓDIGO</v>
          </cell>
          <cell r="B219" t="str">
            <v>DESCRIPCIÓN</v>
          </cell>
          <cell r="C219" t="str">
            <v>TIPO</v>
          </cell>
          <cell r="D219" t="str">
            <v>VOLUMEN/PESO</v>
          </cell>
          <cell r="E219" t="str">
            <v>DISTANCIA</v>
          </cell>
          <cell r="F219" t="str">
            <v>TARIFA</v>
          </cell>
          <cell r="G219" t="str">
            <v>VR. UNITARIO</v>
          </cell>
        </row>
        <row r="220">
          <cell r="A220" t="str">
            <v>TR020</v>
          </cell>
          <cell r="B220" t="str">
            <v>TRANSPORTE DE MATERIALES  (TRITURADO), 0-54 KM</v>
          </cell>
          <cell r="C220" t="str">
            <v>PLAYATRITURADO</v>
          </cell>
          <cell r="D220">
            <v>0.79800000000000004</v>
          </cell>
          <cell r="E220">
            <v>120</v>
          </cell>
          <cell r="F220">
            <v>950</v>
          </cell>
          <cell r="G220">
            <v>90972</v>
          </cell>
        </row>
        <row r="221">
          <cell r="A221" t="str">
            <v>TR002</v>
          </cell>
          <cell r="B221" t="str">
            <v>TRANSPORTE DE MATERIALES DE PLAYA (ARENILLON, PIEDRA RODADA DE RIO DMAX=1") 0-1KM</v>
          </cell>
          <cell r="C221" t="str">
            <v>PLAYA</v>
          </cell>
          <cell r="D221">
            <v>0.63</v>
          </cell>
          <cell r="E221">
            <v>1</v>
          </cell>
          <cell r="F221">
            <v>6100</v>
          </cell>
          <cell r="G221">
            <v>3843</v>
          </cell>
        </row>
        <row r="222">
          <cell r="A222" t="str">
            <v>TR001</v>
          </cell>
          <cell r="B222" t="str">
            <v>TRANSPORTE DE INSUMOS GENERALES 0-1KM</v>
          </cell>
          <cell r="C222" t="str">
            <v>INSUMOS</v>
          </cell>
          <cell r="D222">
            <v>0.38</v>
          </cell>
          <cell r="E222">
            <v>1</v>
          </cell>
          <cell r="F222">
            <v>4250</v>
          </cell>
          <cell r="G222">
            <v>1615</v>
          </cell>
        </row>
        <row r="223">
          <cell r="F223" t="str">
            <v>SUBTOTAL</v>
          </cell>
          <cell r="G223">
            <v>94815</v>
          </cell>
        </row>
        <row r="225">
          <cell r="A225" t="str">
            <v>IV. MANO DE OBRA</v>
          </cell>
        </row>
        <row r="226">
          <cell r="A226" t="str">
            <v>CÓDIGO</v>
          </cell>
          <cell r="B226" t="str">
            <v>CARGOS PERSONAL</v>
          </cell>
          <cell r="D226" t="str">
            <v>CANTIDAD</v>
          </cell>
          <cell r="E226" t="str">
            <v>JORNAL TOTAL</v>
          </cell>
          <cell r="F226" t="str">
            <v>RENDIMIENTO</v>
          </cell>
          <cell r="G226" t="str">
            <v>VR. UNITARIO</v>
          </cell>
        </row>
        <row r="227">
          <cell r="A227" t="str">
            <v>MO033</v>
          </cell>
          <cell r="B227" t="str">
            <v>OPERADOR EQUIPO LIVIANO</v>
          </cell>
          <cell r="D227">
            <v>1</v>
          </cell>
          <cell r="E227">
            <v>104675</v>
          </cell>
          <cell r="F227">
            <v>8</v>
          </cell>
          <cell r="G227">
            <v>13084.375</v>
          </cell>
        </row>
        <row r="228">
          <cell r="A228" t="str">
            <v>MO032</v>
          </cell>
          <cell r="B228" t="str">
            <v>AYUDANTE RASO</v>
          </cell>
          <cell r="D228">
            <v>4</v>
          </cell>
          <cell r="E228">
            <v>83770</v>
          </cell>
          <cell r="F228">
            <v>8</v>
          </cell>
          <cell r="G228">
            <v>41885</v>
          </cell>
        </row>
        <row r="229">
          <cell r="G229" t="str">
            <v/>
          </cell>
        </row>
        <row r="230">
          <cell r="A230" t="str">
            <v/>
          </cell>
          <cell r="E230" t="str">
            <v/>
          </cell>
          <cell r="F230" t="str">
            <v/>
          </cell>
          <cell r="G230" t="str">
            <v/>
          </cell>
        </row>
        <row r="231">
          <cell r="F231" t="str">
            <v>SUBTOTAL</v>
          </cell>
          <cell r="G231">
            <v>54969.375</v>
          </cell>
        </row>
        <row r="233">
          <cell r="A233" t="str">
            <v>V. SERVICIOS</v>
          </cell>
        </row>
        <row r="234">
          <cell r="A234" t="str">
            <v>CÓDIGO</v>
          </cell>
          <cell r="B234" t="str">
            <v>DESCRIPCIÓN</v>
          </cell>
          <cell r="D234" t="str">
            <v>UNIDAD</v>
          </cell>
          <cell r="E234" t="str">
            <v>CANTIDAD</v>
          </cell>
          <cell r="F234" t="str">
            <v>PRECIO UNIT.</v>
          </cell>
          <cell r="G234" t="str">
            <v>VR. UNITARIO</v>
          </cell>
        </row>
        <row r="235">
          <cell r="A235" t="str">
            <v/>
          </cell>
          <cell r="D235" t="str">
            <v/>
          </cell>
          <cell r="E235">
            <v>1</v>
          </cell>
          <cell r="F235" t="str">
            <v/>
          </cell>
          <cell r="G235" t="str">
            <v/>
          </cell>
        </row>
        <row r="236">
          <cell r="A236" t="str">
            <v/>
          </cell>
          <cell r="D236" t="str">
            <v/>
          </cell>
          <cell r="E236">
            <v>1</v>
          </cell>
          <cell r="F236" t="str">
            <v/>
          </cell>
          <cell r="G236" t="str">
            <v/>
          </cell>
        </row>
        <row r="237">
          <cell r="A237" t="str">
            <v/>
          </cell>
          <cell r="D237" t="str">
            <v/>
          </cell>
          <cell r="F237" t="str">
            <v/>
          </cell>
          <cell r="G237" t="str">
            <v/>
          </cell>
        </row>
        <row r="238">
          <cell r="F238" t="str">
            <v>SUBTOTAL</v>
          </cell>
          <cell r="G238" t="str">
            <v/>
          </cell>
        </row>
        <row r="240">
          <cell r="A240" t="str">
            <v>TOTAL COSTO DIRECTO</v>
          </cell>
          <cell r="G240">
            <v>532292</v>
          </cell>
        </row>
        <row r="242">
          <cell r="A242" t="str">
            <v>2. COSTOS INDIRECTOS</v>
          </cell>
        </row>
        <row r="244">
          <cell r="A244" t="str">
            <v>DESCRIPCIÓN</v>
          </cell>
          <cell r="F244" t="str">
            <v>PORCENTAJE</v>
          </cell>
          <cell r="G244" t="str">
            <v>VALOR TOTAL</v>
          </cell>
        </row>
        <row r="245">
          <cell r="A245" t="str">
            <v>ADMINISTRACION</v>
          </cell>
          <cell r="F245">
            <v>0.33389999999999997</v>
          </cell>
          <cell r="G245">
            <v>177732.29879999999</v>
          </cell>
        </row>
        <row r="246">
          <cell r="A246" t="str">
            <v>IMPREVISTOS</v>
          </cell>
          <cell r="F246" t="str">
            <v/>
          </cell>
          <cell r="G246" t="str">
            <v/>
          </cell>
        </row>
        <row r="247">
          <cell r="A247" t="str">
            <v>UTILIDADES</v>
          </cell>
          <cell r="F247">
            <v>0.05</v>
          </cell>
          <cell r="G247">
            <v>26614.600000000002</v>
          </cell>
        </row>
        <row r="248">
          <cell r="A248" t="str">
            <v>TOTAL COSTO INDIRECTO</v>
          </cell>
          <cell r="F248">
            <v>0.38389999999999996</v>
          </cell>
          <cell r="G248">
            <v>204347</v>
          </cell>
        </row>
        <row r="250">
          <cell r="A250" t="str">
            <v>PRECIO UNITARIO TOTAL APROXIMADO AL PESO</v>
          </cell>
          <cell r="G250">
            <v>736639</v>
          </cell>
        </row>
        <row r="255">
          <cell r="D255" t="str">
            <v>FIRMA RESPONSABLE</v>
          </cell>
        </row>
        <row r="257">
          <cell r="A257" t="str">
            <v>DEPARTAMENTO DE ANTIOQUIA</v>
          </cell>
          <cell r="F257" t="str">
            <v/>
          </cell>
        </row>
        <row r="258">
          <cell r="A258" t="str">
            <v>MUNICIPIO DE DABEIBA</v>
          </cell>
        </row>
        <row r="259">
          <cell r="A259" t="str">
            <v>MEJORAMIENTO DE LA RED VIAL URBANA EN EL BARRIO SAN ANTONIO DEL MUNICIPIO DE DABEIBA</v>
          </cell>
        </row>
        <row r="261">
          <cell r="A261" t="str">
            <v>ANÁLISIS DE PRECIOS UNITARIOS</v>
          </cell>
        </row>
        <row r="263">
          <cell r="A263" t="str">
            <v>ITEM</v>
          </cell>
          <cell r="B263" t="str">
            <v>DESCRIPCIÓN</v>
          </cell>
          <cell r="E263" t="str">
            <v>UNIDAD</v>
          </cell>
          <cell r="F263" t="str">
            <v>CANTIDAD</v>
          </cell>
          <cell r="G263" t="str">
            <v>COSTO DIRECTO</v>
          </cell>
        </row>
        <row r="264">
          <cell r="A264" t="str">
            <v>MA005</v>
          </cell>
          <cell r="B264" t="str">
            <v>CONCRETO 4000 PSI (280 MPA) EN OBRA</v>
          </cell>
          <cell r="E264" t="str">
            <v>M3</v>
          </cell>
          <cell r="F264" t="str">
            <v>N.D</v>
          </cell>
          <cell r="G264">
            <v>782858</v>
          </cell>
        </row>
        <row r="266">
          <cell r="A266" t="str">
            <v>1. COSTOS DIRECTOS</v>
          </cell>
        </row>
        <row r="268">
          <cell r="A268" t="str">
            <v>I. EQUIPO</v>
          </cell>
        </row>
        <row r="269">
          <cell r="A269" t="str">
            <v>CÓDIGO</v>
          </cell>
          <cell r="B269" t="str">
            <v>DESCRIPCIÓN</v>
          </cell>
          <cell r="D269" t="str">
            <v>UNIDAD</v>
          </cell>
          <cell r="E269" t="str">
            <v>TARIFA</v>
          </cell>
          <cell r="F269" t="str">
            <v>RENDIMIENTO</v>
          </cell>
          <cell r="G269" t="str">
            <v>VR. UNITARIO</v>
          </cell>
        </row>
        <row r="270">
          <cell r="A270" t="str">
            <v>EQ004</v>
          </cell>
          <cell r="B270" t="str">
            <v>CONCRETADORA 1.5 SACOS A GASOLINA</v>
          </cell>
          <cell r="D270" t="str">
            <v>DÍA</v>
          </cell>
          <cell r="E270">
            <v>78000</v>
          </cell>
          <cell r="F270">
            <v>8</v>
          </cell>
          <cell r="G270">
            <v>9750</v>
          </cell>
        </row>
        <row r="271">
          <cell r="A271" t="str">
            <v>EQ001</v>
          </cell>
          <cell r="B271" t="str">
            <v>HERRAMIENTA MENOR (5% DE LA MANO DE OBRA)</v>
          </cell>
          <cell r="D271" t="str">
            <v>%</v>
          </cell>
          <cell r="E271">
            <v>0.05</v>
          </cell>
          <cell r="F271">
            <v>261762.5</v>
          </cell>
          <cell r="G271">
            <v>13088.125</v>
          </cell>
        </row>
        <row r="272">
          <cell r="F272" t="str">
            <v>SUBTOTAL</v>
          </cell>
          <cell r="G272">
            <v>22838.125</v>
          </cell>
        </row>
        <row r="274">
          <cell r="A274" t="str">
            <v>II. MATERIALES</v>
          </cell>
        </row>
        <row r="275">
          <cell r="A275" t="str">
            <v>CÓDIGO</v>
          </cell>
          <cell r="B275" t="str">
            <v>DESCRIPCIÓN</v>
          </cell>
          <cell r="C275" t="str">
            <v>UNIDAD</v>
          </cell>
          <cell r="D275" t="str">
            <v>CANTIDAD</v>
          </cell>
          <cell r="E275" t="str">
            <v>DESP.</v>
          </cell>
          <cell r="F275" t="str">
            <v>PRECIO UNIT.</v>
          </cell>
          <cell r="G275" t="str">
            <v>VR. UNITARIO</v>
          </cell>
        </row>
        <row r="276">
          <cell r="A276" t="str">
            <v>MA020</v>
          </cell>
          <cell r="B276" t="str">
            <v>CEMENTO GRIS (50 KG) PORTLAND TIPO I</v>
          </cell>
          <cell r="C276" t="str">
            <v>SC</v>
          </cell>
          <cell r="D276">
            <v>8.4</v>
          </cell>
          <cell r="E276">
            <v>0.05</v>
          </cell>
          <cell r="F276">
            <v>35290</v>
          </cell>
          <cell r="G276">
            <v>311257.8</v>
          </cell>
        </row>
        <row r="277">
          <cell r="A277" t="str">
            <v>MA023</v>
          </cell>
          <cell r="B277" t="str">
            <v>ARENA FINA PARA CONCRETOS</v>
          </cell>
          <cell r="C277" t="str">
            <v>M3</v>
          </cell>
          <cell r="D277">
            <v>0.67</v>
          </cell>
          <cell r="E277">
            <v>0.05</v>
          </cell>
          <cell r="F277">
            <v>45460</v>
          </cell>
          <cell r="G277">
            <v>31981.11</v>
          </cell>
        </row>
        <row r="278">
          <cell r="A278" t="str">
            <v>MA024</v>
          </cell>
          <cell r="B278" t="str">
            <v>AGREGADO TRITURADO</v>
          </cell>
          <cell r="C278" t="str">
            <v>M3</v>
          </cell>
          <cell r="D278">
            <v>0.76</v>
          </cell>
          <cell r="E278">
            <v>0.05</v>
          </cell>
          <cell r="F278">
            <v>62475</v>
          </cell>
          <cell r="G278">
            <v>49855.05</v>
          </cell>
        </row>
        <row r="279">
          <cell r="A279" t="str">
            <v>MA025</v>
          </cell>
          <cell r="B279" t="str">
            <v>AGUA</v>
          </cell>
          <cell r="C279" t="str">
            <v>LT</v>
          </cell>
          <cell r="D279">
            <v>180</v>
          </cell>
          <cell r="E279">
            <v>0.1</v>
          </cell>
          <cell r="F279">
            <v>50</v>
          </cell>
          <cell r="G279">
            <v>9900</v>
          </cell>
        </row>
        <row r="280">
          <cell r="F280" t="str">
            <v>SUBTOTAL</v>
          </cell>
          <cell r="G280">
            <v>402993.95999999996</v>
          </cell>
        </row>
        <row r="282">
          <cell r="A282" t="str">
            <v>III. TRANSPORTES</v>
          </cell>
        </row>
        <row r="283">
          <cell r="A283" t="str">
            <v>CÓDIGO</v>
          </cell>
          <cell r="B283" t="str">
            <v>DESCRIPCIÓN</v>
          </cell>
          <cell r="C283" t="str">
            <v>TIPO</v>
          </cell>
          <cell r="D283" t="str">
            <v>VOLUMEN/PESO</v>
          </cell>
          <cell r="E283" t="str">
            <v>DISTANCIA</v>
          </cell>
          <cell r="F283" t="str">
            <v>TARIFA</v>
          </cell>
          <cell r="G283" t="str">
            <v>VR. UNITARIO</v>
          </cell>
        </row>
        <row r="284">
          <cell r="A284" t="str">
            <v>TR020</v>
          </cell>
          <cell r="B284" t="str">
            <v>TRANSPORTE DE MATERIALES  (TRITURADO), 0-54 KM</v>
          </cell>
          <cell r="C284" t="str">
            <v>PLAYATRITURADO</v>
          </cell>
          <cell r="D284">
            <v>0.79800000000000004</v>
          </cell>
          <cell r="E284">
            <v>120</v>
          </cell>
          <cell r="F284">
            <v>950</v>
          </cell>
          <cell r="G284">
            <v>90972</v>
          </cell>
        </row>
        <row r="285">
          <cell r="A285" t="str">
            <v>TR002</v>
          </cell>
          <cell r="B285" t="str">
            <v>TRANSPORTE DE MATERIALES DE PLAYA (ARENILLON, PIEDRA RODADA DE RIO DMAX=1") 0-1KM</v>
          </cell>
          <cell r="C285" t="str">
            <v>PLAYA</v>
          </cell>
          <cell r="D285">
            <v>0.70350000000000013</v>
          </cell>
          <cell r="E285">
            <v>1</v>
          </cell>
          <cell r="F285">
            <v>6100</v>
          </cell>
          <cell r="G285">
            <v>4291.3500000000004</v>
          </cell>
        </row>
        <row r="286">
          <cell r="A286" t="str">
            <v>TR001</v>
          </cell>
          <cell r="B286" t="str">
            <v>TRANSPORTE DE INSUMOS GENERALES 0-1KM</v>
          </cell>
          <cell r="C286" t="str">
            <v>INSUMOS</v>
          </cell>
          <cell r="D286">
            <v>0.42</v>
          </cell>
          <cell r="E286">
            <v>1</v>
          </cell>
          <cell r="F286">
            <v>4250</v>
          </cell>
          <cell r="G286">
            <v>1785</v>
          </cell>
        </row>
        <row r="287">
          <cell r="F287" t="str">
            <v>SUBTOTAL</v>
          </cell>
          <cell r="G287">
            <v>95263.35</v>
          </cell>
        </row>
        <row r="289">
          <cell r="A289" t="str">
            <v>IV. MANO DE OBRA</v>
          </cell>
        </row>
        <row r="290">
          <cell r="A290" t="str">
            <v>CÓDIGO</v>
          </cell>
          <cell r="B290" t="str">
            <v>CARGOS PERSONAL</v>
          </cell>
          <cell r="D290" t="str">
            <v>CANTIDAD</v>
          </cell>
          <cell r="E290" t="str">
            <v>JORNAL TOTAL</v>
          </cell>
          <cell r="F290" t="str">
            <v>RENDIMIENTO</v>
          </cell>
          <cell r="G290" t="str">
            <v>VR. UNITARIO</v>
          </cell>
        </row>
        <row r="291">
          <cell r="A291" t="str">
            <v>MO033</v>
          </cell>
          <cell r="B291" t="str">
            <v>OPERADOR EQUIPO LIVIANO</v>
          </cell>
          <cell r="D291">
            <v>1</v>
          </cell>
          <cell r="E291">
            <v>104675</v>
          </cell>
          <cell r="F291">
            <v>2</v>
          </cell>
          <cell r="G291">
            <v>52337.5</v>
          </cell>
        </row>
        <row r="292">
          <cell r="A292" t="str">
            <v>MO032</v>
          </cell>
          <cell r="B292" t="str">
            <v>AYUDANTE RASO</v>
          </cell>
          <cell r="D292">
            <v>5</v>
          </cell>
          <cell r="E292">
            <v>83770</v>
          </cell>
          <cell r="F292">
            <v>2</v>
          </cell>
          <cell r="G292">
            <v>209425</v>
          </cell>
        </row>
        <row r="293">
          <cell r="G293" t="str">
            <v/>
          </cell>
        </row>
        <row r="294">
          <cell r="A294" t="str">
            <v/>
          </cell>
          <cell r="E294" t="str">
            <v/>
          </cell>
          <cell r="F294" t="str">
            <v/>
          </cell>
          <cell r="G294" t="str">
            <v/>
          </cell>
        </row>
        <row r="295">
          <cell r="F295" t="str">
            <v>SUBTOTAL</v>
          </cell>
          <cell r="G295">
            <v>261762.5</v>
          </cell>
        </row>
        <row r="297">
          <cell r="A297" t="str">
            <v>V. SERVICIOS</v>
          </cell>
        </row>
        <row r="298">
          <cell r="A298" t="str">
            <v>CÓDIGO</v>
          </cell>
          <cell r="B298" t="str">
            <v>DESCRIPCIÓN</v>
          </cell>
          <cell r="D298" t="str">
            <v>UNIDAD</v>
          </cell>
          <cell r="E298" t="str">
            <v>CANTIDAD</v>
          </cell>
          <cell r="F298" t="str">
            <v>PRECIO UNIT.</v>
          </cell>
          <cell r="G298" t="str">
            <v>VR. UNITARIO</v>
          </cell>
        </row>
        <row r="299">
          <cell r="A299" t="str">
            <v/>
          </cell>
          <cell r="D299" t="str">
            <v/>
          </cell>
          <cell r="E299">
            <v>1</v>
          </cell>
          <cell r="F299" t="str">
            <v/>
          </cell>
          <cell r="G299" t="str">
            <v/>
          </cell>
        </row>
        <row r="300">
          <cell r="A300" t="str">
            <v/>
          </cell>
          <cell r="D300" t="str">
            <v/>
          </cell>
          <cell r="E300">
            <v>1</v>
          </cell>
          <cell r="F300" t="str">
            <v/>
          </cell>
          <cell r="G300" t="str">
            <v/>
          </cell>
        </row>
        <row r="301">
          <cell r="A301" t="str">
            <v/>
          </cell>
          <cell r="D301" t="str">
            <v/>
          </cell>
          <cell r="F301" t="str">
            <v/>
          </cell>
          <cell r="G301" t="str">
            <v/>
          </cell>
        </row>
        <row r="302">
          <cell r="F302" t="str">
            <v>SUBTOTAL</v>
          </cell>
          <cell r="G302" t="str">
            <v/>
          </cell>
        </row>
        <row r="304">
          <cell r="A304" t="str">
            <v>TOTAL COSTO DIRECTO</v>
          </cell>
          <cell r="G304">
            <v>782858</v>
          </cell>
        </row>
        <row r="306">
          <cell r="A306" t="str">
            <v>2. COSTOS INDIRECTOS</v>
          </cell>
        </row>
        <row r="308">
          <cell r="A308" t="str">
            <v>DESCRIPCIÓN</v>
          </cell>
          <cell r="F308" t="str">
            <v>PORCENTAJE</v>
          </cell>
          <cell r="G308" t="str">
            <v>VALOR TOTAL</v>
          </cell>
        </row>
        <row r="309">
          <cell r="A309" t="str">
            <v>ADMINISTRACION</v>
          </cell>
          <cell r="F309">
            <v>0.33389999999999997</v>
          </cell>
          <cell r="G309">
            <v>261396.28619999997</v>
          </cell>
        </row>
        <row r="310">
          <cell r="A310" t="str">
            <v>IMPREVISTOS</v>
          </cell>
          <cell r="F310" t="str">
            <v/>
          </cell>
          <cell r="G310" t="str">
            <v/>
          </cell>
        </row>
        <row r="311">
          <cell r="A311" t="str">
            <v>UTILIDADES</v>
          </cell>
          <cell r="F311">
            <v>0.05</v>
          </cell>
          <cell r="G311">
            <v>39142.9</v>
          </cell>
        </row>
        <row r="312">
          <cell r="A312" t="str">
            <v>TOTAL COSTO INDIRECTO</v>
          </cell>
          <cell r="F312">
            <v>0.38389999999999996</v>
          </cell>
          <cell r="G312">
            <v>300539</v>
          </cell>
        </row>
        <row r="314">
          <cell r="A314" t="str">
            <v>PRECIO UNITARIO TOTAL APROXIMADO AL PESO</v>
          </cell>
          <cell r="G314">
            <v>1083397</v>
          </cell>
        </row>
        <row r="319">
          <cell r="D319" t="str">
            <v>FIRMA RESPONSABLE</v>
          </cell>
        </row>
        <row r="321">
          <cell r="A321" t="str">
            <v>DEPARTAMENTO DE ANTIOQUIA</v>
          </cell>
          <cell r="F321" t="str">
            <v/>
          </cell>
        </row>
        <row r="322">
          <cell r="A322" t="str">
            <v>MUNICIPIO DE DABEIBA</v>
          </cell>
        </row>
        <row r="323">
          <cell r="A323" t="str">
            <v>MEJORAMIENTO DE LA RED VIAL URBANA EN EL BARRIO SAN ANTONIO DEL MUNICIPIO DE DABEIBA</v>
          </cell>
        </row>
        <row r="325">
          <cell r="A325" t="str">
            <v>ANÁLISIS DE PRECIOS UNITARIOS</v>
          </cell>
        </row>
        <row r="327">
          <cell r="A327" t="str">
            <v>ITEM</v>
          </cell>
          <cell r="B327" t="str">
            <v>DESCRIPCIÓN</v>
          </cell>
          <cell r="E327" t="str">
            <v>UNIDAD</v>
          </cell>
          <cell r="F327" t="str">
            <v>CANTIDAD</v>
          </cell>
          <cell r="G327" t="str">
            <v>COSTO DIRECTO</v>
          </cell>
        </row>
        <row r="328">
          <cell r="A328" t="str">
            <v>MA006</v>
          </cell>
          <cell r="B328" t="str">
            <v>MORTERO 1:2 EN OBRA (REVOQUE)</v>
          </cell>
          <cell r="E328" t="str">
            <v>M3</v>
          </cell>
          <cell r="F328" t="str">
            <v>N.D</v>
          </cell>
          <cell r="G328">
            <v>496547</v>
          </cell>
        </row>
        <row r="330">
          <cell r="A330" t="str">
            <v>1. COSTOS DIRECTOS</v>
          </cell>
        </row>
        <row r="332">
          <cell r="A332" t="str">
            <v>I. EQUIPO</v>
          </cell>
        </row>
        <row r="333">
          <cell r="A333" t="str">
            <v>CÓDIGO</v>
          </cell>
          <cell r="B333" t="str">
            <v>DESCRIPCIÓN</v>
          </cell>
          <cell r="D333" t="str">
            <v>UNIDAD</v>
          </cell>
          <cell r="E333" t="str">
            <v>TARIFA</v>
          </cell>
          <cell r="F333" t="str">
            <v>RENDIMIENTO</v>
          </cell>
          <cell r="G333" t="str">
            <v>VR. UNITARIO</v>
          </cell>
        </row>
        <row r="334">
          <cell r="A334" t="str">
            <v>EQ004</v>
          </cell>
          <cell r="B334" t="str">
            <v>CONCRETADORA 1.5 SACOS A GASOLINA</v>
          </cell>
          <cell r="D334" t="str">
            <v>DÍA</v>
          </cell>
          <cell r="E334">
            <v>78000</v>
          </cell>
          <cell r="F334">
            <v>8</v>
          </cell>
          <cell r="G334">
            <v>9750</v>
          </cell>
        </row>
        <row r="335">
          <cell r="A335" t="str">
            <v>EQ001</v>
          </cell>
          <cell r="B335" t="str">
            <v>HERRAMIENTA MENOR (5% DE LA MANO DE OBRA)</v>
          </cell>
          <cell r="D335" t="str">
            <v>%</v>
          </cell>
          <cell r="E335">
            <v>0.05</v>
          </cell>
          <cell r="F335">
            <v>44498.125</v>
          </cell>
          <cell r="G335">
            <v>2224.90625</v>
          </cell>
        </row>
        <row r="336">
          <cell r="F336" t="str">
            <v>SUBTOTAL</v>
          </cell>
          <cell r="G336">
            <v>11974.90625</v>
          </cell>
        </row>
        <row r="338">
          <cell r="A338" t="str">
            <v>II. MATERIALES</v>
          </cell>
        </row>
        <row r="339">
          <cell r="A339" t="str">
            <v>CÓDIGO</v>
          </cell>
          <cell r="B339" t="str">
            <v>DESCRIPCIÓN</v>
          </cell>
          <cell r="C339" t="str">
            <v>UNIDAD</v>
          </cell>
          <cell r="D339" t="str">
            <v>CANTIDAD</v>
          </cell>
          <cell r="E339" t="str">
            <v>DESP.</v>
          </cell>
          <cell r="F339" t="str">
            <v>PRECIO UNIT.</v>
          </cell>
          <cell r="G339" t="str">
            <v>VR. UNITARIO</v>
          </cell>
        </row>
        <row r="340">
          <cell r="A340" t="str">
            <v>MA020</v>
          </cell>
          <cell r="B340" t="str">
            <v>CEMENTO GRIS (50 KG) PORTLAND TIPO I</v>
          </cell>
          <cell r="C340" t="str">
            <v>SC</v>
          </cell>
          <cell r="D340">
            <v>10.199999999999999</v>
          </cell>
          <cell r="E340">
            <v>0.05</v>
          </cell>
          <cell r="F340">
            <v>35290</v>
          </cell>
          <cell r="G340">
            <v>377955.9</v>
          </cell>
        </row>
        <row r="341">
          <cell r="A341" t="str">
            <v>MA022</v>
          </cell>
          <cell r="B341" t="str">
            <v xml:space="preserve">ARENA DE REVOQUE </v>
          </cell>
          <cell r="C341" t="str">
            <v>M3</v>
          </cell>
          <cell r="D341">
            <v>0.97</v>
          </cell>
          <cell r="E341">
            <v>0.05</v>
          </cell>
          <cell r="F341">
            <v>45460</v>
          </cell>
          <cell r="G341">
            <v>46301.01</v>
          </cell>
        </row>
        <row r="342">
          <cell r="A342" t="str">
            <v>MA025</v>
          </cell>
          <cell r="B342" t="str">
            <v>AGUA</v>
          </cell>
          <cell r="C342" t="str">
            <v>LT</v>
          </cell>
          <cell r="D342">
            <v>180</v>
          </cell>
          <cell r="E342">
            <v>0.1</v>
          </cell>
          <cell r="F342">
            <v>50</v>
          </cell>
          <cell r="G342">
            <v>9900</v>
          </cell>
        </row>
        <row r="343">
          <cell r="F343" t="str">
            <v>SUBTOTAL</v>
          </cell>
          <cell r="G343">
            <v>434156.91000000003</v>
          </cell>
        </row>
        <row r="345">
          <cell r="A345" t="str">
            <v>III. TRANSPORTES</v>
          </cell>
        </row>
        <row r="346">
          <cell r="A346" t="str">
            <v>CÓDIGO</v>
          </cell>
          <cell r="B346" t="str">
            <v>DESCRIPCIÓN</v>
          </cell>
          <cell r="C346" t="str">
            <v>TIPO</v>
          </cell>
          <cell r="D346" t="str">
            <v>VOLUMEN/PESO</v>
          </cell>
          <cell r="E346" t="str">
            <v>DISTANCIA</v>
          </cell>
          <cell r="F346" t="str">
            <v>TARIFA</v>
          </cell>
          <cell r="G346" t="str">
            <v>VR. UNITARIO</v>
          </cell>
        </row>
        <row r="347">
          <cell r="A347" t="str">
            <v>TR002</v>
          </cell>
          <cell r="B347" t="str">
            <v>TRANSPORTE DE MATERIALES DE PLAYA (ARENILLON, PIEDRA RODADA DE RIO DMAX=1") 0-1KM</v>
          </cell>
          <cell r="C347" t="str">
            <v>PLAYA</v>
          </cell>
          <cell r="D347">
            <v>0.97</v>
          </cell>
          <cell r="E347">
            <v>1</v>
          </cell>
          <cell r="F347">
            <v>6100</v>
          </cell>
          <cell r="G347">
            <v>5917</v>
          </cell>
        </row>
        <row r="348">
          <cell r="A348" t="str">
            <v>TR001</v>
          </cell>
          <cell r="B348" t="str">
            <v>TRANSPORTE DE INSUMOS GENERALES 0-1KM</v>
          </cell>
          <cell r="C348" t="str">
            <v>INSUMOS</v>
          </cell>
          <cell r="D348">
            <v>0.5099999999999999</v>
          </cell>
          <cell r="E348">
            <v>1</v>
          </cell>
          <cell r="F348">
            <v>4250</v>
          </cell>
          <cell r="G348">
            <v>2167.4999999999995</v>
          </cell>
        </row>
        <row r="349">
          <cell r="F349" t="str">
            <v>SUBTOTAL</v>
          </cell>
          <cell r="G349">
            <v>5917</v>
          </cell>
        </row>
        <row r="351">
          <cell r="A351" t="str">
            <v>IV. MANO DE OBRA</v>
          </cell>
        </row>
        <row r="352">
          <cell r="A352" t="str">
            <v>CÓDIGO</v>
          </cell>
          <cell r="B352" t="str">
            <v>CARGOS PERSONAL</v>
          </cell>
          <cell r="D352" t="str">
            <v>CANTIDAD</v>
          </cell>
          <cell r="E352" t="str">
            <v>JORNAL TOTAL</v>
          </cell>
          <cell r="F352" t="str">
            <v>RENDIMIENTO</v>
          </cell>
          <cell r="G352" t="str">
            <v>VR. UNITARIO</v>
          </cell>
        </row>
        <row r="353">
          <cell r="A353" t="str">
            <v>MO033</v>
          </cell>
          <cell r="B353" t="str">
            <v>OPERADOR EQUIPO LIVIANO</v>
          </cell>
          <cell r="D353">
            <v>1</v>
          </cell>
          <cell r="E353">
            <v>104675</v>
          </cell>
          <cell r="F353">
            <v>8</v>
          </cell>
          <cell r="G353">
            <v>13084.375</v>
          </cell>
        </row>
        <row r="354">
          <cell r="A354" t="str">
            <v>MO032</v>
          </cell>
          <cell r="B354" t="str">
            <v>AYUDANTE RASO</v>
          </cell>
          <cell r="D354">
            <v>3</v>
          </cell>
          <cell r="E354">
            <v>83770</v>
          </cell>
          <cell r="F354">
            <v>8</v>
          </cell>
          <cell r="G354">
            <v>31413.75</v>
          </cell>
        </row>
        <row r="355">
          <cell r="G355" t="str">
            <v/>
          </cell>
        </row>
        <row r="356">
          <cell r="A356" t="str">
            <v/>
          </cell>
          <cell r="E356" t="str">
            <v/>
          </cell>
          <cell r="F356" t="str">
            <v/>
          </cell>
          <cell r="G356" t="str">
            <v/>
          </cell>
        </row>
        <row r="357">
          <cell r="F357" t="str">
            <v>SUBTOTAL</v>
          </cell>
          <cell r="G357">
            <v>44498.125</v>
          </cell>
        </row>
        <row r="359">
          <cell r="A359" t="str">
            <v>V. SERVICIOS</v>
          </cell>
        </row>
        <row r="360">
          <cell r="A360" t="str">
            <v>CÓDIGO</v>
          </cell>
          <cell r="B360" t="str">
            <v>DESCRIPCIÓN</v>
          </cell>
          <cell r="D360" t="str">
            <v>UNIDAD</v>
          </cell>
          <cell r="E360" t="str">
            <v>CANTIDAD</v>
          </cell>
          <cell r="F360" t="str">
            <v>PRECIO UNIT.</v>
          </cell>
          <cell r="G360" t="str">
            <v>VR. UNITARIO</v>
          </cell>
        </row>
        <row r="361">
          <cell r="A361" t="str">
            <v/>
          </cell>
          <cell r="D361" t="str">
            <v/>
          </cell>
          <cell r="E361">
            <v>1</v>
          </cell>
          <cell r="F361" t="str">
            <v/>
          </cell>
          <cell r="G361" t="str">
            <v/>
          </cell>
        </row>
        <row r="362">
          <cell r="A362" t="str">
            <v/>
          </cell>
          <cell r="D362" t="str">
            <v/>
          </cell>
          <cell r="E362">
            <v>1</v>
          </cell>
          <cell r="F362" t="str">
            <v/>
          </cell>
          <cell r="G362" t="str">
            <v/>
          </cell>
        </row>
        <row r="363">
          <cell r="A363" t="str">
            <v/>
          </cell>
          <cell r="D363" t="str">
            <v/>
          </cell>
          <cell r="F363" t="str">
            <v/>
          </cell>
          <cell r="G363" t="str">
            <v/>
          </cell>
        </row>
        <row r="364">
          <cell r="F364" t="str">
            <v>SUBTOTAL</v>
          </cell>
          <cell r="G364" t="str">
            <v/>
          </cell>
        </row>
        <row r="366">
          <cell r="A366" t="str">
            <v>TOTAL COSTO DIRECTO</v>
          </cell>
          <cell r="G366">
            <v>496547</v>
          </cell>
        </row>
        <row r="368">
          <cell r="A368" t="str">
            <v>2. COSTOS INDIRECTOS</v>
          </cell>
        </row>
        <row r="370">
          <cell r="A370" t="str">
            <v>DESCRIPCIÓN</v>
          </cell>
          <cell r="F370" t="str">
            <v>PORCENTAJE</v>
          </cell>
          <cell r="G370" t="str">
            <v>VALOR TOTAL</v>
          </cell>
        </row>
        <row r="371">
          <cell r="A371" t="str">
            <v>ADMINISTRACION</v>
          </cell>
          <cell r="F371">
            <v>0.33389999999999997</v>
          </cell>
          <cell r="G371">
            <v>165797.04329999999</v>
          </cell>
        </row>
        <row r="372">
          <cell r="A372" t="str">
            <v>IMPREVISTOS</v>
          </cell>
          <cell r="F372" t="str">
            <v/>
          </cell>
          <cell r="G372" t="str">
            <v/>
          </cell>
        </row>
        <row r="373">
          <cell r="A373" t="str">
            <v>UTILIDADES</v>
          </cell>
          <cell r="F373">
            <v>0.05</v>
          </cell>
          <cell r="G373">
            <v>24827.350000000002</v>
          </cell>
        </row>
        <row r="374">
          <cell r="A374" t="str">
            <v>TOTAL COSTO INDIRECTO</v>
          </cell>
          <cell r="F374">
            <v>0.38389999999999996</v>
          </cell>
          <cell r="G374">
            <v>190624</v>
          </cell>
        </row>
        <row r="376">
          <cell r="A376" t="str">
            <v>PRECIO UNITARIO TOTAL APROXIMADO AL PESO</v>
          </cell>
          <cell r="G376">
            <v>687171</v>
          </cell>
        </row>
        <row r="381">
          <cell r="D381" t="str">
            <v>FIRMA RESPONSABLE</v>
          </cell>
        </row>
        <row r="383">
          <cell r="A383" t="str">
            <v>DEPARTAMENTO DE ANTIOQUIA</v>
          </cell>
          <cell r="F383" t="str">
            <v/>
          </cell>
        </row>
        <row r="384">
          <cell r="A384" t="str">
            <v>MUNICIPIO DE DABEIBA</v>
          </cell>
        </row>
        <row r="385">
          <cell r="A385" t="str">
            <v>MEJORAMIENTO DE LA RED VIAL URBANA EN EL BARRIO SAN ANTONIO DEL MUNICIPIO DE DABEIBA</v>
          </cell>
        </row>
        <row r="387">
          <cell r="A387" t="str">
            <v>ANÁLISIS DE PRECIOS UNITARIOS</v>
          </cell>
        </row>
        <row r="389">
          <cell r="A389" t="str">
            <v>ITEM</v>
          </cell>
          <cell r="B389" t="str">
            <v>DESCRIPCIÓN</v>
          </cell>
          <cell r="E389" t="str">
            <v>UNIDAD</v>
          </cell>
          <cell r="F389" t="str">
            <v>CANTIDAD</v>
          </cell>
          <cell r="G389" t="str">
            <v>COSTO DIRECTO</v>
          </cell>
        </row>
        <row r="390">
          <cell r="A390" t="str">
            <v>MA007</v>
          </cell>
          <cell r="B390" t="str">
            <v>MORTERO 1:2 EN OBRA (GROUT)</v>
          </cell>
          <cell r="E390" t="str">
            <v>M3</v>
          </cell>
          <cell r="F390" t="str">
            <v>N.D</v>
          </cell>
          <cell r="G390">
            <v>498714</v>
          </cell>
        </row>
        <row r="392">
          <cell r="A392" t="str">
            <v>1. COSTOS DIRECTOS</v>
          </cell>
        </row>
        <row r="394">
          <cell r="A394" t="str">
            <v>I. EQUIPO</v>
          </cell>
        </row>
        <row r="395">
          <cell r="A395" t="str">
            <v>CÓDIGO</v>
          </cell>
          <cell r="B395" t="str">
            <v>DESCRIPCIÓN</v>
          </cell>
          <cell r="D395" t="str">
            <v>UNIDAD</v>
          </cell>
          <cell r="E395" t="str">
            <v>TARIFA</v>
          </cell>
          <cell r="F395" t="str">
            <v>RENDIMIENTO</v>
          </cell>
          <cell r="G395" t="str">
            <v>VR. UNITARIO</v>
          </cell>
        </row>
        <row r="396">
          <cell r="A396" t="str">
            <v>EQ004</v>
          </cell>
          <cell r="B396" t="str">
            <v>CONCRETADORA 1.5 SACOS A GASOLINA</v>
          </cell>
          <cell r="D396" t="str">
            <v>DÍA</v>
          </cell>
          <cell r="E396">
            <v>78000</v>
          </cell>
          <cell r="F396">
            <v>8</v>
          </cell>
          <cell r="G396">
            <v>9750</v>
          </cell>
        </row>
        <row r="397">
          <cell r="A397" t="str">
            <v>EQ001</v>
          </cell>
          <cell r="B397" t="str">
            <v>HERRAMIENTA MENOR (5% DE LA MANO DE OBRA)</v>
          </cell>
          <cell r="D397" t="str">
            <v>%</v>
          </cell>
          <cell r="E397">
            <v>0.05</v>
          </cell>
          <cell r="F397">
            <v>44498.125</v>
          </cell>
          <cell r="G397">
            <v>2224.90625</v>
          </cell>
        </row>
        <row r="398">
          <cell r="F398" t="str">
            <v>SUBTOTAL</v>
          </cell>
          <cell r="G398">
            <v>11974.90625</v>
          </cell>
        </row>
        <row r="400">
          <cell r="A400" t="str">
            <v>II. MATERIALES</v>
          </cell>
        </row>
        <row r="401">
          <cell r="A401" t="str">
            <v>CÓDIGO</v>
          </cell>
          <cell r="B401" t="str">
            <v>DESCRIPCIÓN</v>
          </cell>
          <cell r="C401" t="str">
            <v>UNIDAD</v>
          </cell>
          <cell r="D401" t="str">
            <v>CANTIDAD</v>
          </cell>
          <cell r="E401" t="str">
            <v>DESP.</v>
          </cell>
          <cell r="F401" t="str">
            <v>PRECIO UNIT.</v>
          </cell>
          <cell r="G401" t="str">
            <v>VR. UNITARIO</v>
          </cell>
        </row>
        <row r="402">
          <cell r="A402" t="str">
            <v>MA020</v>
          </cell>
          <cell r="B402" t="str">
            <v>CEMENTO GRIS (50 KG) PORTLAND TIPO I</v>
          </cell>
          <cell r="C402" t="str">
            <v>SC</v>
          </cell>
          <cell r="D402">
            <v>10.199999999999999</v>
          </cell>
          <cell r="E402">
            <v>0.05</v>
          </cell>
          <cell r="F402">
            <v>35290</v>
          </cell>
          <cell r="G402">
            <v>377955.9</v>
          </cell>
        </row>
        <row r="403">
          <cell r="A403" t="str">
            <v>MA023</v>
          </cell>
          <cell r="B403" t="str">
            <v>ARENA FINA PARA CONCRETOS</v>
          </cell>
          <cell r="C403" t="str">
            <v>M3</v>
          </cell>
          <cell r="D403">
            <v>0.97</v>
          </cell>
          <cell r="E403">
            <v>0.05</v>
          </cell>
          <cell r="F403">
            <v>45460</v>
          </cell>
          <cell r="G403">
            <v>46301.01</v>
          </cell>
        </row>
        <row r="404">
          <cell r="A404" t="str">
            <v>MA025</v>
          </cell>
          <cell r="B404" t="str">
            <v>AGUA</v>
          </cell>
          <cell r="C404" t="str">
            <v>LT</v>
          </cell>
          <cell r="D404">
            <v>180</v>
          </cell>
          <cell r="E404">
            <v>0.1</v>
          </cell>
          <cell r="F404">
            <v>50</v>
          </cell>
          <cell r="G404">
            <v>9900</v>
          </cell>
        </row>
        <row r="405">
          <cell r="F405" t="str">
            <v>SUBTOTAL</v>
          </cell>
          <cell r="G405">
            <v>434156.91000000003</v>
          </cell>
        </row>
        <row r="407">
          <cell r="A407" t="str">
            <v>III. TRANSPORTES</v>
          </cell>
        </row>
        <row r="408">
          <cell r="A408" t="str">
            <v>CÓDIGO</v>
          </cell>
          <cell r="B408" t="str">
            <v>DESCRIPCIÓN</v>
          </cell>
          <cell r="C408" t="str">
            <v>TIPO</v>
          </cell>
          <cell r="D408" t="str">
            <v>VOLUMEN/PESO</v>
          </cell>
          <cell r="E408" t="str">
            <v>DISTANCIA</v>
          </cell>
          <cell r="F408" t="str">
            <v>TARIFA</v>
          </cell>
          <cell r="G408" t="str">
            <v>VR. UNITARIO</v>
          </cell>
        </row>
        <row r="409">
          <cell r="A409" t="str">
            <v>TR002</v>
          </cell>
          <cell r="B409" t="str">
            <v>TRANSPORTE DE MATERIALES DE PLAYA (ARENILLON, PIEDRA RODADA DE RIO DMAX=1") 0-1KM</v>
          </cell>
          <cell r="C409" t="str">
            <v>PLAYA</v>
          </cell>
          <cell r="D409">
            <v>0.97</v>
          </cell>
          <cell r="E409">
            <v>1</v>
          </cell>
          <cell r="F409">
            <v>6100</v>
          </cell>
          <cell r="G409">
            <v>5917</v>
          </cell>
        </row>
        <row r="410">
          <cell r="A410" t="str">
            <v>TR007</v>
          </cell>
          <cell r="B410" t="str">
            <v>TRANSPORTE DE INSUMOS GENERALES 0-10 KM</v>
          </cell>
          <cell r="C410" t="str">
            <v>INSUMOS</v>
          </cell>
          <cell r="D410">
            <v>0.5099999999999999</v>
          </cell>
          <cell r="E410">
            <v>1</v>
          </cell>
          <cell r="F410">
            <v>4250</v>
          </cell>
          <cell r="G410">
            <v>2167.4999999999995</v>
          </cell>
        </row>
        <row r="411">
          <cell r="F411" t="str">
            <v>SUBTOTAL</v>
          </cell>
          <cell r="G411">
            <v>8084.5</v>
          </cell>
        </row>
        <row r="413">
          <cell r="A413" t="str">
            <v>IV. MANO DE OBRA</v>
          </cell>
        </row>
        <row r="414">
          <cell r="A414" t="str">
            <v>CÓDIGO</v>
          </cell>
          <cell r="B414" t="str">
            <v>CARGOS PERSONAL</v>
          </cell>
          <cell r="D414" t="str">
            <v>CANTIDAD</v>
          </cell>
          <cell r="E414" t="str">
            <v>JORNAL TOTAL</v>
          </cell>
          <cell r="F414" t="str">
            <v>RENDIMIENTO</v>
          </cell>
          <cell r="G414" t="str">
            <v>VR. UNITARIO</v>
          </cell>
        </row>
        <row r="415">
          <cell r="A415" t="str">
            <v>MO033</v>
          </cell>
          <cell r="B415" t="str">
            <v>OPERADOR EQUIPO LIVIANO</v>
          </cell>
          <cell r="D415">
            <v>1</v>
          </cell>
          <cell r="E415">
            <v>104675</v>
          </cell>
          <cell r="F415">
            <v>8</v>
          </cell>
          <cell r="G415">
            <v>13084.375</v>
          </cell>
        </row>
        <row r="416">
          <cell r="A416" t="str">
            <v>MO032</v>
          </cell>
          <cell r="B416" t="str">
            <v>AYUDANTE RASO</v>
          </cell>
          <cell r="D416">
            <v>3</v>
          </cell>
          <cell r="E416">
            <v>83770</v>
          </cell>
          <cell r="F416">
            <v>8</v>
          </cell>
          <cell r="G416">
            <v>31413.75</v>
          </cell>
        </row>
        <row r="417">
          <cell r="G417" t="str">
            <v/>
          </cell>
        </row>
        <row r="418">
          <cell r="A418" t="str">
            <v/>
          </cell>
          <cell r="E418" t="str">
            <v/>
          </cell>
          <cell r="F418" t="str">
            <v/>
          </cell>
          <cell r="G418" t="str">
            <v/>
          </cell>
        </row>
        <row r="419">
          <cell r="F419" t="str">
            <v>SUBTOTAL</v>
          </cell>
          <cell r="G419">
            <v>44498.125</v>
          </cell>
        </row>
        <row r="421">
          <cell r="A421" t="str">
            <v>V. SERVICIOS</v>
          </cell>
        </row>
        <row r="422">
          <cell r="A422" t="str">
            <v>CÓDIGO</v>
          </cell>
          <cell r="B422" t="str">
            <v>DESCRIPCIÓN</v>
          </cell>
          <cell r="D422" t="str">
            <v>UNIDAD</v>
          </cell>
          <cell r="E422" t="str">
            <v>CANTIDAD</v>
          </cell>
          <cell r="F422" t="str">
            <v>PRECIO UNIT.</v>
          </cell>
          <cell r="G422" t="str">
            <v>VR. UNITARIO</v>
          </cell>
        </row>
        <row r="423">
          <cell r="A423" t="str">
            <v/>
          </cell>
          <cell r="D423" t="str">
            <v/>
          </cell>
          <cell r="F423" t="str">
            <v/>
          </cell>
          <cell r="G423" t="str">
            <v/>
          </cell>
        </row>
        <row r="424">
          <cell r="A424" t="str">
            <v/>
          </cell>
          <cell r="D424" t="str">
            <v/>
          </cell>
          <cell r="F424" t="str">
            <v/>
          </cell>
          <cell r="G424" t="str">
            <v/>
          </cell>
        </row>
        <row r="425">
          <cell r="A425" t="str">
            <v/>
          </cell>
          <cell r="D425" t="str">
            <v/>
          </cell>
          <cell r="F425" t="str">
            <v/>
          </cell>
          <cell r="G425" t="str">
            <v/>
          </cell>
        </row>
        <row r="426">
          <cell r="F426" t="str">
            <v>SUBTOTAL</v>
          </cell>
          <cell r="G426" t="str">
            <v/>
          </cell>
        </row>
        <row r="428">
          <cell r="A428" t="str">
            <v>TOTAL COSTO DIRECTO</v>
          </cell>
          <cell r="G428">
            <v>498714</v>
          </cell>
        </row>
        <row r="430">
          <cell r="A430" t="str">
            <v>2. COSTOS INDIRECTOS</v>
          </cell>
        </row>
        <row r="432">
          <cell r="A432" t="str">
            <v>DESCRIPCIÓN</v>
          </cell>
          <cell r="F432" t="str">
            <v>PORCENTAJE</v>
          </cell>
          <cell r="G432" t="str">
            <v>VALOR TOTAL</v>
          </cell>
        </row>
        <row r="433">
          <cell r="A433" t="str">
            <v>ADMINISTRACION</v>
          </cell>
          <cell r="F433">
            <v>0.33389999999999997</v>
          </cell>
          <cell r="G433">
            <v>166520.60459999999</v>
          </cell>
        </row>
        <row r="434">
          <cell r="A434" t="str">
            <v>IMPREVISTOS</v>
          </cell>
          <cell r="F434" t="str">
            <v/>
          </cell>
          <cell r="G434" t="str">
            <v/>
          </cell>
        </row>
        <row r="435">
          <cell r="A435" t="str">
            <v>UTILIDADES</v>
          </cell>
          <cell r="F435">
            <v>0.05</v>
          </cell>
          <cell r="G435">
            <v>24935.7</v>
          </cell>
        </row>
        <row r="436">
          <cell r="A436" t="str">
            <v>TOTAL COSTO INDIRECTO</v>
          </cell>
          <cell r="F436">
            <v>0.38389999999999996</v>
          </cell>
          <cell r="G436">
            <v>191456</v>
          </cell>
        </row>
        <row r="438">
          <cell r="A438" t="str">
            <v>PRECIO UNITARIO TOTAL APROXIMADO AL PESO</v>
          </cell>
          <cell r="G438">
            <v>690170</v>
          </cell>
        </row>
        <row r="443">
          <cell r="D443" t="str">
            <v>FIRMA RESPONSABLE</v>
          </cell>
        </row>
        <row r="445">
          <cell r="A445" t="str">
            <v>DEPARTAMENTO DE ANTIOQUIA</v>
          </cell>
          <cell r="F445" t="str">
            <v/>
          </cell>
        </row>
        <row r="446">
          <cell r="A446" t="str">
            <v>MUNICIPIO DE DABEIBA</v>
          </cell>
        </row>
        <row r="447">
          <cell r="A447" t="str">
            <v>MEJORAMIENTO DE LA RED VIAL URBANA EN EL BARRIO SAN ANTONIO DEL MUNICIPIO DE DABEIBA</v>
          </cell>
        </row>
        <row r="449">
          <cell r="A449" t="str">
            <v>ANÁLISIS DE PRECIOS UNITARIOS</v>
          </cell>
        </row>
        <row r="451">
          <cell r="A451" t="str">
            <v>ITEM</v>
          </cell>
          <cell r="B451" t="str">
            <v>DESCRIPCIÓN</v>
          </cell>
          <cell r="E451" t="str">
            <v>UNIDAD</v>
          </cell>
          <cell r="F451" t="str">
            <v>CANTIDAD</v>
          </cell>
          <cell r="G451" t="str">
            <v>COSTO DIRECTO</v>
          </cell>
        </row>
        <row r="452">
          <cell r="A452" t="str">
            <v>MA008</v>
          </cell>
          <cell r="B452" t="str">
            <v>MORTERO 1:3 EN OBRA (REVOQUE)</v>
          </cell>
          <cell r="E452" t="str">
            <v>M3</v>
          </cell>
          <cell r="F452" t="str">
            <v>N.D</v>
          </cell>
          <cell r="G452">
            <v>464043</v>
          </cell>
        </row>
        <row r="454">
          <cell r="A454" t="str">
            <v>1. COSTOS DIRECTOS</v>
          </cell>
        </row>
        <row r="456">
          <cell r="A456" t="str">
            <v>I. EQUIPO</v>
          </cell>
        </row>
        <row r="457">
          <cell r="A457" t="str">
            <v>CÓDIGO</v>
          </cell>
          <cell r="B457" t="str">
            <v>DESCRIPCIÓN</v>
          </cell>
          <cell r="D457" t="str">
            <v>UNIDAD</v>
          </cell>
          <cell r="E457" t="str">
            <v>TARIFA</v>
          </cell>
          <cell r="F457" t="str">
            <v>RENDIMIENTO</v>
          </cell>
          <cell r="G457" t="str">
            <v>VR. UNITARIO</v>
          </cell>
        </row>
        <row r="458">
          <cell r="A458" t="str">
            <v>EQ004</v>
          </cell>
          <cell r="B458" t="str">
            <v>CONCRETADORA 1.5 SACOS A GASOLINA</v>
          </cell>
          <cell r="D458" t="str">
            <v>DÍA</v>
          </cell>
          <cell r="E458">
            <v>78000</v>
          </cell>
          <cell r="F458">
            <v>8</v>
          </cell>
          <cell r="G458">
            <v>9750</v>
          </cell>
        </row>
        <row r="459">
          <cell r="A459" t="str">
            <v>EQ001</v>
          </cell>
          <cell r="B459" t="str">
            <v>HERRAMIENTA MENOR (5% DE LA MANO DE OBRA)</v>
          </cell>
          <cell r="D459" t="str">
            <v>%</v>
          </cell>
          <cell r="E459">
            <v>0.05</v>
          </cell>
          <cell r="F459">
            <v>44498.125</v>
          </cell>
          <cell r="G459">
            <v>2224.90625</v>
          </cell>
        </row>
        <row r="460">
          <cell r="F460" t="str">
            <v>SUBTOTAL</v>
          </cell>
          <cell r="G460">
            <v>11974.90625</v>
          </cell>
        </row>
        <row r="462">
          <cell r="A462" t="str">
            <v>II. MATERIALES</v>
          </cell>
        </row>
        <row r="463">
          <cell r="A463" t="str">
            <v>CÓDIGO</v>
          </cell>
          <cell r="B463" t="str">
            <v>DESCRIPCIÓN</v>
          </cell>
          <cell r="C463" t="str">
            <v>UNIDAD</v>
          </cell>
          <cell r="D463" t="str">
            <v>CANTIDAD</v>
          </cell>
          <cell r="E463" t="str">
            <v>DESP.</v>
          </cell>
          <cell r="F463" t="str">
            <v>PRECIO UNIT.</v>
          </cell>
          <cell r="G463" t="str">
            <v>VR. UNITARIO</v>
          </cell>
        </row>
        <row r="464">
          <cell r="A464" t="str">
            <v>MA020</v>
          </cell>
          <cell r="B464" t="str">
            <v>CEMENTO GRIS (50 KG) PORTLAND TIPO I</v>
          </cell>
          <cell r="C464" t="str">
            <v>SC</v>
          </cell>
          <cell r="D464">
            <v>9.08</v>
          </cell>
          <cell r="E464">
            <v>0.05</v>
          </cell>
          <cell r="F464">
            <v>35290</v>
          </cell>
          <cell r="G464">
            <v>336454.86000000004</v>
          </cell>
        </row>
        <row r="465">
          <cell r="A465" t="str">
            <v>MA022</v>
          </cell>
          <cell r="B465" t="str">
            <v xml:space="preserve">ARENA DE REVOQUE </v>
          </cell>
          <cell r="C465" t="str">
            <v>M3</v>
          </cell>
          <cell r="D465">
            <v>1.0900000000000001</v>
          </cell>
          <cell r="E465">
            <v>0.05</v>
          </cell>
          <cell r="F465">
            <v>45460</v>
          </cell>
          <cell r="G465">
            <v>52028.97</v>
          </cell>
        </row>
        <row r="466">
          <cell r="A466" t="str">
            <v>MA025</v>
          </cell>
          <cell r="B466" t="str">
            <v>AGUA</v>
          </cell>
          <cell r="C466" t="str">
            <v>LT</v>
          </cell>
          <cell r="D466">
            <v>185</v>
          </cell>
          <cell r="E466">
            <v>0.1</v>
          </cell>
          <cell r="F466">
            <v>50</v>
          </cell>
          <cell r="G466">
            <v>10175</v>
          </cell>
        </row>
        <row r="467">
          <cell r="F467" t="str">
            <v>SUBTOTAL</v>
          </cell>
          <cell r="G467">
            <v>398658.83000000007</v>
          </cell>
        </row>
        <row r="469">
          <cell r="A469" t="str">
            <v>III. TRANSPORTES</v>
          </cell>
        </row>
        <row r="470">
          <cell r="A470" t="str">
            <v>CÓDIGO</v>
          </cell>
          <cell r="B470" t="str">
            <v>DESCRIPCIÓN</v>
          </cell>
          <cell r="C470" t="str">
            <v>TIPO</v>
          </cell>
          <cell r="D470" t="str">
            <v>VOLUMEN/PESO</v>
          </cell>
          <cell r="E470" t="str">
            <v>DISTANCIA</v>
          </cell>
          <cell r="F470" t="str">
            <v>TARIFA</v>
          </cell>
          <cell r="G470" t="str">
            <v>VR. UNITARIO</v>
          </cell>
        </row>
        <row r="471">
          <cell r="A471" t="str">
            <v>TR002</v>
          </cell>
          <cell r="B471" t="str">
            <v>TRANSPORTE DE MATERIALES DE PLAYA (ARENILLON, PIEDRA RODADA DE RIO DMAX=1") 0-1KM</v>
          </cell>
          <cell r="C471" t="str">
            <v>PLAYA</v>
          </cell>
          <cell r="D471">
            <v>1.1445000000000001</v>
          </cell>
          <cell r="E471">
            <v>1</v>
          </cell>
          <cell r="F471">
            <v>6100</v>
          </cell>
          <cell r="G471">
            <v>6981.4500000000007</v>
          </cell>
        </row>
        <row r="472">
          <cell r="A472" t="str">
            <v>TR007</v>
          </cell>
          <cell r="B472" t="str">
            <v>TRANSPORTE DE INSUMOS GENERALES 0-10 KM</v>
          </cell>
          <cell r="C472" t="str">
            <v>INSUMOS</v>
          </cell>
          <cell r="D472">
            <v>0.45400000000000001</v>
          </cell>
          <cell r="E472">
            <v>1</v>
          </cell>
          <cell r="F472">
            <v>4250</v>
          </cell>
          <cell r="G472">
            <v>1929.5</v>
          </cell>
        </row>
        <row r="473">
          <cell r="F473" t="str">
            <v>SUBTOTAL</v>
          </cell>
          <cell r="G473">
            <v>8910.9500000000007</v>
          </cell>
        </row>
        <row r="475">
          <cell r="A475" t="str">
            <v>IV. MANO DE OBRA</v>
          </cell>
        </row>
        <row r="476">
          <cell r="A476" t="str">
            <v>CÓDIGO</v>
          </cell>
          <cell r="B476" t="str">
            <v>CARGOS PERSONAL</v>
          </cell>
          <cell r="D476" t="str">
            <v>CANTIDAD</v>
          </cell>
          <cell r="E476" t="str">
            <v>JORNAL TOTAL</v>
          </cell>
          <cell r="F476" t="str">
            <v>RENDIMIENTO</v>
          </cell>
          <cell r="G476" t="str">
            <v>VR. UNITARIO</v>
          </cell>
        </row>
        <row r="477">
          <cell r="A477" t="str">
            <v>MO033</v>
          </cell>
          <cell r="B477" t="str">
            <v>OPERADOR EQUIPO LIVIANO</v>
          </cell>
          <cell r="D477">
            <v>1</v>
          </cell>
          <cell r="E477">
            <v>104675</v>
          </cell>
          <cell r="F477">
            <v>8</v>
          </cell>
          <cell r="G477">
            <v>13084.375</v>
          </cell>
        </row>
        <row r="478">
          <cell r="A478" t="str">
            <v>MO032</v>
          </cell>
          <cell r="B478" t="str">
            <v>AYUDANTE RASO</v>
          </cell>
          <cell r="D478">
            <v>3</v>
          </cell>
          <cell r="E478">
            <v>83770</v>
          </cell>
          <cell r="F478">
            <v>8</v>
          </cell>
          <cell r="G478">
            <v>31413.75</v>
          </cell>
        </row>
        <row r="479">
          <cell r="G479" t="str">
            <v/>
          </cell>
        </row>
        <row r="480">
          <cell r="A480" t="str">
            <v/>
          </cell>
          <cell r="E480" t="str">
            <v/>
          </cell>
          <cell r="F480" t="str">
            <v/>
          </cell>
          <cell r="G480" t="str">
            <v/>
          </cell>
        </row>
        <row r="481">
          <cell r="F481" t="str">
            <v>SUBTOTAL</v>
          </cell>
          <cell r="G481">
            <v>44498.125</v>
          </cell>
        </row>
        <row r="483">
          <cell r="A483" t="str">
            <v>V. SERVICIOS</v>
          </cell>
        </row>
        <row r="484">
          <cell r="A484" t="str">
            <v>CÓDIGO</v>
          </cell>
          <cell r="B484" t="str">
            <v>DESCRIPCIÓN</v>
          </cell>
          <cell r="D484" t="str">
            <v>UNIDAD</v>
          </cell>
          <cell r="E484" t="str">
            <v>CANTIDAD</v>
          </cell>
          <cell r="F484" t="str">
            <v>PRECIO UNIT.</v>
          </cell>
          <cell r="G484" t="str">
            <v>VR. UNITARIO</v>
          </cell>
        </row>
        <row r="485">
          <cell r="A485" t="str">
            <v/>
          </cell>
          <cell r="D485" t="str">
            <v/>
          </cell>
          <cell r="F485" t="str">
            <v/>
          </cell>
          <cell r="G485" t="str">
            <v/>
          </cell>
        </row>
        <row r="486">
          <cell r="A486" t="str">
            <v/>
          </cell>
          <cell r="D486" t="str">
            <v/>
          </cell>
          <cell r="F486" t="str">
            <v/>
          </cell>
          <cell r="G486" t="str">
            <v/>
          </cell>
        </row>
        <row r="487">
          <cell r="A487" t="str">
            <v/>
          </cell>
          <cell r="D487" t="str">
            <v/>
          </cell>
          <cell r="F487" t="str">
            <v/>
          </cell>
          <cell r="G487" t="str">
            <v/>
          </cell>
        </row>
        <row r="488">
          <cell r="F488" t="str">
            <v>SUBTOTAL</v>
          </cell>
          <cell r="G488" t="str">
            <v/>
          </cell>
        </row>
        <row r="490">
          <cell r="A490" t="str">
            <v>TOTAL COSTO DIRECTO</v>
          </cell>
          <cell r="G490">
            <v>464043</v>
          </cell>
        </row>
        <row r="492">
          <cell r="A492" t="str">
            <v>2. COSTOS INDIRECTOS</v>
          </cell>
        </row>
        <row r="494">
          <cell r="A494" t="str">
            <v>DESCRIPCIÓN</v>
          </cell>
          <cell r="F494" t="str">
            <v>PORCENTAJE</v>
          </cell>
          <cell r="G494" t="str">
            <v>VALOR TOTAL</v>
          </cell>
        </row>
        <row r="495">
          <cell r="A495" t="str">
            <v>ADMINISTRACION</v>
          </cell>
          <cell r="F495">
            <v>0.33389999999999997</v>
          </cell>
          <cell r="G495">
            <v>154943.9577</v>
          </cell>
        </row>
        <row r="496">
          <cell r="A496" t="str">
            <v>IMPREVISTOS</v>
          </cell>
          <cell r="F496" t="str">
            <v/>
          </cell>
          <cell r="G496" t="str">
            <v/>
          </cell>
        </row>
        <row r="497">
          <cell r="A497" t="str">
            <v>UTILIDADES</v>
          </cell>
          <cell r="F497">
            <v>0.05</v>
          </cell>
          <cell r="G497">
            <v>23202.15</v>
          </cell>
        </row>
        <row r="498">
          <cell r="A498" t="str">
            <v>TOTAL COSTO INDIRECTO</v>
          </cell>
          <cell r="F498">
            <v>0.38389999999999996</v>
          </cell>
          <cell r="G498">
            <v>178146</v>
          </cell>
        </row>
        <row r="500">
          <cell r="A500" t="str">
            <v>PRECIO UNITARIO TOTAL APROXIMADO AL PESO</v>
          </cell>
          <cell r="G500">
            <v>642189</v>
          </cell>
        </row>
        <row r="505">
          <cell r="D505" t="str">
            <v>FIRMA RESPONSABLE</v>
          </cell>
        </row>
        <row r="507">
          <cell r="A507" t="str">
            <v>DEPARTAMENTO DE ANTIOQUIA</v>
          </cell>
          <cell r="F507" t="str">
            <v/>
          </cell>
        </row>
        <row r="508">
          <cell r="A508" t="str">
            <v>MUNICIPIO DE DABEIBA</v>
          </cell>
        </row>
        <row r="509">
          <cell r="A509" t="str">
            <v>MEJORAMIENTO DE LA RED VIAL URBANA EN EL BARRIO SAN ANTONIO DEL MUNICIPIO DE DABEIBA</v>
          </cell>
        </row>
        <row r="511">
          <cell r="A511" t="str">
            <v>ANÁLISIS DE PRECIOS UNITARIOS</v>
          </cell>
        </row>
        <row r="513">
          <cell r="A513" t="str">
            <v>ITEM</v>
          </cell>
          <cell r="B513" t="str">
            <v>DESCRIPCIÓN</v>
          </cell>
          <cell r="E513" t="str">
            <v>UNIDAD</v>
          </cell>
          <cell r="F513" t="str">
            <v>CANTIDAD</v>
          </cell>
          <cell r="G513" t="str">
            <v>COSTO DIRECTO</v>
          </cell>
        </row>
        <row r="514">
          <cell r="A514" t="str">
            <v>MA009</v>
          </cell>
          <cell r="B514" t="str">
            <v>MORTERO 1:3 EN OBRA (GROUT)</v>
          </cell>
          <cell r="E514" t="str">
            <v>M3</v>
          </cell>
          <cell r="F514" t="str">
            <v>N.D</v>
          </cell>
          <cell r="G514">
            <v>464043</v>
          </cell>
        </row>
        <row r="516">
          <cell r="A516" t="str">
            <v>1. COSTOS DIRECTOS</v>
          </cell>
        </row>
        <row r="518">
          <cell r="A518" t="str">
            <v>I. EQUIPO</v>
          </cell>
        </row>
        <row r="519">
          <cell r="A519" t="str">
            <v>CÓDIGO</v>
          </cell>
          <cell r="B519" t="str">
            <v>DESCRIPCIÓN</v>
          </cell>
          <cell r="D519" t="str">
            <v>UNIDAD</v>
          </cell>
          <cell r="E519" t="str">
            <v>TARIFA</v>
          </cell>
          <cell r="F519" t="str">
            <v>RENDIMIENTO</v>
          </cell>
          <cell r="G519" t="str">
            <v>VR. UNITARIO</v>
          </cell>
        </row>
        <row r="520">
          <cell r="A520" t="str">
            <v>EQ004</v>
          </cell>
          <cell r="B520" t="str">
            <v>CONCRETADORA 1.5 SACOS A GASOLINA</v>
          </cell>
          <cell r="D520" t="str">
            <v>DÍA</v>
          </cell>
          <cell r="E520">
            <v>78000</v>
          </cell>
          <cell r="F520">
            <v>8</v>
          </cell>
          <cell r="G520">
            <v>9750</v>
          </cell>
        </row>
        <row r="521">
          <cell r="A521" t="str">
            <v>EQ001</v>
          </cell>
          <cell r="B521" t="str">
            <v>HERRAMIENTA MENOR (5% DE LA MANO DE OBRA)</v>
          </cell>
          <cell r="D521" t="str">
            <v>%</v>
          </cell>
          <cell r="E521">
            <v>0.05</v>
          </cell>
          <cell r="F521">
            <v>44498.125</v>
          </cell>
          <cell r="G521">
            <v>2224.90625</v>
          </cell>
        </row>
        <row r="522">
          <cell r="F522" t="str">
            <v>SUBTOTAL</v>
          </cell>
          <cell r="G522">
            <v>11974.90625</v>
          </cell>
        </row>
        <row r="524">
          <cell r="A524" t="str">
            <v>II. MATERIALES</v>
          </cell>
        </row>
        <row r="525">
          <cell r="A525" t="str">
            <v>CÓDIGO</v>
          </cell>
          <cell r="B525" t="str">
            <v>DESCRIPCIÓN</v>
          </cell>
          <cell r="C525" t="str">
            <v>UNIDAD</v>
          </cell>
          <cell r="D525" t="str">
            <v>CANTIDAD</v>
          </cell>
          <cell r="E525" t="str">
            <v>DESP.</v>
          </cell>
          <cell r="F525" t="str">
            <v>PRECIO UNIT.</v>
          </cell>
          <cell r="G525" t="str">
            <v>VR. UNITARIO</v>
          </cell>
        </row>
        <row r="526">
          <cell r="A526" t="str">
            <v>MA020</v>
          </cell>
          <cell r="B526" t="str">
            <v>CEMENTO GRIS (50 KG) PORTLAND TIPO I</v>
          </cell>
          <cell r="C526" t="str">
            <v>SC</v>
          </cell>
          <cell r="D526">
            <v>9.08</v>
          </cell>
          <cell r="E526">
            <v>0.05</v>
          </cell>
          <cell r="F526">
            <v>35290</v>
          </cell>
          <cell r="G526">
            <v>336454.86000000004</v>
          </cell>
        </row>
        <row r="527">
          <cell r="A527" t="str">
            <v>MA023</v>
          </cell>
          <cell r="B527" t="str">
            <v>ARENA FINA PARA CONCRETOS</v>
          </cell>
          <cell r="C527" t="str">
            <v>M3</v>
          </cell>
          <cell r="D527">
            <v>1.0900000000000001</v>
          </cell>
          <cell r="E527">
            <v>0.05</v>
          </cell>
          <cell r="F527">
            <v>45460</v>
          </cell>
          <cell r="G527">
            <v>52028.97</v>
          </cell>
        </row>
        <row r="528">
          <cell r="A528" t="str">
            <v>MA025</v>
          </cell>
          <cell r="B528" t="str">
            <v>AGUA</v>
          </cell>
          <cell r="C528" t="str">
            <v>LT</v>
          </cell>
          <cell r="D528">
            <v>185</v>
          </cell>
          <cell r="E528">
            <v>0.1</v>
          </cell>
          <cell r="F528">
            <v>50</v>
          </cell>
          <cell r="G528">
            <v>10175</v>
          </cell>
        </row>
        <row r="529">
          <cell r="F529" t="str">
            <v>SUBTOTAL</v>
          </cell>
          <cell r="G529">
            <v>398658.83000000007</v>
          </cell>
        </row>
        <row r="531">
          <cell r="A531" t="str">
            <v>III. TRANSPORTES</v>
          </cell>
        </row>
        <row r="532">
          <cell r="A532" t="str">
            <v>CÓDIGO</v>
          </cell>
          <cell r="B532" t="str">
            <v>DESCRIPCIÓN</v>
          </cell>
          <cell r="C532" t="str">
            <v>TIPO</v>
          </cell>
          <cell r="D532" t="str">
            <v>VOLUMEN/PESO</v>
          </cell>
          <cell r="E532" t="str">
            <v>DISTANCIA</v>
          </cell>
          <cell r="F532" t="str">
            <v>TARIFA</v>
          </cell>
          <cell r="G532" t="str">
            <v>VR. UNITARIO</v>
          </cell>
        </row>
        <row r="533">
          <cell r="A533" t="str">
            <v>TR002</v>
          </cell>
          <cell r="B533" t="str">
            <v>TRANSPORTE DE MATERIALES DE PLAYA (ARENILLON, PIEDRA RODADA DE RIO DMAX=1") 0-1KM</v>
          </cell>
          <cell r="C533" t="str">
            <v>PLAYA</v>
          </cell>
          <cell r="D533">
            <v>1.1445000000000001</v>
          </cell>
          <cell r="E533">
            <v>1</v>
          </cell>
          <cell r="F533">
            <v>6100</v>
          </cell>
          <cell r="G533">
            <v>6981.4500000000007</v>
          </cell>
        </row>
        <row r="534">
          <cell r="A534" t="str">
            <v>TR007</v>
          </cell>
          <cell r="B534" t="str">
            <v>TRANSPORTE DE INSUMOS GENERALES 0-10 KM</v>
          </cell>
          <cell r="C534" t="str">
            <v>INSUMOS</v>
          </cell>
          <cell r="D534">
            <v>0.45400000000000001</v>
          </cell>
          <cell r="E534">
            <v>1</v>
          </cell>
          <cell r="F534">
            <v>4250</v>
          </cell>
          <cell r="G534">
            <v>1929.5</v>
          </cell>
        </row>
        <row r="535">
          <cell r="F535" t="str">
            <v>SUBTOTAL</v>
          </cell>
          <cell r="G535">
            <v>8910.9500000000007</v>
          </cell>
        </row>
        <row r="537">
          <cell r="A537" t="str">
            <v>IV. MANO DE OBRA</v>
          </cell>
        </row>
        <row r="538">
          <cell r="A538" t="str">
            <v>CÓDIGO</v>
          </cell>
          <cell r="B538" t="str">
            <v>CARGOS PERSONAL</v>
          </cell>
          <cell r="D538" t="str">
            <v>CANTIDAD</v>
          </cell>
          <cell r="E538" t="str">
            <v>JORNAL TOTAL</v>
          </cell>
          <cell r="F538" t="str">
            <v>RENDIMIENTO</v>
          </cell>
          <cell r="G538" t="str">
            <v>VR. UNITARIO</v>
          </cell>
        </row>
        <row r="539">
          <cell r="A539" t="str">
            <v>MO033</v>
          </cell>
          <cell r="B539" t="str">
            <v>OPERADOR EQUIPO LIVIANO</v>
          </cell>
          <cell r="D539">
            <v>1</v>
          </cell>
          <cell r="E539">
            <v>104675</v>
          </cell>
          <cell r="F539">
            <v>8</v>
          </cell>
          <cell r="G539">
            <v>13084.375</v>
          </cell>
        </row>
        <row r="540">
          <cell r="A540" t="str">
            <v>MO032</v>
          </cell>
          <cell r="B540" t="str">
            <v>AYUDANTE RASO</v>
          </cell>
          <cell r="D540">
            <v>3</v>
          </cell>
          <cell r="E540">
            <v>83770</v>
          </cell>
          <cell r="F540">
            <v>8</v>
          </cell>
          <cell r="G540">
            <v>31413.75</v>
          </cell>
        </row>
        <row r="541">
          <cell r="G541" t="str">
            <v/>
          </cell>
        </row>
        <row r="542">
          <cell r="A542" t="str">
            <v/>
          </cell>
          <cell r="E542" t="str">
            <v/>
          </cell>
          <cell r="F542" t="str">
            <v/>
          </cell>
          <cell r="G542" t="str">
            <v/>
          </cell>
        </row>
        <row r="543">
          <cell r="F543" t="str">
            <v>SUBTOTAL</v>
          </cell>
          <cell r="G543">
            <v>44498.125</v>
          </cell>
        </row>
        <row r="545">
          <cell r="A545" t="str">
            <v>V. SERVICIOS</v>
          </cell>
        </row>
        <row r="546">
          <cell r="A546" t="str">
            <v>CÓDIGO</v>
          </cell>
          <cell r="B546" t="str">
            <v>DESCRIPCIÓN</v>
          </cell>
          <cell r="D546" t="str">
            <v>UNIDAD</v>
          </cell>
          <cell r="E546" t="str">
            <v>CANTIDAD</v>
          </cell>
          <cell r="F546" t="str">
            <v>PRECIO UNIT.</v>
          </cell>
          <cell r="G546" t="str">
            <v>VR. UNITARIO</v>
          </cell>
        </row>
        <row r="547">
          <cell r="A547" t="str">
            <v/>
          </cell>
          <cell r="D547" t="str">
            <v/>
          </cell>
          <cell r="F547" t="str">
            <v/>
          </cell>
          <cell r="G547" t="str">
            <v/>
          </cell>
        </row>
        <row r="548">
          <cell r="A548" t="str">
            <v/>
          </cell>
          <cell r="D548" t="str">
            <v/>
          </cell>
          <cell r="F548" t="str">
            <v/>
          </cell>
          <cell r="G548" t="str">
            <v/>
          </cell>
        </row>
        <row r="549">
          <cell r="A549" t="str">
            <v/>
          </cell>
          <cell r="D549" t="str">
            <v/>
          </cell>
          <cell r="F549" t="str">
            <v/>
          </cell>
          <cell r="G549" t="str">
            <v/>
          </cell>
        </row>
        <row r="550">
          <cell r="F550" t="str">
            <v>SUBTOTAL</v>
          </cell>
          <cell r="G550" t="str">
            <v/>
          </cell>
        </row>
        <row r="552">
          <cell r="A552" t="str">
            <v>TOTAL COSTO DIRECTO</v>
          </cell>
          <cell r="G552">
            <v>464043</v>
          </cell>
        </row>
        <row r="554">
          <cell r="A554" t="str">
            <v>2. COSTOS INDIRECTOS</v>
          </cell>
        </row>
        <row r="556">
          <cell r="A556" t="str">
            <v>DESCRIPCIÓN</v>
          </cell>
          <cell r="F556" t="str">
            <v>PORCENTAJE</v>
          </cell>
          <cell r="G556" t="str">
            <v>VALOR TOTAL</v>
          </cell>
        </row>
        <row r="557">
          <cell r="A557" t="str">
            <v>ADMINISTRACION</v>
          </cell>
          <cell r="F557">
            <v>0.33389999999999997</v>
          </cell>
          <cell r="G557">
            <v>154943.9577</v>
          </cell>
        </row>
        <row r="558">
          <cell r="A558" t="str">
            <v>IMPREVISTOS</v>
          </cell>
          <cell r="F558" t="str">
            <v/>
          </cell>
          <cell r="G558" t="str">
            <v/>
          </cell>
        </row>
        <row r="559">
          <cell r="A559" t="str">
            <v>UTILIDADES</v>
          </cell>
          <cell r="F559">
            <v>0.05</v>
          </cell>
          <cell r="G559">
            <v>23202.15</v>
          </cell>
        </row>
        <row r="560">
          <cell r="A560" t="str">
            <v>TOTAL COSTO INDIRECTO</v>
          </cell>
          <cell r="F560">
            <v>0.38389999999999996</v>
          </cell>
          <cell r="G560">
            <v>178146</v>
          </cell>
        </row>
        <row r="562">
          <cell r="A562" t="str">
            <v>PRECIO UNITARIO TOTAL APROXIMADO AL PESO</v>
          </cell>
          <cell r="G562">
            <v>642189</v>
          </cell>
        </row>
        <row r="567">
          <cell r="D567" t="str">
            <v>FIRMA RESPONSABLE</v>
          </cell>
        </row>
        <row r="569">
          <cell r="A569" t="str">
            <v>DEPARTAMENTO DE ANTIOQUIA</v>
          </cell>
          <cell r="F569" t="str">
            <v/>
          </cell>
        </row>
        <row r="570">
          <cell r="A570" t="str">
            <v>MUNICIPIO DE DABEIBA</v>
          </cell>
        </row>
        <row r="571">
          <cell r="A571" t="str">
            <v>MEJORAMIENTO DE LA RED VIAL URBANA EN EL BARRIO SAN ANTONIO DEL MUNICIPIO DE DABEIBA</v>
          </cell>
        </row>
        <row r="573">
          <cell r="A573" t="str">
            <v>ANÁLISIS DE PRECIOS UNITARIOS</v>
          </cell>
        </row>
        <row r="575">
          <cell r="A575" t="str">
            <v>ITEM</v>
          </cell>
          <cell r="B575" t="str">
            <v>DESCRIPCIÓN</v>
          </cell>
          <cell r="E575" t="str">
            <v>UNIDAD</v>
          </cell>
          <cell r="F575" t="str">
            <v>CANTIDAD</v>
          </cell>
          <cell r="G575" t="str">
            <v>COSTO DIRECTO</v>
          </cell>
        </row>
        <row r="576">
          <cell r="A576" t="str">
            <v>MA010</v>
          </cell>
          <cell r="B576" t="str">
            <v>MORTERO 1:3 EN OBRA (PEGA)</v>
          </cell>
          <cell r="E576" t="str">
            <v>M3</v>
          </cell>
          <cell r="F576" t="str">
            <v>N.D</v>
          </cell>
          <cell r="G576">
            <v>464043</v>
          </cell>
        </row>
        <row r="578">
          <cell r="A578" t="str">
            <v>1. COSTOS DIRECTOS</v>
          </cell>
        </row>
        <row r="580">
          <cell r="A580" t="str">
            <v>I. EQUIPO</v>
          </cell>
        </row>
        <row r="581">
          <cell r="A581" t="str">
            <v>CÓDIGO</v>
          </cell>
          <cell r="B581" t="str">
            <v>DESCRIPCIÓN</v>
          </cell>
          <cell r="D581" t="str">
            <v>UNIDAD</v>
          </cell>
          <cell r="E581" t="str">
            <v>TARIFA</v>
          </cell>
          <cell r="F581" t="str">
            <v>RENDIMIENTO</v>
          </cell>
          <cell r="G581" t="str">
            <v>VR. UNITARIO</v>
          </cell>
        </row>
        <row r="582">
          <cell r="A582" t="str">
            <v>EQ004</v>
          </cell>
          <cell r="B582" t="str">
            <v>CONCRETADORA 1.5 SACOS A GASOLINA</v>
          </cell>
          <cell r="D582" t="str">
            <v>DÍA</v>
          </cell>
          <cell r="E582">
            <v>78000</v>
          </cell>
          <cell r="F582">
            <v>8</v>
          </cell>
          <cell r="G582">
            <v>9750</v>
          </cell>
        </row>
        <row r="583">
          <cell r="A583" t="str">
            <v>EQ001</v>
          </cell>
          <cell r="B583" t="str">
            <v>HERRAMIENTA MENOR (5% DE LA MANO DE OBRA)</v>
          </cell>
          <cell r="D583" t="str">
            <v>%</v>
          </cell>
          <cell r="E583">
            <v>0.05</v>
          </cell>
          <cell r="F583">
            <v>44498.125</v>
          </cell>
          <cell r="G583">
            <v>2224.90625</v>
          </cell>
        </row>
        <row r="584">
          <cell r="F584" t="str">
            <v>SUBTOTAL</v>
          </cell>
          <cell r="G584">
            <v>11974.90625</v>
          </cell>
        </row>
        <row r="586">
          <cell r="A586" t="str">
            <v>II. MATERIALES</v>
          </cell>
        </row>
        <row r="587">
          <cell r="A587" t="str">
            <v>CÓDIGO</v>
          </cell>
          <cell r="B587" t="str">
            <v>DESCRIPCIÓN</v>
          </cell>
          <cell r="C587" t="str">
            <v>UNIDAD</v>
          </cell>
          <cell r="D587" t="str">
            <v>CANTIDAD</v>
          </cell>
          <cell r="E587" t="str">
            <v>DESP.</v>
          </cell>
          <cell r="F587" t="str">
            <v>PRECIO UNIT.</v>
          </cell>
          <cell r="G587" t="str">
            <v>VR. UNITARIO</v>
          </cell>
        </row>
        <row r="588">
          <cell r="A588" t="str">
            <v>MA020</v>
          </cell>
          <cell r="B588" t="str">
            <v>CEMENTO GRIS (50 KG) PORTLAND TIPO I</v>
          </cell>
          <cell r="C588" t="str">
            <v>SC</v>
          </cell>
          <cell r="D588">
            <v>9.08</v>
          </cell>
          <cell r="E588">
            <v>0.05</v>
          </cell>
          <cell r="F588">
            <v>35290</v>
          </cell>
          <cell r="G588">
            <v>336454.86000000004</v>
          </cell>
        </row>
        <row r="589">
          <cell r="A589" t="str">
            <v>MA021</v>
          </cell>
          <cell r="B589" t="str">
            <v xml:space="preserve">ARENA DE PEGA </v>
          </cell>
          <cell r="C589" t="str">
            <v>M3</v>
          </cell>
          <cell r="D589">
            <v>1.0900000000000001</v>
          </cell>
          <cell r="E589">
            <v>0.05</v>
          </cell>
          <cell r="F589">
            <v>45460</v>
          </cell>
          <cell r="G589">
            <v>52028.97</v>
          </cell>
        </row>
        <row r="590">
          <cell r="A590" t="str">
            <v>MA025</v>
          </cell>
          <cell r="B590" t="str">
            <v>AGUA</v>
          </cell>
          <cell r="C590" t="str">
            <v>LT</v>
          </cell>
          <cell r="D590">
            <v>185</v>
          </cell>
          <cell r="E590">
            <v>0.1</v>
          </cell>
          <cell r="F590">
            <v>50</v>
          </cell>
          <cell r="G590">
            <v>10175</v>
          </cell>
        </row>
        <row r="591">
          <cell r="F591" t="str">
            <v>SUBTOTAL</v>
          </cell>
          <cell r="G591">
            <v>398658.83000000007</v>
          </cell>
        </row>
        <row r="593">
          <cell r="A593" t="str">
            <v>III. TRANSPORTES</v>
          </cell>
        </row>
        <row r="594">
          <cell r="A594" t="str">
            <v>CÓDIGO</v>
          </cell>
          <cell r="B594" t="str">
            <v>DESCRIPCIÓN</v>
          </cell>
          <cell r="C594" t="str">
            <v>TIPO</v>
          </cell>
          <cell r="D594" t="str">
            <v>VOLUMEN/PESO</v>
          </cell>
          <cell r="E594" t="str">
            <v>DISTANCIA</v>
          </cell>
          <cell r="F594" t="str">
            <v>TARIFA</v>
          </cell>
          <cell r="G594" t="str">
            <v>VR. UNITARIO</v>
          </cell>
        </row>
        <row r="595">
          <cell r="A595" t="str">
            <v>TR002</v>
          </cell>
          <cell r="B595" t="str">
            <v>TRANSPORTE DE MATERIALES DE PLAYA (ARENILLON, PIEDRA RODADA DE RIO DMAX=1") 0-1KM</v>
          </cell>
          <cell r="C595" t="str">
            <v>PLAYA</v>
          </cell>
          <cell r="D595">
            <v>1.1445000000000001</v>
          </cell>
          <cell r="E595">
            <v>1</v>
          </cell>
          <cell r="F595">
            <v>6100</v>
          </cell>
          <cell r="G595">
            <v>6981.4500000000007</v>
          </cell>
        </row>
        <row r="596">
          <cell r="A596" t="str">
            <v>TR007</v>
          </cell>
          <cell r="B596" t="str">
            <v>TRANSPORTE DE INSUMOS GENERALES 0-10 KM</v>
          </cell>
          <cell r="C596" t="str">
            <v>INSUMOS</v>
          </cell>
          <cell r="D596">
            <v>0.45400000000000001</v>
          </cell>
          <cell r="E596">
            <v>1</v>
          </cell>
          <cell r="F596">
            <v>4250</v>
          </cell>
          <cell r="G596">
            <v>1929.5</v>
          </cell>
        </row>
        <row r="597">
          <cell r="F597" t="str">
            <v>SUBTOTAL</v>
          </cell>
          <cell r="G597">
            <v>8910.9500000000007</v>
          </cell>
        </row>
        <row r="599">
          <cell r="A599" t="str">
            <v>IV. MANO DE OBRA</v>
          </cell>
        </row>
        <row r="600">
          <cell r="A600" t="str">
            <v>CÓDIGO</v>
          </cell>
          <cell r="B600" t="str">
            <v>CARGOS PERSONAL</v>
          </cell>
          <cell r="D600" t="str">
            <v>CANTIDAD</v>
          </cell>
          <cell r="E600" t="str">
            <v>JORNAL TOTAL</v>
          </cell>
          <cell r="F600" t="str">
            <v>RENDIMIENTO</v>
          </cell>
          <cell r="G600" t="str">
            <v>VR. UNITARIO</v>
          </cell>
        </row>
        <row r="601">
          <cell r="A601" t="str">
            <v>MO033</v>
          </cell>
          <cell r="B601" t="str">
            <v>OPERADOR EQUIPO LIVIANO</v>
          </cell>
          <cell r="D601">
            <v>1</v>
          </cell>
          <cell r="E601">
            <v>104675</v>
          </cell>
          <cell r="F601">
            <v>8</v>
          </cell>
          <cell r="G601">
            <v>13084.375</v>
          </cell>
        </row>
        <row r="602">
          <cell r="A602" t="str">
            <v>MO032</v>
          </cell>
          <cell r="B602" t="str">
            <v>AYUDANTE RASO</v>
          </cell>
          <cell r="D602">
            <v>3</v>
          </cell>
          <cell r="E602">
            <v>83770</v>
          </cell>
          <cell r="F602">
            <v>8</v>
          </cell>
          <cell r="G602">
            <v>31413.75</v>
          </cell>
        </row>
        <row r="603">
          <cell r="G603" t="str">
            <v/>
          </cell>
        </row>
        <row r="604">
          <cell r="A604" t="str">
            <v/>
          </cell>
          <cell r="E604" t="str">
            <v/>
          </cell>
          <cell r="F604" t="str">
            <v/>
          </cell>
          <cell r="G604" t="str">
            <v/>
          </cell>
        </row>
        <row r="605">
          <cell r="F605" t="str">
            <v>SUBTOTAL</v>
          </cell>
          <cell r="G605">
            <v>44498.125</v>
          </cell>
        </row>
        <row r="607">
          <cell r="A607" t="str">
            <v>V. SERVICIOS</v>
          </cell>
        </row>
        <row r="608">
          <cell r="A608" t="str">
            <v>CÓDIGO</v>
          </cell>
          <cell r="B608" t="str">
            <v>DESCRIPCIÓN</v>
          </cell>
          <cell r="D608" t="str">
            <v>UNIDAD</v>
          </cell>
          <cell r="E608" t="str">
            <v>CANTIDAD</v>
          </cell>
          <cell r="F608" t="str">
            <v>PRECIO UNIT.</v>
          </cell>
          <cell r="G608" t="str">
            <v>VR. UNITARIO</v>
          </cell>
        </row>
        <row r="609">
          <cell r="A609" t="str">
            <v/>
          </cell>
          <cell r="D609" t="str">
            <v/>
          </cell>
          <cell r="F609" t="str">
            <v/>
          </cell>
          <cell r="G609" t="str">
            <v/>
          </cell>
        </row>
        <row r="610">
          <cell r="A610" t="str">
            <v/>
          </cell>
          <cell r="D610" t="str">
            <v/>
          </cell>
          <cell r="F610" t="str">
            <v/>
          </cell>
          <cell r="G610" t="str">
            <v/>
          </cell>
        </row>
        <row r="611">
          <cell r="A611" t="str">
            <v/>
          </cell>
          <cell r="D611" t="str">
            <v/>
          </cell>
          <cell r="F611" t="str">
            <v/>
          </cell>
          <cell r="G611" t="str">
            <v/>
          </cell>
        </row>
        <row r="612">
          <cell r="F612" t="str">
            <v>SUBTOTAL</v>
          </cell>
          <cell r="G612" t="str">
            <v/>
          </cell>
        </row>
        <row r="614">
          <cell r="A614" t="str">
            <v>TOTAL COSTO DIRECTO</v>
          </cell>
          <cell r="G614">
            <v>464043</v>
          </cell>
        </row>
        <row r="616">
          <cell r="A616" t="str">
            <v>2. COSTOS INDIRECTOS</v>
          </cell>
        </row>
        <row r="618">
          <cell r="A618" t="str">
            <v>DESCRIPCIÓN</v>
          </cell>
          <cell r="F618" t="str">
            <v>PORCENTAJE</v>
          </cell>
          <cell r="G618" t="str">
            <v>VALOR TOTAL</v>
          </cell>
        </row>
        <row r="619">
          <cell r="A619" t="str">
            <v>ADMINISTRACION</v>
          </cell>
          <cell r="F619">
            <v>0.33389999999999997</v>
          </cell>
          <cell r="G619">
            <v>154943.9577</v>
          </cell>
        </row>
        <row r="620">
          <cell r="A620" t="str">
            <v>IMPREVISTOS</v>
          </cell>
          <cell r="F620" t="str">
            <v/>
          </cell>
          <cell r="G620" t="str">
            <v/>
          </cell>
        </row>
        <row r="621">
          <cell r="A621" t="str">
            <v>UTILIDADES</v>
          </cell>
          <cell r="F621">
            <v>0.05</v>
          </cell>
          <cell r="G621">
            <v>23202.15</v>
          </cell>
        </row>
        <row r="622">
          <cell r="A622" t="str">
            <v>TOTAL COSTO INDIRECTO</v>
          </cell>
          <cell r="F622">
            <v>0.38389999999999996</v>
          </cell>
          <cell r="G622">
            <v>178146</v>
          </cell>
        </row>
        <row r="624">
          <cell r="A624" t="str">
            <v>PRECIO UNITARIO TOTAL APROXIMADO AL PESO</v>
          </cell>
          <cell r="G624">
            <v>642189</v>
          </cell>
        </row>
        <row r="629">
          <cell r="D629" t="str">
            <v>FIRMA RESPONSABLE</v>
          </cell>
        </row>
        <row r="631">
          <cell r="A631" t="str">
            <v>DEPARTAMENTO DE ANTIOQUIA</v>
          </cell>
          <cell r="F631" t="str">
            <v/>
          </cell>
        </row>
        <row r="632">
          <cell r="A632" t="str">
            <v>MUNICIPIO DE DABEIBA</v>
          </cell>
        </row>
        <row r="633">
          <cell r="A633" t="str">
            <v>MEJORAMIENTO DE LA RED VIAL URBANA EN EL BARRIO SAN ANTONIO DEL MUNICIPIO DE DABEIBA</v>
          </cell>
        </row>
        <row r="635">
          <cell r="A635" t="str">
            <v>ANÁLISIS DE PRECIOS UNITARIOS</v>
          </cell>
        </row>
        <row r="637">
          <cell r="A637" t="str">
            <v>ITEM</v>
          </cell>
          <cell r="B637" t="str">
            <v>DESCRIPCIÓN</v>
          </cell>
          <cell r="E637" t="str">
            <v>UNIDAD</v>
          </cell>
          <cell r="F637" t="str">
            <v>CANTIDAD</v>
          </cell>
          <cell r="G637" t="str">
            <v>COSTO DIRECTO</v>
          </cell>
        </row>
        <row r="638">
          <cell r="A638" t="str">
            <v>MA011</v>
          </cell>
          <cell r="B638" t="str">
            <v>MORTERO 1:4 EN OBRA (REVOQUE)</v>
          </cell>
          <cell r="E638" t="str">
            <v>M3</v>
          </cell>
          <cell r="F638" t="str">
            <v>N.D</v>
          </cell>
          <cell r="G638">
            <v>399927</v>
          </cell>
        </row>
        <row r="640">
          <cell r="A640" t="str">
            <v>1. COSTOS DIRECTOS</v>
          </cell>
        </row>
        <row r="642">
          <cell r="A642" t="str">
            <v>I. EQUIPO</v>
          </cell>
        </row>
        <row r="643">
          <cell r="A643" t="str">
            <v>CÓDIGO</v>
          </cell>
          <cell r="B643" t="str">
            <v>DESCRIPCIÓN</v>
          </cell>
          <cell r="D643" t="str">
            <v>UNIDAD</v>
          </cell>
          <cell r="E643" t="str">
            <v>TARIFA</v>
          </cell>
          <cell r="F643" t="str">
            <v>RENDIMIENTO</v>
          </cell>
          <cell r="G643" t="str">
            <v>VR. UNITARIO</v>
          </cell>
        </row>
        <row r="644">
          <cell r="A644" t="str">
            <v>EQ004</v>
          </cell>
          <cell r="B644" t="str">
            <v>CONCRETADORA 1.5 SACOS A GASOLINA</v>
          </cell>
          <cell r="D644" t="str">
            <v>DÍA</v>
          </cell>
          <cell r="E644">
            <v>78000</v>
          </cell>
          <cell r="F644">
            <v>8</v>
          </cell>
          <cell r="G644">
            <v>9750</v>
          </cell>
        </row>
        <row r="645">
          <cell r="A645" t="str">
            <v>EQ001</v>
          </cell>
          <cell r="B645" t="str">
            <v>HERRAMIENTA MENOR (5% DE LA MANO DE OBRA)</v>
          </cell>
          <cell r="D645" t="str">
            <v>%</v>
          </cell>
          <cell r="E645">
            <v>0.05</v>
          </cell>
          <cell r="F645">
            <v>44498.125</v>
          </cell>
          <cell r="G645">
            <v>2224.90625</v>
          </cell>
        </row>
        <row r="646">
          <cell r="F646" t="str">
            <v>SUBTOTAL</v>
          </cell>
          <cell r="G646">
            <v>11974.90625</v>
          </cell>
        </row>
        <row r="648">
          <cell r="A648" t="str">
            <v>II. MATERIALES</v>
          </cell>
        </row>
        <row r="649">
          <cell r="A649" t="str">
            <v>CÓDIGO</v>
          </cell>
          <cell r="B649" t="str">
            <v>DESCRIPCIÓN</v>
          </cell>
          <cell r="C649" t="str">
            <v>UNIDAD</v>
          </cell>
          <cell r="D649" t="str">
            <v>CANTIDAD</v>
          </cell>
          <cell r="E649" t="str">
            <v>DESP.</v>
          </cell>
          <cell r="F649" t="str">
            <v>PRECIO UNIT.</v>
          </cell>
          <cell r="G649" t="str">
            <v>VR. UNITARIO</v>
          </cell>
        </row>
        <row r="650">
          <cell r="A650" t="str">
            <v>MA020</v>
          </cell>
          <cell r="B650" t="str">
            <v>CEMENTO GRIS (50 KG) PORTLAND TIPO I</v>
          </cell>
          <cell r="C650" t="str">
            <v>SC</v>
          </cell>
          <cell r="D650">
            <v>7.28</v>
          </cell>
          <cell r="E650">
            <v>0.05</v>
          </cell>
          <cell r="F650">
            <v>35290</v>
          </cell>
          <cell r="G650">
            <v>269756.76</v>
          </cell>
        </row>
        <row r="651">
          <cell r="A651" t="str">
            <v>MA022</v>
          </cell>
          <cell r="B651" t="str">
            <v xml:space="preserve">ARENA DE REVOQUE </v>
          </cell>
          <cell r="C651" t="str">
            <v>M3</v>
          </cell>
          <cell r="D651">
            <v>1.1599999999999999</v>
          </cell>
          <cell r="E651">
            <v>0.05</v>
          </cell>
          <cell r="F651">
            <v>45460</v>
          </cell>
          <cell r="G651">
            <v>55370.28</v>
          </cell>
        </row>
        <row r="652">
          <cell r="A652" t="str">
            <v>MA025</v>
          </cell>
          <cell r="B652" t="str">
            <v>AGUA</v>
          </cell>
          <cell r="C652" t="str">
            <v>LT</v>
          </cell>
          <cell r="D652">
            <v>170</v>
          </cell>
          <cell r="E652">
            <v>0.1</v>
          </cell>
          <cell r="F652">
            <v>50</v>
          </cell>
          <cell r="G652">
            <v>9350</v>
          </cell>
        </row>
        <row r="653">
          <cell r="F653" t="str">
            <v>SUBTOTAL</v>
          </cell>
          <cell r="G653">
            <v>334477.04000000004</v>
          </cell>
        </row>
        <row r="655">
          <cell r="A655" t="str">
            <v>III. TRANSPORTES</v>
          </cell>
        </row>
        <row r="656">
          <cell r="A656" t="str">
            <v>CÓDIGO</v>
          </cell>
          <cell r="B656" t="str">
            <v>DESCRIPCIÓN</v>
          </cell>
          <cell r="C656" t="str">
            <v>TIPO</v>
          </cell>
          <cell r="D656" t="str">
            <v>VOLUMEN/PESO</v>
          </cell>
          <cell r="E656" t="str">
            <v>DISTANCIA</v>
          </cell>
          <cell r="F656" t="str">
            <v>TARIFA</v>
          </cell>
          <cell r="G656" t="str">
            <v>VR. UNITARIO</v>
          </cell>
        </row>
        <row r="657">
          <cell r="A657" t="str">
            <v>TR002</v>
          </cell>
          <cell r="B657" t="str">
            <v>TRANSPORTE DE MATERIALES DE PLAYA (ARENILLON, PIEDRA RODADA DE RIO DMAX=1") 0-1KM</v>
          </cell>
          <cell r="C657" t="str">
            <v>PLAYA</v>
          </cell>
          <cell r="D657">
            <v>1.218</v>
          </cell>
          <cell r="E657">
            <v>1</v>
          </cell>
          <cell r="F657">
            <v>6100</v>
          </cell>
          <cell r="G657">
            <v>7429.8</v>
          </cell>
        </row>
        <row r="658">
          <cell r="A658" t="str">
            <v>TR007</v>
          </cell>
          <cell r="B658" t="str">
            <v>TRANSPORTE DE INSUMOS GENERALES 0-10 KM</v>
          </cell>
          <cell r="C658" t="str">
            <v>INSUMOS</v>
          </cell>
          <cell r="D658">
            <v>0.36399999999999999</v>
          </cell>
          <cell r="E658">
            <v>1</v>
          </cell>
          <cell r="F658">
            <v>4250</v>
          </cell>
          <cell r="G658">
            <v>1547</v>
          </cell>
        </row>
        <row r="659">
          <cell r="F659" t="str">
            <v>SUBTOTAL</v>
          </cell>
          <cell r="G659">
            <v>8976.7999999999993</v>
          </cell>
        </row>
        <row r="661">
          <cell r="A661" t="str">
            <v>IV. MANO DE OBRA</v>
          </cell>
        </row>
        <row r="662">
          <cell r="A662" t="str">
            <v>CÓDIGO</v>
          </cell>
          <cell r="B662" t="str">
            <v>CARGOS PERSONAL</v>
          </cell>
          <cell r="D662" t="str">
            <v>CANTIDAD</v>
          </cell>
          <cell r="E662" t="str">
            <v>JORNAL TOTAL</v>
          </cell>
          <cell r="F662" t="str">
            <v>RENDIMIENTO</v>
          </cell>
          <cell r="G662" t="str">
            <v>VR. UNITARIO</v>
          </cell>
        </row>
        <row r="663">
          <cell r="A663" t="str">
            <v>MO033</v>
          </cell>
          <cell r="B663" t="str">
            <v>OPERADOR EQUIPO LIVIANO</v>
          </cell>
          <cell r="D663">
            <v>1</v>
          </cell>
          <cell r="E663">
            <v>104675</v>
          </cell>
          <cell r="F663">
            <v>8</v>
          </cell>
          <cell r="G663">
            <v>13084.375</v>
          </cell>
        </row>
        <row r="664">
          <cell r="A664" t="str">
            <v>MO032</v>
          </cell>
          <cell r="B664" t="str">
            <v>AYUDANTE RASO</v>
          </cell>
          <cell r="D664">
            <v>3</v>
          </cell>
          <cell r="E664">
            <v>83770</v>
          </cell>
          <cell r="F664">
            <v>8</v>
          </cell>
          <cell r="G664">
            <v>31413.75</v>
          </cell>
        </row>
        <row r="665">
          <cell r="G665" t="str">
            <v/>
          </cell>
        </row>
        <row r="666">
          <cell r="A666" t="str">
            <v/>
          </cell>
          <cell r="E666" t="str">
            <v/>
          </cell>
          <cell r="F666" t="str">
            <v/>
          </cell>
          <cell r="G666" t="str">
            <v/>
          </cell>
        </row>
        <row r="667">
          <cell r="F667" t="str">
            <v>SUBTOTAL</v>
          </cell>
          <cell r="G667">
            <v>44498.125</v>
          </cell>
        </row>
        <row r="669">
          <cell r="A669" t="str">
            <v>V. SERVICIOS</v>
          </cell>
        </row>
        <row r="670">
          <cell r="A670" t="str">
            <v>CÓDIGO</v>
          </cell>
          <cell r="B670" t="str">
            <v>DESCRIPCIÓN</v>
          </cell>
          <cell r="D670" t="str">
            <v>UNIDAD</v>
          </cell>
          <cell r="E670" t="str">
            <v>CANTIDAD</v>
          </cell>
          <cell r="F670" t="str">
            <v>PRECIO UNIT.</v>
          </cell>
          <cell r="G670" t="str">
            <v>VR. UNITARIO</v>
          </cell>
        </row>
        <row r="671">
          <cell r="A671" t="str">
            <v/>
          </cell>
          <cell r="D671" t="str">
            <v/>
          </cell>
          <cell r="F671" t="str">
            <v/>
          </cell>
          <cell r="G671" t="str">
            <v/>
          </cell>
        </row>
        <row r="672">
          <cell r="A672" t="str">
            <v/>
          </cell>
          <cell r="D672" t="str">
            <v/>
          </cell>
          <cell r="F672" t="str">
            <v/>
          </cell>
          <cell r="G672" t="str">
            <v/>
          </cell>
        </row>
        <row r="673">
          <cell r="A673" t="str">
            <v/>
          </cell>
          <cell r="D673" t="str">
            <v/>
          </cell>
          <cell r="F673" t="str">
            <v/>
          </cell>
          <cell r="G673" t="str">
            <v/>
          </cell>
        </row>
        <row r="674">
          <cell r="F674" t="str">
            <v>SUBTOTAL</v>
          </cell>
          <cell r="G674" t="str">
            <v/>
          </cell>
        </row>
        <row r="676">
          <cell r="A676" t="str">
            <v>TOTAL COSTO DIRECTO</v>
          </cell>
          <cell r="G676">
            <v>399927</v>
          </cell>
        </row>
        <row r="678">
          <cell r="A678" t="str">
            <v>2. COSTOS INDIRECTOS</v>
          </cell>
        </row>
        <row r="680">
          <cell r="A680" t="str">
            <v>DESCRIPCIÓN</v>
          </cell>
          <cell r="F680" t="str">
            <v>PORCENTAJE</v>
          </cell>
          <cell r="G680" t="str">
            <v>VALOR TOTAL</v>
          </cell>
        </row>
        <row r="681">
          <cell r="A681" t="str">
            <v>ADMINISTRACION</v>
          </cell>
          <cell r="F681">
            <v>0.33389999999999997</v>
          </cell>
          <cell r="G681">
            <v>133535.62529999999</v>
          </cell>
        </row>
        <row r="682">
          <cell r="A682" t="str">
            <v>IMPREVISTOS</v>
          </cell>
          <cell r="F682" t="str">
            <v/>
          </cell>
          <cell r="G682" t="str">
            <v/>
          </cell>
        </row>
        <row r="683">
          <cell r="A683" t="str">
            <v>UTILIDADES</v>
          </cell>
          <cell r="F683">
            <v>0.05</v>
          </cell>
          <cell r="G683">
            <v>19996.350000000002</v>
          </cell>
        </row>
        <row r="684">
          <cell r="A684" t="str">
            <v>TOTAL COSTO INDIRECTO</v>
          </cell>
          <cell r="F684">
            <v>0.38389999999999996</v>
          </cell>
          <cell r="G684">
            <v>153532</v>
          </cell>
        </row>
        <row r="686">
          <cell r="A686" t="str">
            <v>PRECIO UNITARIO TOTAL APROXIMADO AL PESO</v>
          </cell>
          <cell r="G686">
            <v>553459</v>
          </cell>
        </row>
        <row r="691">
          <cell r="D691" t="str">
            <v>FIRMA RESPONSABLE</v>
          </cell>
        </row>
        <row r="693">
          <cell r="A693" t="str">
            <v>DEPARTAMENTO DE ANTIOQUIA</v>
          </cell>
          <cell r="F693" t="str">
            <v/>
          </cell>
        </row>
        <row r="694">
          <cell r="A694" t="str">
            <v>MUNICIPIO DE DABEIBA</v>
          </cell>
        </row>
        <row r="695">
          <cell r="A695" t="str">
            <v>MEJORAMIENTO DE LA RED VIAL URBANA EN EL BARRIO SAN ANTONIO DEL MUNICIPIO DE DABEIBA</v>
          </cell>
        </row>
        <row r="697">
          <cell r="A697" t="str">
            <v>ANÁLISIS DE PRECIOS UNITARIOS</v>
          </cell>
        </row>
        <row r="699">
          <cell r="A699" t="str">
            <v>ITEM</v>
          </cell>
          <cell r="B699" t="str">
            <v>DESCRIPCIÓN</v>
          </cell>
          <cell r="E699" t="str">
            <v>UNIDAD</v>
          </cell>
          <cell r="F699" t="str">
            <v>CANTIDAD</v>
          </cell>
          <cell r="G699" t="str">
            <v>COSTO DIRECTO</v>
          </cell>
        </row>
        <row r="700">
          <cell r="A700" t="str">
            <v>MA012</v>
          </cell>
          <cell r="B700" t="str">
            <v>MORTERO 1:4 EN OBRA (GROUT)</v>
          </cell>
          <cell r="E700" t="str">
            <v>M3</v>
          </cell>
          <cell r="F700" t="str">
            <v>N.D</v>
          </cell>
          <cell r="G700">
            <v>399927</v>
          </cell>
        </row>
        <row r="702">
          <cell r="A702" t="str">
            <v>1. COSTOS DIRECTOS</v>
          </cell>
        </row>
        <row r="704">
          <cell r="A704" t="str">
            <v>I. EQUIPO</v>
          </cell>
        </row>
        <row r="705">
          <cell r="A705" t="str">
            <v>CÓDIGO</v>
          </cell>
          <cell r="B705" t="str">
            <v>DESCRIPCIÓN</v>
          </cell>
          <cell r="D705" t="str">
            <v>UNIDAD</v>
          </cell>
          <cell r="E705" t="str">
            <v>TARIFA</v>
          </cell>
          <cell r="F705" t="str">
            <v>RENDIMIENTO</v>
          </cell>
          <cell r="G705" t="str">
            <v>VR. UNITARIO</v>
          </cell>
        </row>
        <row r="706">
          <cell r="A706" t="str">
            <v>EQ004</v>
          </cell>
          <cell r="B706" t="str">
            <v>CONCRETADORA 1.5 SACOS A GASOLINA</v>
          </cell>
          <cell r="D706" t="str">
            <v>DÍA</v>
          </cell>
          <cell r="E706">
            <v>78000</v>
          </cell>
          <cell r="F706">
            <v>8</v>
          </cell>
          <cell r="G706">
            <v>9750</v>
          </cell>
        </row>
        <row r="707">
          <cell r="A707" t="str">
            <v>EQ001</v>
          </cell>
          <cell r="B707" t="str">
            <v>HERRAMIENTA MENOR (5% DE LA MANO DE OBRA)</v>
          </cell>
          <cell r="D707" t="str">
            <v>%</v>
          </cell>
          <cell r="E707">
            <v>0.05</v>
          </cell>
          <cell r="F707">
            <v>44498.125</v>
          </cell>
          <cell r="G707">
            <v>2224.90625</v>
          </cell>
        </row>
        <row r="708">
          <cell r="F708" t="str">
            <v>SUBTOTAL</v>
          </cell>
          <cell r="G708">
            <v>11974.90625</v>
          </cell>
        </row>
        <row r="710">
          <cell r="A710" t="str">
            <v>II. MATERIALES</v>
          </cell>
        </row>
        <row r="711">
          <cell r="A711" t="str">
            <v>CÓDIGO</v>
          </cell>
          <cell r="B711" t="str">
            <v>DESCRIPCIÓN</v>
          </cell>
          <cell r="C711" t="str">
            <v>UNIDAD</v>
          </cell>
          <cell r="D711" t="str">
            <v>CANTIDAD</v>
          </cell>
          <cell r="E711" t="str">
            <v>DESP.</v>
          </cell>
          <cell r="F711" t="str">
            <v>PRECIO UNIT.</v>
          </cell>
          <cell r="G711" t="str">
            <v>VR. UNITARIO</v>
          </cell>
        </row>
        <row r="712">
          <cell r="A712" t="str">
            <v>MA020</v>
          </cell>
          <cell r="B712" t="str">
            <v>CEMENTO GRIS (50 KG) PORTLAND TIPO I</v>
          </cell>
          <cell r="C712" t="str">
            <v>SC</v>
          </cell>
          <cell r="D712">
            <v>7.28</v>
          </cell>
          <cell r="E712">
            <v>0.05</v>
          </cell>
          <cell r="F712">
            <v>35290</v>
          </cell>
          <cell r="G712">
            <v>269756.76</v>
          </cell>
        </row>
        <row r="713">
          <cell r="A713" t="str">
            <v>MA023</v>
          </cell>
          <cell r="B713" t="str">
            <v>ARENA FINA PARA CONCRETOS</v>
          </cell>
          <cell r="C713" t="str">
            <v>M3</v>
          </cell>
          <cell r="D713">
            <v>1.1599999999999999</v>
          </cell>
          <cell r="E713">
            <v>0.05</v>
          </cell>
          <cell r="F713">
            <v>45460</v>
          </cell>
          <cell r="G713">
            <v>55370.28</v>
          </cell>
        </row>
        <row r="714">
          <cell r="A714" t="str">
            <v>MA025</v>
          </cell>
          <cell r="B714" t="str">
            <v>AGUA</v>
          </cell>
          <cell r="C714" t="str">
            <v>LT</v>
          </cell>
          <cell r="D714">
            <v>170</v>
          </cell>
          <cell r="E714">
            <v>0.1</v>
          </cell>
          <cell r="F714">
            <v>50</v>
          </cell>
          <cell r="G714">
            <v>9350</v>
          </cell>
        </row>
        <row r="715">
          <cell r="F715" t="str">
            <v>SUBTOTAL</v>
          </cell>
          <cell r="G715">
            <v>334477.04000000004</v>
          </cell>
        </row>
        <row r="717">
          <cell r="A717" t="str">
            <v>III. TRANSPORTES</v>
          </cell>
        </row>
        <row r="718">
          <cell r="A718" t="str">
            <v>CÓDIGO</v>
          </cell>
          <cell r="B718" t="str">
            <v>DESCRIPCIÓN</v>
          </cell>
          <cell r="C718" t="str">
            <v>TIPO</v>
          </cell>
          <cell r="D718" t="str">
            <v>VOLUMEN/PESO</v>
          </cell>
          <cell r="E718" t="str">
            <v>DISTANCIA</v>
          </cell>
          <cell r="F718" t="str">
            <v>TARIFA</v>
          </cell>
          <cell r="G718" t="str">
            <v>VR. UNITARIO</v>
          </cell>
        </row>
        <row r="719">
          <cell r="A719" t="str">
            <v>TR002</v>
          </cell>
          <cell r="B719" t="str">
            <v>TRANSPORTE DE MATERIALES DE PLAYA (ARENILLON, PIEDRA RODADA DE RIO DMAX=1") 0-1KM</v>
          </cell>
          <cell r="C719" t="str">
            <v>PLAYA</v>
          </cell>
          <cell r="D719">
            <v>1.218</v>
          </cell>
          <cell r="E719">
            <v>1</v>
          </cell>
          <cell r="F719">
            <v>6100</v>
          </cell>
          <cell r="G719">
            <v>7429.8</v>
          </cell>
        </row>
        <row r="720">
          <cell r="A720" t="str">
            <v>TR007</v>
          </cell>
          <cell r="B720" t="str">
            <v>TRANSPORTE DE INSUMOS GENERALES 0-10 KM</v>
          </cell>
          <cell r="C720" t="str">
            <v>INSUMOS</v>
          </cell>
          <cell r="D720">
            <v>0.36399999999999999</v>
          </cell>
          <cell r="E720">
            <v>1</v>
          </cell>
          <cell r="F720">
            <v>4250</v>
          </cell>
          <cell r="G720">
            <v>1547</v>
          </cell>
        </row>
        <row r="721">
          <cell r="F721" t="str">
            <v>SUBTOTAL</v>
          </cell>
          <cell r="G721">
            <v>8976.7999999999993</v>
          </cell>
        </row>
        <row r="723">
          <cell r="A723" t="str">
            <v>IV. MANO DE OBRA</v>
          </cell>
        </row>
        <row r="724">
          <cell r="A724" t="str">
            <v>CÓDIGO</v>
          </cell>
          <cell r="B724" t="str">
            <v>CARGOS PERSONAL</v>
          </cell>
          <cell r="D724" t="str">
            <v>CANTIDAD</v>
          </cell>
          <cell r="E724" t="str">
            <v>JORNAL TOTAL</v>
          </cell>
          <cell r="F724" t="str">
            <v>RENDIMIENTO</v>
          </cell>
          <cell r="G724" t="str">
            <v>VR. UNITARIO</v>
          </cell>
        </row>
        <row r="725">
          <cell r="A725" t="str">
            <v>MO033</v>
          </cell>
          <cell r="B725" t="str">
            <v>OPERADOR EQUIPO LIVIANO</v>
          </cell>
          <cell r="D725">
            <v>1</v>
          </cell>
          <cell r="E725">
            <v>104675</v>
          </cell>
          <cell r="F725">
            <v>8</v>
          </cell>
          <cell r="G725">
            <v>13084.375</v>
          </cell>
        </row>
        <row r="726">
          <cell r="A726" t="str">
            <v>MO032</v>
          </cell>
          <cell r="B726" t="str">
            <v>AYUDANTE RASO</v>
          </cell>
          <cell r="D726">
            <v>3</v>
          </cell>
          <cell r="E726">
            <v>83770</v>
          </cell>
          <cell r="F726">
            <v>8</v>
          </cell>
          <cell r="G726">
            <v>31413.75</v>
          </cell>
        </row>
        <row r="727">
          <cell r="G727" t="str">
            <v/>
          </cell>
        </row>
        <row r="728">
          <cell r="A728" t="str">
            <v/>
          </cell>
          <cell r="E728" t="str">
            <v/>
          </cell>
          <cell r="F728" t="str">
            <v/>
          </cell>
          <cell r="G728" t="str">
            <v/>
          </cell>
        </row>
        <row r="729">
          <cell r="F729" t="str">
            <v>SUBTOTAL</v>
          </cell>
          <cell r="G729">
            <v>44498.125</v>
          </cell>
        </row>
        <row r="731">
          <cell r="A731" t="str">
            <v>V. SERVICIOS</v>
          </cell>
        </row>
        <row r="732">
          <cell r="A732" t="str">
            <v>CÓDIGO</v>
          </cell>
          <cell r="B732" t="str">
            <v>DESCRIPCIÓN</v>
          </cell>
          <cell r="D732" t="str">
            <v>UNIDAD</v>
          </cell>
          <cell r="E732" t="str">
            <v>CANTIDAD</v>
          </cell>
          <cell r="F732" t="str">
            <v>PRECIO UNIT.</v>
          </cell>
          <cell r="G732" t="str">
            <v>VR. UNITARIO</v>
          </cell>
        </row>
        <row r="733">
          <cell r="A733" t="str">
            <v/>
          </cell>
          <cell r="D733" t="str">
            <v/>
          </cell>
          <cell r="F733" t="str">
            <v/>
          </cell>
          <cell r="G733" t="str">
            <v/>
          </cell>
        </row>
        <row r="734">
          <cell r="A734" t="str">
            <v/>
          </cell>
          <cell r="D734" t="str">
            <v/>
          </cell>
          <cell r="F734" t="str">
            <v/>
          </cell>
          <cell r="G734" t="str">
            <v/>
          </cell>
        </row>
        <row r="735">
          <cell r="A735" t="str">
            <v/>
          </cell>
          <cell r="D735" t="str">
            <v/>
          </cell>
          <cell r="F735" t="str">
            <v/>
          </cell>
          <cell r="G735" t="str">
            <v/>
          </cell>
        </row>
        <row r="736">
          <cell r="F736" t="str">
            <v>SUBTOTAL</v>
          </cell>
          <cell r="G736" t="str">
            <v/>
          </cell>
        </row>
        <row r="738">
          <cell r="A738" t="str">
            <v>TOTAL COSTO DIRECTO</v>
          </cell>
          <cell r="G738">
            <v>399927</v>
          </cell>
        </row>
        <row r="740">
          <cell r="A740" t="str">
            <v>2. COSTOS INDIRECTOS</v>
          </cell>
        </row>
        <row r="742">
          <cell r="A742" t="str">
            <v>DESCRIPCIÓN</v>
          </cell>
          <cell r="F742" t="str">
            <v>PORCENTAJE</v>
          </cell>
          <cell r="G742" t="str">
            <v>VALOR TOTAL</v>
          </cell>
        </row>
        <row r="743">
          <cell r="A743" t="str">
            <v>ADMINISTRACION</v>
          </cell>
          <cell r="F743">
            <v>0.33389999999999997</v>
          </cell>
          <cell r="G743">
            <v>133535.62529999999</v>
          </cell>
        </row>
        <row r="744">
          <cell r="A744" t="str">
            <v>IMPREVISTOS</v>
          </cell>
          <cell r="F744" t="str">
            <v/>
          </cell>
          <cell r="G744" t="str">
            <v/>
          </cell>
        </row>
        <row r="745">
          <cell r="A745" t="str">
            <v>UTILIDADES</v>
          </cell>
          <cell r="F745">
            <v>0.05</v>
          </cell>
          <cell r="G745">
            <v>19996.350000000002</v>
          </cell>
        </row>
        <row r="746">
          <cell r="A746" t="str">
            <v>TOTAL COSTO INDIRECTO</v>
          </cell>
          <cell r="F746">
            <v>0.38389999999999996</v>
          </cell>
          <cell r="G746">
            <v>153532</v>
          </cell>
        </row>
        <row r="748">
          <cell r="A748" t="str">
            <v>PRECIO UNITARIO TOTAL APROXIMADO AL PESO</v>
          </cell>
          <cell r="G748">
            <v>553459</v>
          </cell>
        </row>
        <row r="753">
          <cell r="D753" t="str">
            <v>FIRMA RESPONSABLE</v>
          </cell>
        </row>
        <row r="755">
          <cell r="A755" t="str">
            <v>DEPARTAMENTO DE ANTIOQUIA</v>
          </cell>
          <cell r="F755" t="str">
            <v/>
          </cell>
        </row>
        <row r="756">
          <cell r="A756" t="str">
            <v>MUNICIPIO DE DABEIBA</v>
          </cell>
        </row>
        <row r="757">
          <cell r="A757" t="str">
            <v>MEJORAMIENTO DE LA RED VIAL URBANA EN EL BARRIO SAN ANTONIO DEL MUNICIPIO DE DABEIBA</v>
          </cell>
        </row>
        <row r="759">
          <cell r="A759" t="str">
            <v>ANÁLISIS DE PRECIOS UNITARIOS</v>
          </cell>
        </row>
        <row r="761">
          <cell r="A761" t="str">
            <v>ITEM</v>
          </cell>
          <cell r="B761" t="str">
            <v>DESCRIPCIÓN</v>
          </cell>
          <cell r="E761" t="str">
            <v>UNIDAD</v>
          </cell>
          <cell r="F761" t="str">
            <v>CANTIDAD</v>
          </cell>
          <cell r="G761" t="str">
            <v>COSTO DIRECTO</v>
          </cell>
        </row>
        <row r="762">
          <cell r="A762" t="str">
            <v>MA013</v>
          </cell>
          <cell r="B762" t="str">
            <v>MORTERO 1:4 EN OBRA (PEGA)</v>
          </cell>
          <cell r="E762" t="str">
            <v>M3</v>
          </cell>
          <cell r="F762" t="str">
            <v>N.D</v>
          </cell>
          <cell r="G762">
            <v>400752</v>
          </cell>
        </row>
        <row r="764">
          <cell r="A764" t="str">
            <v>1. COSTOS DIRECTOS</v>
          </cell>
        </row>
        <row r="766">
          <cell r="A766" t="str">
            <v>I. EQUIPO</v>
          </cell>
        </row>
        <row r="767">
          <cell r="A767" t="str">
            <v>CÓDIGO</v>
          </cell>
          <cell r="B767" t="str">
            <v>DESCRIPCIÓN</v>
          </cell>
          <cell r="D767" t="str">
            <v>UNIDAD</v>
          </cell>
          <cell r="E767" t="str">
            <v>TARIFA</v>
          </cell>
          <cell r="F767" t="str">
            <v>RENDIMIENTO</v>
          </cell>
          <cell r="G767" t="str">
            <v>VR. UNITARIO</v>
          </cell>
        </row>
        <row r="768">
          <cell r="A768" t="str">
            <v>EQ004</v>
          </cell>
          <cell r="B768" t="str">
            <v>CONCRETADORA 1.5 SACOS A GASOLINA</v>
          </cell>
          <cell r="D768" t="str">
            <v>DÍA</v>
          </cell>
          <cell r="E768">
            <v>78000</v>
          </cell>
          <cell r="F768">
            <v>8</v>
          </cell>
          <cell r="G768">
            <v>9750</v>
          </cell>
        </row>
        <row r="769">
          <cell r="A769" t="str">
            <v>EQ001</v>
          </cell>
          <cell r="B769" t="str">
            <v>HERRAMIENTA MENOR (5% DE LA MANO DE OBRA)</v>
          </cell>
          <cell r="D769" t="str">
            <v>%</v>
          </cell>
          <cell r="E769">
            <v>0.05</v>
          </cell>
          <cell r="F769">
            <v>44498.125</v>
          </cell>
          <cell r="G769">
            <v>2224.90625</v>
          </cell>
        </row>
        <row r="770">
          <cell r="F770" t="str">
            <v>SUBTOTAL</v>
          </cell>
          <cell r="G770">
            <v>11974.90625</v>
          </cell>
        </row>
        <row r="772">
          <cell r="A772" t="str">
            <v>II. MATERIALES</v>
          </cell>
        </row>
        <row r="773">
          <cell r="A773" t="str">
            <v>CÓDIGO</v>
          </cell>
          <cell r="B773" t="str">
            <v>DESCRIPCIÓN</v>
          </cell>
          <cell r="C773" t="str">
            <v>UNIDAD</v>
          </cell>
          <cell r="D773" t="str">
            <v>CANTIDAD</v>
          </cell>
          <cell r="E773" t="str">
            <v>DESP.</v>
          </cell>
          <cell r="F773" t="str">
            <v>PRECIO UNIT.</v>
          </cell>
          <cell r="G773" t="str">
            <v>VR. UNITARIO</v>
          </cell>
        </row>
        <row r="774">
          <cell r="A774" t="str">
            <v>MA020</v>
          </cell>
          <cell r="B774" t="str">
            <v>CEMENTO GRIS (50 KG) PORTLAND TIPO I</v>
          </cell>
          <cell r="C774" t="str">
            <v>SC</v>
          </cell>
          <cell r="D774">
            <v>7.28</v>
          </cell>
          <cell r="E774">
            <v>0.05</v>
          </cell>
          <cell r="F774">
            <v>35290</v>
          </cell>
          <cell r="G774">
            <v>269756.76</v>
          </cell>
        </row>
        <row r="775">
          <cell r="A775" t="str">
            <v>MA023</v>
          </cell>
          <cell r="B775" t="str">
            <v>ARENA FINA PARA CONCRETOS</v>
          </cell>
          <cell r="C775" t="str">
            <v>M3</v>
          </cell>
          <cell r="D775">
            <v>1.1599999999999999</v>
          </cell>
          <cell r="E775">
            <v>0.05</v>
          </cell>
          <cell r="F775">
            <v>45460</v>
          </cell>
          <cell r="G775">
            <v>55370.28</v>
          </cell>
        </row>
        <row r="776">
          <cell r="A776" t="str">
            <v>MA025</v>
          </cell>
          <cell r="B776" t="str">
            <v>AGUA</v>
          </cell>
          <cell r="C776" t="str">
            <v>LT</v>
          </cell>
          <cell r="D776">
            <v>185</v>
          </cell>
          <cell r="E776">
            <v>0.1</v>
          </cell>
          <cell r="F776">
            <v>50</v>
          </cell>
          <cell r="G776">
            <v>10175</v>
          </cell>
        </row>
        <row r="777">
          <cell r="F777" t="str">
            <v>SUBTOTAL</v>
          </cell>
          <cell r="G777">
            <v>335302.04000000004</v>
          </cell>
        </row>
        <row r="779">
          <cell r="A779" t="str">
            <v>III. TRANSPORTES</v>
          </cell>
        </row>
        <row r="780">
          <cell r="A780" t="str">
            <v>CÓDIGO</v>
          </cell>
          <cell r="B780" t="str">
            <v>DESCRIPCIÓN</v>
          </cell>
          <cell r="C780" t="str">
            <v>TIPO</v>
          </cell>
          <cell r="D780" t="str">
            <v>VOLUMEN/PESO</v>
          </cell>
          <cell r="E780" t="str">
            <v>DISTANCIA</v>
          </cell>
          <cell r="F780" t="str">
            <v>TARIFA</v>
          </cell>
          <cell r="G780" t="str">
            <v>VR. UNITARIO</v>
          </cell>
        </row>
        <row r="781">
          <cell r="A781" t="str">
            <v>TR002</v>
          </cell>
          <cell r="B781" t="str">
            <v>TRANSPORTE DE MATERIALES DE PLAYA (ARENILLON, PIEDRA RODADA DE RIO DMAX=1") 0-1KM</v>
          </cell>
          <cell r="C781" t="str">
            <v>PLAYA</v>
          </cell>
          <cell r="D781">
            <v>1.218</v>
          </cell>
          <cell r="E781">
            <v>1</v>
          </cell>
          <cell r="F781">
            <v>6100</v>
          </cell>
          <cell r="G781">
            <v>7429.8</v>
          </cell>
        </row>
        <row r="782">
          <cell r="A782" t="str">
            <v>TR007</v>
          </cell>
          <cell r="B782" t="str">
            <v>TRANSPORTE DE INSUMOS GENERALES 0-10 KM</v>
          </cell>
          <cell r="C782" t="str">
            <v>INSUMOS</v>
          </cell>
          <cell r="D782">
            <v>0.36399999999999999</v>
          </cell>
          <cell r="E782">
            <v>1</v>
          </cell>
          <cell r="F782">
            <v>4250</v>
          </cell>
          <cell r="G782">
            <v>1547</v>
          </cell>
        </row>
        <row r="783">
          <cell r="F783" t="str">
            <v>SUBTOTAL</v>
          </cell>
          <cell r="G783">
            <v>8976.7999999999993</v>
          </cell>
        </row>
        <row r="785">
          <cell r="A785" t="str">
            <v>IV. MANO DE OBRA</v>
          </cell>
        </row>
        <row r="786">
          <cell r="A786" t="str">
            <v>CÓDIGO</v>
          </cell>
          <cell r="B786" t="str">
            <v>CARGOS PERSONAL</v>
          </cell>
          <cell r="D786" t="str">
            <v>CANTIDAD</v>
          </cell>
          <cell r="E786" t="str">
            <v>JORNAL TOTAL</v>
          </cell>
          <cell r="F786" t="str">
            <v>RENDIMIENTO</v>
          </cell>
          <cell r="G786" t="str">
            <v>VR. UNITARIO</v>
          </cell>
        </row>
        <row r="787">
          <cell r="A787" t="str">
            <v>MO033</v>
          </cell>
          <cell r="B787" t="str">
            <v>OPERADOR EQUIPO LIVIANO</v>
          </cell>
          <cell r="D787">
            <v>1</v>
          </cell>
          <cell r="E787">
            <v>104675</v>
          </cell>
          <cell r="F787">
            <v>8</v>
          </cell>
          <cell r="G787">
            <v>13084.375</v>
          </cell>
        </row>
        <row r="788">
          <cell r="A788" t="str">
            <v>MO032</v>
          </cell>
          <cell r="B788" t="str">
            <v>AYUDANTE RASO</v>
          </cell>
          <cell r="D788">
            <v>3</v>
          </cell>
          <cell r="E788">
            <v>83770</v>
          </cell>
          <cell r="F788">
            <v>8</v>
          </cell>
          <cell r="G788">
            <v>31413.75</v>
          </cell>
        </row>
        <row r="789">
          <cell r="G789" t="str">
            <v/>
          </cell>
        </row>
        <row r="790">
          <cell r="A790" t="str">
            <v/>
          </cell>
          <cell r="E790" t="str">
            <v/>
          </cell>
          <cell r="F790" t="str">
            <v/>
          </cell>
          <cell r="G790" t="str">
            <v/>
          </cell>
        </row>
        <row r="791">
          <cell r="F791" t="str">
            <v>SUBTOTAL</v>
          </cell>
          <cell r="G791">
            <v>44498.125</v>
          </cell>
        </row>
        <row r="793">
          <cell r="A793" t="str">
            <v>V. SERVICIOS</v>
          </cell>
        </row>
        <row r="794">
          <cell r="A794" t="str">
            <v>CÓDIGO</v>
          </cell>
          <cell r="B794" t="str">
            <v>DESCRIPCIÓN</v>
          </cell>
          <cell r="D794" t="str">
            <v>UNIDAD</v>
          </cell>
          <cell r="E794" t="str">
            <v>CANTIDAD</v>
          </cell>
          <cell r="F794" t="str">
            <v>PRECIO UNIT.</v>
          </cell>
          <cell r="G794" t="str">
            <v>VR. UNITARIO</v>
          </cell>
        </row>
        <row r="795">
          <cell r="A795" t="str">
            <v/>
          </cell>
          <cell r="D795" t="str">
            <v/>
          </cell>
          <cell r="F795" t="str">
            <v/>
          </cell>
          <cell r="G795" t="str">
            <v/>
          </cell>
        </row>
        <row r="796">
          <cell r="A796" t="str">
            <v/>
          </cell>
          <cell r="D796" t="str">
            <v/>
          </cell>
          <cell r="F796" t="str">
            <v/>
          </cell>
          <cell r="G796" t="str">
            <v/>
          </cell>
        </row>
        <row r="797">
          <cell r="A797" t="str">
            <v/>
          </cell>
          <cell r="D797" t="str">
            <v/>
          </cell>
          <cell r="F797" t="str">
            <v/>
          </cell>
          <cell r="G797" t="str">
            <v/>
          </cell>
        </row>
        <row r="798">
          <cell r="F798" t="str">
            <v>SUBTOTAL</v>
          </cell>
          <cell r="G798" t="str">
            <v/>
          </cell>
        </row>
        <row r="800">
          <cell r="A800" t="str">
            <v>TOTAL COSTO DIRECTO</v>
          </cell>
          <cell r="G800">
            <v>400752</v>
          </cell>
        </row>
        <row r="802">
          <cell r="A802" t="str">
            <v>2. COSTOS INDIRECTOS</v>
          </cell>
        </row>
        <row r="804">
          <cell r="A804" t="str">
            <v>DESCRIPCIÓN</v>
          </cell>
          <cell r="F804" t="str">
            <v>PORCENTAJE</v>
          </cell>
          <cell r="G804" t="str">
            <v>VALOR TOTAL</v>
          </cell>
        </row>
        <row r="805">
          <cell r="A805" t="str">
            <v>ADMINISTRACION</v>
          </cell>
          <cell r="F805">
            <v>0.33389999999999997</v>
          </cell>
          <cell r="G805">
            <v>133811.09279999998</v>
          </cell>
        </row>
        <row r="806">
          <cell r="A806" t="str">
            <v>IMPREVISTOS</v>
          </cell>
          <cell r="F806" t="str">
            <v/>
          </cell>
          <cell r="G806" t="str">
            <v/>
          </cell>
        </row>
        <row r="807">
          <cell r="A807" t="str">
            <v>UTILIDADES</v>
          </cell>
          <cell r="F807">
            <v>0.05</v>
          </cell>
          <cell r="G807">
            <v>20037.600000000002</v>
          </cell>
        </row>
        <row r="808">
          <cell r="A808" t="str">
            <v>TOTAL COSTO INDIRECTO</v>
          </cell>
          <cell r="F808">
            <v>0.38389999999999996</v>
          </cell>
          <cell r="G808">
            <v>153849</v>
          </cell>
        </row>
        <row r="810">
          <cell r="A810" t="str">
            <v>PRECIO UNITARIO TOTAL APROXIMADO AL PESO</v>
          </cell>
          <cell r="G810">
            <v>554601</v>
          </cell>
        </row>
        <row r="815">
          <cell r="D815" t="str">
            <v>FIRMA RESPONSABLE</v>
          </cell>
        </row>
      </sheetData>
      <sheetData sheetId="15">
        <row r="7">
          <cell r="A7" t="str">
            <v>CÓDIGO</v>
          </cell>
          <cell r="B7" t="str">
            <v>DESCRIPCIÓN</v>
          </cell>
          <cell r="C7" t="str">
            <v>UNIDAD</v>
          </cell>
          <cell r="D7" t="str">
            <v>VALOR UNITARIO</v>
          </cell>
        </row>
        <row r="8">
          <cell r="A8" t="str">
            <v>EQ001</v>
          </cell>
          <cell r="B8" t="str">
            <v>HERRAMIENTA MENOR (5% DE LA MANO DE OBRA)</v>
          </cell>
          <cell r="C8" t="str">
            <v>%</v>
          </cell>
          <cell r="D8">
            <v>0.05</v>
          </cell>
        </row>
        <row r="9">
          <cell r="A9" t="str">
            <v>EQ002</v>
          </cell>
          <cell r="B9" t="str">
            <v>ESTACIÓN TOTAL</v>
          </cell>
          <cell r="C9" t="str">
            <v>DÍA</v>
          </cell>
          <cell r="D9">
            <v>85000</v>
          </cell>
        </row>
        <row r="10">
          <cell r="A10" t="str">
            <v>EQ003</v>
          </cell>
          <cell r="B10" t="str">
            <v>NIVEL DE PRECISIÓN</v>
          </cell>
          <cell r="C10" t="str">
            <v>DÍA</v>
          </cell>
          <cell r="D10">
            <v>65000</v>
          </cell>
        </row>
        <row r="11">
          <cell r="A11" t="str">
            <v>EQ004</v>
          </cell>
          <cell r="B11" t="str">
            <v>CONCRETADORA 1.5 SACOS A GASOLINA</v>
          </cell>
          <cell r="C11" t="str">
            <v>DÍA</v>
          </cell>
          <cell r="D11">
            <v>78000</v>
          </cell>
        </row>
        <row r="12">
          <cell r="A12" t="str">
            <v>EQ005</v>
          </cell>
          <cell r="B12" t="str">
            <v>VEHÍCULO DOBLE TRACCIÓN, DOBLE CABINA, 2000 CC O SUPERIOR (MODELO 2015 O SUPERIOR)  TARIFA DE ALQUILER TIEMPO COMPLETO, INCLUYE COMBUSTIBLE Y CONDUCTOR. SE DEBE GARANTIZAR PERMANENCIA DE LOS VEHÍCULOS DURANTE TODA LA EJECUCIÓN DEL PROYECTO.</v>
          </cell>
          <cell r="C12" t="str">
            <v>MES</v>
          </cell>
          <cell r="D12">
            <v>7800000</v>
          </cell>
        </row>
        <row r="13">
          <cell r="A13" t="str">
            <v>EQ006</v>
          </cell>
          <cell r="B13" t="str">
            <v xml:space="preserve">MOTO ALQUILER MODELO 2014 O SUPERIOR  - TARIFA DE ALQUILER </v>
          </cell>
          <cell r="C13" t="str">
            <v>MES</v>
          </cell>
          <cell r="D13">
            <v>680000</v>
          </cell>
        </row>
        <row r="14">
          <cell r="A14" t="str">
            <v>EQ007</v>
          </cell>
          <cell r="B14" t="str">
            <v>TARIFA PUESTO DE TRABAJO DEL PERSONAL DE OFICINA DE CAMPO, INCLUYE: ALQUILER DE UN (1) EQUIPO DE COMPUTO COMPLETO, ESCRITORIO, SILLA Y OTROS ENSERES DE OFICINA POR PUESTO DE TRABAJO</v>
          </cell>
          <cell r="C14" t="str">
            <v>MES</v>
          </cell>
          <cell r="D14">
            <v>250000</v>
          </cell>
        </row>
        <row r="15">
          <cell r="A15" t="str">
            <v>EQ008</v>
          </cell>
          <cell r="B15" t="str">
            <v>IMPRESORA EN OBRA (ALQUILER)</v>
          </cell>
          <cell r="C15" t="str">
            <v>MES</v>
          </cell>
          <cell r="D15">
            <v>80000</v>
          </cell>
        </row>
        <row r="16">
          <cell r="A16" t="str">
            <v>EQ009</v>
          </cell>
          <cell r="B16" t="str">
            <v>COMUNICACIONES (TELÉFONO, FAX, CELULAR, INTERNET, ETC.) MENSUAL EN CAMPO</v>
          </cell>
          <cell r="C16" t="str">
            <v>MES</v>
          </cell>
          <cell r="D16">
            <v>60000</v>
          </cell>
        </row>
        <row r="17">
          <cell r="A17" t="str">
            <v>EQ010</v>
          </cell>
          <cell r="B17" t="str">
            <v>RADIOTELÉFONOS PARE-SIGA</v>
          </cell>
          <cell r="C17" t="str">
            <v>MES</v>
          </cell>
          <cell r="D17">
            <v>80000</v>
          </cell>
        </row>
        <row r="18">
          <cell r="A18" t="str">
            <v>EQ011</v>
          </cell>
          <cell r="B18" t="str">
            <v>ALQUILER BAÑOS PORTÁTILES + MANTENIMIENTO Y LIMPIEZA</v>
          </cell>
          <cell r="C18" t="str">
            <v>MES</v>
          </cell>
          <cell r="D18">
            <v>1800000</v>
          </cell>
        </row>
        <row r="19">
          <cell r="A19" t="str">
            <v>EQ012</v>
          </cell>
          <cell r="B19" t="str">
            <v>EQUIPO COMPLETO PARA GEORREFERENCIACIÓN Y CAPTURA , ALMACENAMIENTO, ANALISIS, TRANSFORMACIÓN Y PRESENTACIÓN DE TODA LA INFORMACIÓN GEOGRÁFICA Y SUS ATRIBUTOS, INCLUYE SOFTWARE</v>
          </cell>
          <cell r="C19" t="str">
            <v>MES</v>
          </cell>
          <cell r="D19">
            <v>780000</v>
          </cell>
        </row>
        <row r="20">
          <cell r="A20" t="str">
            <v>EQ013</v>
          </cell>
          <cell r="B20" t="str">
            <v>HERRAMIENTAS DE CAMPO (CÁMARA-EQUIPO DE MEDICIÓN-LASER Y HERRAMIENTA MENOR)</v>
          </cell>
          <cell r="C20" t="str">
            <v>MES</v>
          </cell>
          <cell r="D20">
            <v>221640</v>
          </cell>
        </row>
        <row r="21">
          <cell r="A21" t="str">
            <v>EQ014</v>
          </cell>
          <cell r="B21" t="str">
            <v>RETROEXCAVADORA ORUGA</v>
          </cell>
          <cell r="C21" t="str">
            <v>HORA</v>
          </cell>
          <cell r="D21">
            <v>280000</v>
          </cell>
        </row>
        <row r="22">
          <cell r="A22" t="str">
            <v>EQ015</v>
          </cell>
          <cell r="B22" t="str">
            <v>BULLDOZER CAT D6H O SIMLAR</v>
          </cell>
          <cell r="C22" t="str">
            <v>HORA</v>
          </cell>
          <cell r="D22">
            <v>280000</v>
          </cell>
        </row>
        <row r="23">
          <cell r="A23" t="str">
            <v>EQ016</v>
          </cell>
          <cell r="B23" t="str">
            <v>COMPACTADOR VIBRATORIO INGERSOLL RAND DD-110HF O EQUIVALENTE</v>
          </cell>
          <cell r="C23" t="str">
            <v>HORA</v>
          </cell>
          <cell r="D23">
            <v>200000</v>
          </cell>
        </row>
        <row r="24">
          <cell r="A24" t="str">
            <v>EQ017</v>
          </cell>
          <cell r="B24" t="str">
            <v>MOTONIVELADORA CATERPILLAR 120 - 140</v>
          </cell>
          <cell r="C24" t="str">
            <v>HORA</v>
          </cell>
          <cell r="D24">
            <v>180000</v>
          </cell>
        </row>
        <row r="25">
          <cell r="A25" t="str">
            <v>EQ018</v>
          </cell>
          <cell r="B25" t="str">
            <v>CARROTANQUE  AGUA</v>
          </cell>
          <cell r="C25" t="str">
            <v>HORA</v>
          </cell>
          <cell r="D25">
            <v>68000</v>
          </cell>
        </row>
        <row r="26">
          <cell r="A26" t="str">
            <v>EQ019</v>
          </cell>
          <cell r="B26" t="str">
            <v>COMPACTADOR TIPO RANA A GASOLINA (INCLUYE COMBUSTIBLE)</v>
          </cell>
          <cell r="C26" t="str">
            <v>DÍA</v>
          </cell>
          <cell r="D26">
            <v>65000</v>
          </cell>
        </row>
        <row r="27">
          <cell r="A27" t="str">
            <v>EQ020</v>
          </cell>
          <cell r="B27" t="str">
            <v>RETROEXCAVADORA LLANTA</v>
          </cell>
          <cell r="C27" t="str">
            <v>HORA</v>
          </cell>
          <cell r="D27">
            <v>160000</v>
          </cell>
        </row>
        <row r="28">
          <cell r="A28" t="str">
            <v>EQ021</v>
          </cell>
          <cell r="B28" t="str">
            <v>COMPACTADOR VIBRATORIO 11 TON.</v>
          </cell>
          <cell r="C28" t="str">
            <v>HORA</v>
          </cell>
          <cell r="D28">
            <v>175000</v>
          </cell>
        </row>
        <row r="29">
          <cell r="A29" t="str">
            <v>EQ022</v>
          </cell>
          <cell r="B29" t="str">
            <v>CIZALLA DE BANCO CORTA PERNO, INCLUYE DADOS</v>
          </cell>
          <cell r="C29" t="str">
            <v>HORA</v>
          </cell>
          <cell r="D29">
            <v>2500</v>
          </cell>
        </row>
        <row r="30">
          <cell r="A30" t="str">
            <v>EQ023</v>
          </cell>
          <cell r="B30" t="str">
            <v>SIERRA CIRCULAR</v>
          </cell>
          <cell r="C30" t="str">
            <v>DÍA</v>
          </cell>
          <cell r="D30">
            <v>28000</v>
          </cell>
        </row>
        <row r="31">
          <cell r="A31" t="str">
            <v>EQ024</v>
          </cell>
          <cell r="B31" t="str">
            <v>VIBRADOR DE CONCRETO A GASOLINA (ALQUILER)</v>
          </cell>
          <cell r="C31" t="str">
            <v>DÍA</v>
          </cell>
          <cell r="D31">
            <v>67000</v>
          </cell>
        </row>
        <row r="32">
          <cell r="A32" t="str">
            <v>EQ025</v>
          </cell>
          <cell r="B32" t="str">
            <v>FINISHER</v>
          </cell>
          <cell r="C32" t="str">
            <v>HORA</v>
          </cell>
          <cell r="D32">
            <v>320000</v>
          </cell>
        </row>
        <row r="33">
          <cell r="A33" t="str">
            <v>EQ026</v>
          </cell>
          <cell r="B33" t="str">
            <v>VEHÍCULO DELINEADOR PARA PINTAR LÍNEAS DE 10 A 20 CM</v>
          </cell>
          <cell r="C33" t="str">
            <v>DÍA</v>
          </cell>
          <cell r="D33">
            <v>168000</v>
          </cell>
        </row>
        <row r="34">
          <cell r="A34" t="str">
            <v>EQ027</v>
          </cell>
          <cell r="B34" t="str">
            <v>CAMIONETA D300</v>
          </cell>
          <cell r="C34" t="str">
            <v>DÍA</v>
          </cell>
          <cell r="D34">
            <v>310000</v>
          </cell>
        </row>
        <row r="35">
          <cell r="A35" t="str">
            <v>EQ028</v>
          </cell>
          <cell r="B35" t="str">
            <v>COMPACTADOR NEUMATICO O DE LLANTAS</v>
          </cell>
          <cell r="C35" t="str">
            <v>HORA</v>
          </cell>
          <cell r="D35">
            <v>113050</v>
          </cell>
        </row>
        <row r="36">
          <cell r="A36" t="str">
            <v>EQ029</v>
          </cell>
          <cell r="B36" t="str">
            <v>COMPRESOR NEUMATICO 1 MARTILLO</v>
          </cell>
          <cell r="C36" t="str">
            <v>HORA</v>
          </cell>
          <cell r="D36">
            <v>46000</v>
          </cell>
        </row>
        <row r="37">
          <cell r="A37" t="str">
            <v>EQ030</v>
          </cell>
          <cell r="B37" t="str">
            <v xml:space="preserve">FORMALETA METALICA (CONCRETO HIDRAULICO) </v>
          </cell>
          <cell r="C37" t="str">
            <v>DIA</v>
          </cell>
          <cell r="D37">
            <v>62000</v>
          </cell>
        </row>
        <row r="38">
          <cell r="A38" t="str">
            <v>EQ031</v>
          </cell>
          <cell r="B38" t="str">
            <v>CIZALLA MANUAL</v>
          </cell>
          <cell r="C38" t="str">
            <v>HORA</v>
          </cell>
          <cell r="D38">
            <v>800</v>
          </cell>
        </row>
        <row r="39">
          <cell r="A39" t="str">
            <v>EQ032</v>
          </cell>
          <cell r="B39" t="str">
            <v>VOLQUETA 15 M3</v>
          </cell>
          <cell r="C39" t="str">
            <v>HORA</v>
          </cell>
          <cell r="D39">
            <v>140000</v>
          </cell>
        </row>
        <row r="40">
          <cell r="A40" t="str">
            <v>EQ033</v>
          </cell>
          <cell r="B40" t="str">
            <v xml:space="preserve">CORTADORA DE PAVIMENTOS </v>
          </cell>
          <cell r="C40" t="str">
            <v>HORA</v>
          </cell>
          <cell r="D40">
            <v>24000</v>
          </cell>
        </row>
        <row r="41">
          <cell r="A41" t="str">
            <v>EQ034</v>
          </cell>
          <cell r="B41" t="str">
            <v>Formaleta de cuerpo MH D=1,20m</v>
          </cell>
          <cell r="C41" t="str">
            <v>DIA</v>
          </cell>
          <cell r="D41">
            <v>150000</v>
          </cell>
        </row>
        <row r="44">
          <cell r="B44" t="str">
            <v>RONALD ROBLEDO ROBLEDO</v>
          </cell>
        </row>
        <row r="45">
          <cell r="B45" t="str">
            <v>ING. CIVIL</v>
          </cell>
        </row>
      </sheetData>
      <sheetData sheetId="16" refreshError="1"/>
      <sheetData sheetId="17">
        <row r="7">
          <cell r="A7" t="str">
            <v>CÓDIGO</v>
          </cell>
          <cell r="B7" t="str">
            <v>CARGO</v>
          </cell>
          <cell r="C7" t="str">
            <v>CLASE</v>
          </cell>
          <cell r="D7" t="str">
            <v>SALARIO MENSUAL</v>
          </cell>
          <cell r="E7" t="str">
            <v>FACTOR PRESTACIONAL</v>
          </cell>
          <cell r="F7" t="str">
            <v>JORNAL</v>
          </cell>
          <cell r="G7" t="str">
            <v>PRESTACIONES</v>
          </cell>
          <cell r="H7" t="str">
            <v>JORNAL TOTAL</v>
          </cell>
        </row>
        <row r="8">
          <cell r="A8" t="str">
            <v>MO001</v>
          </cell>
          <cell r="B8" t="str">
            <v>DIRECTOR DE OBRA</v>
          </cell>
          <cell r="C8" t="str">
            <v>ADMÓN</v>
          </cell>
          <cell r="D8">
            <v>7117500</v>
          </cell>
          <cell r="E8">
            <v>1.5</v>
          </cell>
          <cell r="F8">
            <v>234000</v>
          </cell>
          <cell r="G8">
            <v>116940</v>
          </cell>
          <cell r="H8">
            <v>350940</v>
          </cell>
        </row>
        <row r="9">
          <cell r="A9" t="str">
            <v>MO002</v>
          </cell>
          <cell r="B9" t="str">
            <v>DIRECTOR DE INTERVENTORÍA</v>
          </cell>
          <cell r="C9" t="str">
            <v>ADMÓN</v>
          </cell>
          <cell r="D9">
            <v>7117500</v>
          </cell>
          <cell r="E9">
            <v>1.5</v>
          </cell>
          <cell r="F9">
            <v>234000</v>
          </cell>
          <cell r="G9">
            <v>116940</v>
          </cell>
          <cell r="H9">
            <v>350940</v>
          </cell>
        </row>
        <row r="10">
          <cell r="A10" t="str">
            <v>MO003</v>
          </cell>
          <cell r="B10" t="str">
            <v>RESIDENTE DE OBRA</v>
          </cell>
          <cell r="C10" t="str">
            <v>ADMÓN</v>
          </cell>
          <cell r="D10">
            <v>4270500</v>
          </cell>
          <cell r="E10">
            <v>1.51</v>
          </cell>
          <cell r="F10">
            <v>140400</v>
          </cell>
          <cell r="G10">
            <v>71169</v>
          </cell>
          <cell r="H10">
            <v>211569</v>
          </cell>
        </row>
        <row r="11">
          <cell r="A11" t="str">
            <v>MO004</v>
          </cell>
          <cell r="B11" t="str">
            <v>RESIDENTE DE INTERVENTORÍA</v>
          </cell>
          <cell r="C11" t="str">
            <v>ADMÓN</v>
          </cell>
          <cell r="D11">
            <v>4270500</v>
          </cell>
          <cell r="E11">
            <v>1.51</v>
          </cell>
          <cell r="F11">
            <v>140400</v>
          </cell>
          <cell r="G11">
            <v>71169</v>
          </cell>
          <cell r="H11">
            <v>211569</v>
          </cell>
        </row>
        <row r="12">
          <cell r="A12" t="str">
            <v>MO005</v>
          </cell>
          <cell r="B12" t="str">
            <v>RESIDENTE AMBIENTAL</v>
          </cell>
          <cell r="C12" t="str">
            <v>ADMÓN</v>
          </cell>
          <cell r="D12">
            <v>4270500</v>
          </cell>
          <cell r="E12">
            <v>1.51</v>
          </cell>
          <cell r="F12">
            <v>140400</v>
          </cell>
          <cell r="G12">
            <v>71169</v>
          </cell>
          <cell r="H12">
            <v>211569</v>
          </cell>
        </row>
        <row r="13">
          <cell r="A13" t="str">
            <v>MO006</v>
          </cell>
          <cell r="B13" t="str">
            <v>RESIDENTE SOCIAL</v>
          </cell>
          <cell r="C13" t="str">
            <v>ADMÓN</v>
          </cell>
          <cell r="D13">
            <v>4270500</v>
          </cell>
          <cell r="E13">
            <v>1.51</v>
          </cell>
          <cell r="F13">
            <v>140400</v>
          </cell>
          <cell r="G13">
            <v>71169</v>
          </cell>
          <cell r="H13">
            <v>211569</v>
          </cell>
        </row>
        <row r="14">
          <cell r="A14" t="str">
            <v>MO007</v>
          </cell>
          <cell r="B14" t="str">
            <v>AUXILIAR DE RESIDENCIA</v>
          </cell>
          <cell r="C14" t="str">
            <v>ADMÓN</v>
          </cell>
          <cell r="D14">
            <v>4270500</v>
          </cell>
          <cell r="E14">
            <v>1.51</v>
          </cell>
          <cell r="F14">
            <v>140400</v>
          </cell>
          <cell r="G14">
            <v>71169</v>
          </cell>
          <cell r="H14">
            <v>211569</v>
          </cell>
        </row>
        <row r="15">
          <cell r="A15" t="str">
            <v>MO008</v>
          </cell>
          <cell r="B15" t="str">
            <v>TECNÓLOGO SST</v>
          </cell>
          <cell r="C15" t="str">
            <v>ADMÓN</v>
          </cell>
          <cell r="D15">
            <v>3274050</v>
          </cell>
          <cell r="E15">
            <v>1.51</v>
          </cell>
          <cell r="F15">
            <v>107640</v>
          </cell>
          <cell r="G15">
            <v>55150</v>
          </cell>
          <cell r="H15">
            <v>162790</v>
          </cell>
        </row>
        <row r="16">
          <cell r="A16" t="str">
            <v>MO009</v>
          </cell>
          <cell r="B16" t="str">
            <v>ASESOR LEGAL</v>
          </cell>
          <cell r="C16" t="str">
            <v>ADMÓN</v>
          </cell>
          <cell r="D16">
            <v>9537450</v>
          </cell>
          <cell r="E16">
            <v>1.5</v>
          </cell>
          <cell r="F16">
            <v>313560</v>
          </cell>
          <cell r="G16">
            <v>155845</v>
          </cell>
          <cell r="H16">
            <v>469405</v>
          </cell>
        </row>
        <row r="17">
          <cell r="A17" t="str">
            <v>MO010</v>
          </cell>
          <cell r="B17" t="str">
            <v>CONTADOR</v>
          </cell>
          <cell r="C17" t="str">
            <v>ADMÓN</v>
          </cell>
          <cell r="D17">
            <v>6548100</v>
          </cell>
          <cell r="E17">
            <v>1.5</v>
          </cell>
          <cell r="F17">
            <v>215280</v>
          </cell>
          <cell r="G17">
            <v>107786</v>
          </cell>
          <cell r="H17">
            <v>323066</v>
          </cell>
        </row>
        <row r="18">
          <cell r="A18" t="str">
            <v>MO011</v>
          </cell>
          <cell r="B18" t="str">
            <v>ALMACENISTA</v>
          </cell>
          <cell r="C18" t="str">
            <v>ADMÓN</v>
          </cell>
          <cell r="D18">
            <v>2633475</v>
          </cell>
          <cell r="E18">
            <v>1.64</v>
          </cell>
          <cell r="F18">
            <v>86580</v>
          </cell>
          <cell r="G18">
            <v>55678</v>
          </cell>
          <cell r="H18">
            <v>142258</v>
          </cell>
        </row>
        <row r="19">
          <cell r="A19" t="str">
            <v>MO012</v>
          </cell>
          <cell r="B19" t="str">
            <v>AUXILIAR DE ALMACÉN</v>
          </cell>
          <cell r="C19" t="str">
            <v>ADMÓN</v>
          </cell>
          <cell r="D19">
            <v>2064075</v>
          </cell>
          <cell r="E19">
            <v>1.69</v>
          </cell>
          <cell r="F19">
            <v>67860</v>
          </cell>
          <cell r="G19">
            <v>46524</v>
          </cell>
          <cell r="H19">
            <v>114384</v>
          </cell>
        </row>
        <row r="20">
          <cell r="A20" t="str">
            <v>MO013</v>
          </cell>
          <cell r="B20" t="str">
            <v>SECRETARIA</v>
          </cell>
          <cell r="C20" t="str">
            <v>ADMÓN</v>
          </cell>
          <cell r="D20">
            <v>1423500</v>
          </cell>
          <cell r="E20">
            <v>1.77</v>
          </cell>
          <cell r="F20">
            <v>46800</v>
          </cell>
          <cell r="G20">
            <v>36225</v>
          </cell>
          <cell r="H20">
            <v>83025</v>
          </cell>
        </row>
        <row r="21">
          <cell r="A21" t="str">
            <v>MO014</v>
          </cell>
          <cell r="B21" t="str">
            <v>MENSAJERO</v>
          </cell>
          <cell r="C21" t="str">
            <v>ADMÓN</v>
          </cell>
          <cell r="D21">
            <v>1423500</v>
          </cell>
          <cell r="E21">
            <v>1.77</v>
          </cell>
          <cell r="F21">
            <v>46800</v>
          </cell>
          <cell r="G21">
            <v>36225</v>
          </cell>
          <cell r="H21">
            <v>83025</v>
          </cell>
        </row>
        <row r="22">
          <cell r="A22" t="str">
            <v>MO015</v>
          </cell>
          <cell r="B22" t="str">
            <v>VIGILANTE</v>
          </cell>
          <cell r="C22" t="str">
            <v>ADMÓN</v>
          </cell>
          <cell r="D22">
            <v>1423500</v>
          </cell>
          <cell r="E22">
            <v>1.77</v>
          </cell>
          <cell r="F22">
            <v>46800</v>
          </cell>
          <cell r="G22">
            <v>36225</v>
          </cell>
          <cell r="H22">
            <v>83025</v>
          </cell>
        </row>
        <row r="23">
          <cell r="A23" t="str">
            <v>MO016</v>
          </cell>
          <cell r="B23" t="str">
            <v>TOPÓGRAFO</v>
          </cell>
          <cell r="C23" t="str">
            <v>OBRA</v>
          </cell>
          <cell r="D23">
            <v>6832800</v>
          </cell>
          <cell r="E23">
            <v>1.5</v>
          </cell>
          <cell r="F23">
            <v>224640</v>
          </cell>
          <cell r="G23">
            <v>113107</v>
          </cell>
          <cell r="H23">
            <v>337747</v>
          </cell>
        </row>
        <row r="24">
          <cell r="A24" t="str">
            <v>MO017</v>
          </cell>
          <cell r="B24" t="str">
            <v>CADENERO 1</v>
          </cell>
          <cell r="C24" t="str">
            <v>OBRA</v>
          </cell>
          <cell r="D24">
            <v>3345225</v>
          </cell>
          <cell r="E24">
            <v>1.53</v>
          </cell>
          <cell r="F24">
            <v>109980</v>
          </cell>
          <cell r="G24">
            <v>58074</v>
          </cell>
          <cell r="H24">
            <v>168054</v>
          </cell>
        </row>
        <row r="25">
          <cell r="A25" t="str">
            <v>MO018</v>
          </cell>
          <cell r="B25" t="str">
            <v>CADENERO 2</v>
          </cell>
          <cell r="C25" t="str">
            <v>OBRA</v>
          </cell>
          <cell r="D25">
            <v>1921725</v>
          </cell>
          <cell r="E25">
            <v>1.71</v>
          </cell>
          <cell r="F25">
            <v>63180</v>
          </cell>
          <cell r="G25">
            <v>44980</v>
          </cell>
          <cell r="H25">
            <v>108160</v>
          </cell>
        </row>
        <row r="26">
          <cell r="A26" t="str">
            <v>MO019</v>
          </cell>
          <cell r="B26" t="str">
            <v>MAESTRO PRIMERO</v>
          </cell>
          <cell r="C26" t="str">
            <v>OBRA</v>
          </cell>
          <cell r="D26">
            <v>4270500</v>
          </cell>
          <cell r="E26">
            <v>1.51</v>
          </cell>
          <cell r="F26">
            <v>140400</v>
          </cell>
          <cell r="G26">
            <v>71914</v>
          </cell>
          <cell r="H26">
            <v>212314</v>
          </cell>
        </row>
        <row r="27">
          <cell r="A27" t="str">
            <v>MO020</v>
          </cell>
          <cell r="B27" t="str">
            <v>MAESTRO SEGUNDO</v>
          </cell>
          <cell r="C27" t="str">
            <v>OBRA</v>
          </cell>
          <cell r="D27">
            <v>3274050</v>
          </cell>
          <cell r="E27">
            <v>1.52</v>
          </cell>
          <cell r="F27">
            <v>107640</v>
          </cell>
          <cell r="G27">
            <v>55894</v>
          </cell>
          <cell r="H27">
            <v>163534</v>
          </cell>
        </row>
        <row r="28">
          <cell r="A28" t="str">
            <v>MO021</v>
          </cell>
          <cell r="B28" t="str">
            <v>OFICIAL ELÉCTRICO</v>
          </cell>
          <cell r="C28" t="str">
            <v>OBRA</v>
          </cell>
          <cell r="D28">
            <v>3914625</v>
          </cell>
          <cell r="E28">
            <v>1.52</v>
          </cell>
          <cell r="F28">
            <v>128700</v>
          </cell>
          <cell r="G28">
            <v>67228</v>
          </cell>
          <cell r="H28">
            <v>195928</v>
          </cell>
        </row>
        <row r="29">
          <cell r="A29" t="str">
            <v>MO022</v>
          </cell>
          <cell r="B29" t="str">
            <v>AYUDANTE ELÉCTRICO</v>
          </cell>
          <cell r="C29" t="str">
            <v>OBRA</v>
          </cell>
          <cell r="D29">
            <v>1850550</v>
          </cell>
          <cell r="E29">
            <v>1.72</v>
          </cell>
          <cell r="F29">
            <v>60840</v>
          </cell>
          <cell r="G29">
            <v>43835</v>
          </cell>
          <cell r="H29">
            <v>104675</v>
          </cell>
        </row>
        <row r="30">
          <cell r="A30" t="str">
            <v>MO023</v>
          </cell>
          <cell r="B30" t="str">
            <v>OFICIAL PLOMERO</v>
          </cell>
          <cell r="C30" t="str">
            <v>OBRA</v>
          </cell>
          <cell r="D30">
            <v>2847000</v>
          </cell>
          <cell r="E30">
            <v>1.64</v>
          </cell>
          <cell r="F30">
            <v>93600</v>
          </cell>
          <cell r="G30">
            <v>59855</v>
          </cell>
          <cell r="H30">
            <v>153455</v>
          </cell>
        </row>
        <row r="31">
          <cell r="A31" t="str">
            <v>MO024</v>
          </cell>
          <cell r="B31" t="str">
            <v>AYUDANTE PLOMERO</v>
          </cell>
          <cell r="C31" t="str">
            <v>OBRA</v>
          </cell>
          <cell r="D31">
            <v>1708200</v>
          </cell>
          <cell r="E31">
            <v>1.74</v>
          </cell>
          <cell r="F31">
            <v>56160</v>
          </cell>
          <cell r="G31">
            <v>41547</v>
          </cell>
          <cell r="H31">
            <v>97707</v>
          </cell>
        </row>
        <row r="32">
          <cell r="A32" t="str">
            <v>MO025</v>
          </cell>
          <cell r="B32" t="str">
            <v>OFICIAL CARPINTERO</v>
          </cell>
          <cell r="C32" t="str">
            <v>OBRA</v>
          </cell>
          <cell r="D32">
            <v>2847000</v>
          </cell>
          <cell r="E32">
            <v>1.64</v>
          </cell>
          <cell r="F32">
            <v>93600</v>
          </cell>
          <cell r="G32">
            <v>59855</v>
          </cell>
          <cell r="H32">
            <v>153455</v>
          </cell>
        </row>
        <row r="33">
          <cell r="A33" t="str">
            <v>MO026</v>
          </cell>
          <cell r="B33" t="str">
            <v>AYUDANTE CARPINTERO</v>
          </cell>
          <cell r="C33" t="str">
            <v>OBRA</v>
          </cell>
          <cell r="D33">
            <v>1565850</v>
          </cell>
          <cell r="E33">
            <v>1.76</v>
          </cell>
          <cell r="F33">
            <v>51480</v>
          </cell>
          <cell r="G33">
            <v>39258</v>
          </cell>
          <cell r="H33">
            <v>90738</v>
          </cell>
        </row>
        <row r="34">
          <cell r="A34" t="str">
            <v>MO027</v>
          </cell>
          <cell r="B34" t="str">
            <v>OFICIAL PINTOR</v>
          </cell>
          <cell r="C34" t="str">
            <v>OBRA</v>
          </cell>
          <cell r="D34">
            <v>2847000</v>
          </cell>
          <cell r="E34">
            <v>1.64</v>
          </cell>
          <cell r="F34">
            <v>93600</v>
          </cell>
          <cell r="G34">
            <v>59855</v>
          </cell>
          <cell r="H34">
            <v>153455</v>
          </cell>
        </row>
        <row r="35">
          <cell r="A35" t="str">
            <v>MO028</v>
          </cell>
          <cell r="B35" t="str">
            <v>OFICIAL DE OBRA BLANCA</v>
          </cell>
          <cell r="C35" t="str">
            <v>OBRA</v>
          </cell>
          <cell r="D35">
            <v>2847000</v>
          </cell>
          <cell r="E35">
            <v>1.64</v>
          </cell>
          <cell r="F35">
            <v>93600</v>
          </cell>
          <cell r="G35">
            <v>59855</v>
          </cell>
          <cell r="H35">
            <v>153455</v>
          </cell>
        </row>
        <row r="36">
          <cell r="A36" t="str">
            <v>MO029</v>
          </cell>
          <cell r="B36" t="str">
            <v>OFICIAL DE OBRA NEGRA</v>
          </cell>
          <cell r="C36" t="str">
            <v>OBRA</v>
          </cell>
          <cell r="D36">
            <v>2847000</v>
          </cell>
          <cell r="E36">
            <v>1.64</v>
          </cell>
          <cell r="F36">
            <v>93600</v>
          </cell>
          <cell r="G36">
            <v>59855</v>
          </cell>
          <cell r="H36">
            <v>153455</v>
          </cell>
        </row>
        <row r="37">
          <cell r="A37" t="str">
            <v>MO030</v>
          </cell>
          <cell r="B37" t="str">
            <v>OFICIAL HIERRO</v>
          </cell>
          <cell r="C37" t="str">
            <v>OBRA</v>
          </cell>
          <cell r="D37">
            <v>2847000</v>
          </cell>
          <cell r="E37">
            <v>1.64</v>
          </cell>
          <cell r="F37">
            <v>93600</v>
          </cell>
          <cell r="G37">
            <v>59855</v>
          </cell>
          <cell r="H37">
            <v>153455</v>
          </cell>
        </row>
        <row r="38">
          <cell r="A38" t="str">
            <v>MO031</v>
          </cell>
          <cell r="B38" t="str">
            <v>AYUDANTE ENTENDIDO</v>
          </cell>
          <cell r="C38" t="str">
            <v>OBRA</v>
          </cell>
          <cell r="D38">
            <v>1850550</v>
          </cell>
          <cell r="E38">
            <v>1.72</v>
          </cell>
          <cell r="F38">
            <v>60840</v>
          </cell>
          <cell r="G38">
            <v>43835</v>
          </cell>
          <cell r="H38">
            <v>104675</v>
          </cell>
        </row>
        <row r="39">
          <cell r="A39" t="str">
            <v>MO032</v>
          </cell>
          <cell r="B39" t="str">
            <v>AYUDANTE RASO</v>
          </cell>
          <cell r="C39" t="str">
            <v>OBRA</v>
          </cell>
          <cell r="D39">
            <v>1423500</v>
          </cell>
          <cell r="E39">
            <v>1.79</v>
          </cell>
          <cell r="F39">
            <v>46800</v>
          </cell>
          <cell r="G39">
            <v>36970</v>
          </cell>
          <cell r="H39">
            <v>83770</v>
          </cell>
        </row>
        <row r="40">
          <cell r="A40" t="str">
            <v>MO033</v>
          </cell>
          <cell r="B40" t="str">
            <v>OPERADOR EQUIPO LIVIANO</v>
          </cell>
          <cell r="C40" t="str">
            <v>OBRA</v>
          </cell>
          <cell r="D40">
            <v>1850550</v>
          </cell>
          <cell r="E40">
            <v>1.72</v>
          </cell>
          <cell r="F40">
            <v>60840</v>
          </cell>
          <cell r="G40">
            <v>43835</v>
          </cell>
          <cell r="H40">
            <v>104675</v>
          </cell>
        </row>
        <row r="41">
          <cell r="A41" t="str">
            <v>MO034</v>
          </cell>
          <cell r="B41" t="str">
            <v>OPERADOR EQUIPO MEDIANO</v>
          </cell>
          <cell r="C41" t="str">
            <v>OBRA</v>
          </cell>
          <cell r="D41">
            <v>3202875</v>
          </cell>
          <cell r="E41">
            <v>1.53</v>
          </cell>
          <cell r="F41">
            <v>105300</v>
          </cell>
          <cell r="G41">
            <v>55786</v>
          </cell>
          <cell r="H41">
            <v>161086</v>
          </cell>
        </row>
        <row r="42">
          <cell r="A42" t="str">
            <v>MO035</v>
          </cell>
          <cell r="B42" t="str">
            <v>OPERADOR EQUIPO PESADO</v>
          </cell>
          <cell r="C42" t="str">
            <v>OBRA</v>
          </cell>
          <cell r="D42">
            <v>4555200</v>
          </cell>
          <cell r="E42">
            <v>1.52</v>
          </cell>
          <cell r="F42">
            <v>149760</v>
          </cell>
          <cell r="G42">
            <v>77526</v>
          </cell>
          <cell r="H42">
            <v>227286</v>
          </cell>
        </row>
        <row r="43">
          <cell r="A43" t="str">
            <v>MO036</v>
          </cell>
          <cell r="B43" t="str">
            <v>AUXILIAR HERRAMIENTA</v>
          </cell>
          <cell r="C43" t="str">
            <v>OBRA</v>
          </cell>
          <cell r="D43">
            <v>1423500</v>
          </cell>
          <cell r="E43">
            <v>1.79</v>
          </cell>
          <cell r="F43">
            <v>46800</v>
          </cell>
          <cell r="G43">
            <v>36970</v>
          </cell>
          <cell r="H43">
            <v>83770</v>
          </cell>
        </row>
        <row r="44">
          <cell r="A44" t="str">
            <v>MO037</v>
          </cell>
          <cell r="B44" t="str">
            <v>PATIERO</v>
          </cell>
          <cell r="C44" t="str">
            <v>OBRA</v>
          </cell>
          <cell r="D44">
            <v>1423500</v>
          </cell>
          <cell r="E44">
            <v>1.79</v>
          </cell>
          <cell r="F44">
            <v>46800</v>
          </cell>
          <cell r="G44">
            <v>36970</v>
          </cell>
          <cell r="H44">
            <v>83770</v>
          </cell>
        </row>
        <row r="45">
          <cell r="A45" t="str">
            <v>MO038</v>
          </cell>
          <cell r="B45" t="str">
            <v>AUXILIAR PARE-SIGA</v>
          </cell>
          <cell r="C45" t="str">
            <v>OBRA</v>
          </cell>
          <cell r="D45">
            <v>1423500</v>
          </cell>
          <cell r="E45">
            <v>1.79</v>
          </cell>
          <cell r="F45">
            <v>46800</v>
          </cell>
          <cell r="G45">
            <v>36970</v>
          </cell>
          <cell r="H45">
            <v>83770</v>
          </cell>
        </row>
        <row r="46">
          <cell r="A46" t="str">
            <v>MO039</v>
          </cell>
          <cell r="B46" t="str">
            <v>INGENIERO SIG</v>
          </cell>
          <cell r="C46" t="str">
            <v>ADMÓN</v>
          </cell>
          <cell r="D46">
            <v>7117500</v>
          </cell>
          <cell r="E46">
            <v>1.5</v>
          </cell>
          <cell r="F46">
            <v>234000</v>
          </cell>
          <cell r="G46">
            <v>116940</v>
          </cell>
          <cell r="H46">
            <v>350940</v>
          </cell>
        </row>
        <row r="47">
          <cell r="A47" t="str">
            <v>MO040</v>
          </cell>
          <cell r="B47" t="str">
            <v>TECNÓLOGO SIG</v>
          </cell>
          <cell r="C47" t="str">
            <v>ADMÓN</v>
          </cell>
          <cell r="D47">
            <v>3274050</v>
          </cell>
          <cell r="E47">
            <v>1.51</v>
          </cell>
          <cell r="F47">
            <v>107640</v>
          </cell>
          <cell r="G47">
            <v>55150</v>
          </cell>
          <cell r="H47">
            <v>162790</v>
          </cell>
        </row>
        <row r="48">
          <cell r="A48" t="str">
            <v>MO041</v>
          </cell>
          <cell r="B48" t="str">
            <v>DIRECTOR DE CONSULTORÍA</v>
          </cell>
          <cell r="C48" t="str">
            <v>ADMÓN</v>
          </cell>
          <cell r="D48">
            <v>9537450</v>
          </cell>
          <cell r="E48">
            <v>1.5</v>
          </cell>
          <cell r="F48">
            <v>313560</v>
          </cell>
          <cell r="G48">
            <v>155845</v>
          </cell>
          <cell r="H48">
            <v>469405</v>
          </cell>
        </row>
        <row r="49">
          <cell r="A49" t="str">
            <v>MO042</v>
          </cell>
          <cell r="B49" t="str">
            <v>DIBUJANTE</v>
          </cell>
          <cell r="C49" t="str">
            <v>ADMÓN</v>
          </cell>
          <cell r="D49">
            <v>3274050</v>
          </cell>
          <cell r="E49">
            <v>1.51</v>
          </cell>
          <cell r="F49">
            <v>107640</v>
          </cell>
          <cell r="G49">
            <v>55150</v>
          </cell>
          <cell r="H49">
            <v>162790</v>
          </cell>
        </row>
        <row r="50">
          <cell r="A50" t="str">
            <v>MO043</v>
          </cell>
          <cell r="B50" t="str">
            <v>INGENIERO ESPECIALISTA GEOTECNIA</v>
          </cell>
          <cell r="C50" t="str">
            <v>ADMÓN</v>
          </cell>
          <cell r="D50">
            <v>8541000</v>
          </cell>
          <cell r="E50">
            <v>1.5</v>
          </cell>
          <cell r="F50">
            <v>280800</v>
          </cell>
          <cell r="G50">
            <v>139825</v>
          </cell>
          <cell r="H50">
            <v>420625</v>
          </cell>
        </row>
        <row r="51">
          <cell r="A51" t="str">
            <v>MO044</v>
          </cell>
          <cell r="B51" t="str">
            <v>GEÓLOGO</v>
          </cell>
          <cell r="C51" t="str">
            <v>ADMÓN</v>
          </cell>
          <cell r="D51">
            <v>7829250</v>
          </cell>
          <cell r="E51">
            <v>1.5</v>
          </cell>
          <cell r="F51">
            <v>257400</v>
          </cell>
          <cell r="G51">
            <v>128382</v>
          </cell>
          <cell r="H51">
            <v>385782</v>
          </cell>
        </row>
        <row r="52">
          <cell r="A52" t="str">
            <v>MO045</v>
          </cell>
          <cell r="B52" t="str">
            <v xml:space="preserve">ARQUITECTO ESPECIALISTA URBANISMO </v>
          </cell>
          <cell r="C52" t="str">
            <v>ADMÓN</v>
          </cell>
          <cell r="D52">
            <v>8541000</v>
          </cell>
          <cell r="E52">
            <v>1.5</v>
          </cell>
          <cell r="F52">
            <v>280800</v>
          </cell>
          <cell r="G52">
            <v>139825</v>
          </cell>
          <cell r="H52">
            <v>420625</v>
          </cell>
        </row>
        <row r="53">
          <cell r="A53" t="str">
            <v>MO046</v>
          </cell>
          <cell r="B53" t="str">
            <v>ARQUITECTO ESPECIALISTA PAISAJISMO</v>
          </cell>
          <cell r="C53" t="str">
            <v>ADMÓN</v>
          </cell>
          <cell r="D53">
            <v>8541000</v>
          </cell>
          <cell r="E53">
            <v>1.5</v>
          </cell>
          <cell r="F53">
            <v>280800</v>
          </cell>
          <cell r="G53">
            <v>139825</v>
          </cell>
          <cell r="H53">
            <v>420625</v>
          </cell>
        </row>
        <row r="54">
          <cell r="A54" t="str">
            <v>MO047</v>
          </cell>
          <cell r="B54" t="str">
            <v>ARQUITECTO DISEÑADOR</v>
          </cell>
          <cell r="C54" t="str">
            <v>ADMÓN</v>
          </cell>
          <cell r="D54">
            <v>7829250</v>
          </cell>
          <cell r="E54">
            <v>1.5</v>
          </cell>
          <cell r="F54">
            <v>257400</v>
          </cell>
          <cell r="G54">
            <v>128382</v>
          </cell>
          <cell r="H54">
            <v>385782</v>
          </cell>
        </row>
        <row r="55">
          <cell r="A55" t="str">
            <v>MO048</v>
          </cell>
          <cell r="B55" t="str">
            <v>INGENIERO ESPECIALISTA ESTRUCTURAL</v>
          </cell>
          <cell r="C55" t="str">
            <v>ADMÓN</v>
          </cell>
          <cell r="D55">
            <v>8541000</v>
          </cell>
          <cell r="E55">
            <v>1.5</v>
          </cell>
          <cell r="F55">
            <v>280800</v>
          </cell>
          <cell r="G55">
            <v>139825</v>
          </cell>
          <cell r="H55">
            <v>420625</v>
          </cell>
        </row>
        <row r="56">
          <cell r="A56" t="str">
            <v>MO049</v>
          </cell>
          <cell r="B56" t="str">
            <v>INGENIERO REVISOR ESTRUCTURAL</v>
          </cell>
          <cell r="C56" t="str">
            <v>ADMÓN</v>
          </cell>
          <cell r="D56">
            <v>8541000</v>
          </cell>
          <cell r="E56">
            <v>1.5</v>
          </cell>
          <cell r="F56">
            <v>280800</v>
          </cell>
          <cell r="G56">
            <v>139825</v>
          </cell>
          <cell r="H56">
            <v>420625</v>
          </cell>
        </row>
        <row r="57">
          <cell r="A57" t="str">
            <v>MO050</v>
          </cell>
          <cell r="B57" t="str">
            <v>INGENIERO ESPECIALISTA HIDRÁULICO</v>
          </cell>
          <cell r="C57" t="str">
            <v>ADMÓN</v>
          </cell>
          <cell r="D57">
            <v>8541000</v>
          </cell>
          <cell r="E57">
            <v>1.5</v>
          </cell>
          <cell r="F57">
            <v>280800</v>
          </cell>
          <cell r="G57">
            <v>139825</v>
          </cell>
          <cell r="H57">
            <v>420625</v>
          </cell>
        </row>
        <row r="58">
          <cell r="A58" t="str">
            <v>MO051</v>
          </cell>
          <cell r="B58" t="str">
            <v>INGENIERO ELECTRICISTA</v>
          </cell>
          <cell r="C58" t="str">
            <v>ADMÓN</v>
          </cell>
          <cell r="D58">
            <v>7829250</v>
          </cell>
          <cell r="E58">
            <v>1.5</v>
          </cell>
          <cell r="F58">
            <v>257400</v>
          </cell>
          <cell r="G58">
            <v>128382</v>
          </cell>
          <cell r="H58">
            <v>385782</v>
          </cell>
        </row>
        <row r="59">
          <cell r="A59" t="str">
            <v>MO052</v>
          </cell>
          <cell r="B59" t="str">
            <v>INGENIERO AMBIENTAL</v>
          </cell>
          <cell r="C59" t="str">
            <v>ADMÓN</v>
          </cell>
          <cell r="D59">
            <v>7829250</v>
          </cell>
          <cell r="E59">
            <v>1.5</v>
          </cell>
          <cell r="F59">
            <v>257400</v>
          </cell>
          <cell r="G59">
            <v>128382</v>
          </cell>
          <cell r="H59">
            <v>385782</v>
          </cell>
        </row>
        <row r="60">
          <cell r="A60" t="str">
            <v>MO053</v>
          </cell>
          <cell r="B60" t="str">
            <v>INGENIERO FORESTAL</v>
          </cell>
          <cell r="C60" t="str">
            <v>ADMÓN</v>
          </cell>
          <cell r="D60">
            <v>7829250</v>
          </cell>
          <cell r="E60">
            <v>1.5</v>
          </cell>
          <cell r="F60">
            <v>257400</v>
          </cell>
          <cell r="G60">
            <v>128382</v>
          </cell>
          <cell r="H60">
            <v>385782</v>
          </cell>
        </row>
        <row r="61">
          <cell r="A61" t="str">
            <v>MO054</v>
          </cell>
          <cell r="B61" t="str">
            <v>TÉCNICO AMBIENTAL</v>
          </cell>
          <cell r="C61" t="str">
            <v>ADMÓN</v>
          </cell>
          <cell r="D61">
            <v>2847000</v>
          </cell>
          <cell r="E61">
            <v>1.63</v>
          </cell>
          <cell r="F61">
            <v>93600</v>
          </cell>
          <cell r="G61">
            <v>59111</v>
          </cell>
          <cell r="H61">
            <v>152711</v>
          </cell>
        </row>
      </sheetData>
      <sheetData sheetId="18">
        <row r="7">
          <cell r="A7" t="str">
            <v>CÓDIGO</v>
          </cell>
          <cell r="B7" t="str">
            <v>MO001</v>
          </cell>
          <cell r="C7" t="str">
            <v>MO002</v>
          </cell>
          <cell r="D7" t="str">
            <v>MO003</v>
          </cell>
          <cell r="E7" t="str">
            <v>MO004</v>
          </cell>
          <cell r="F7" t="str">
            <v>MO005</v>
          </cell>
          <cell r="G7" t="str">
            <v>MO006</v>
          </cell>
          <cell r="H7" t="str">
            <v>MO007</v>
          </cell>
          <cell r="I7" t="str">
            <v>MO008</v>
          </cell>
          <cell r="J7" t="str">
            <v>MO009</v>
          </cell>
          <cell r="K7" t="str">
            <v>MO010</v>
          </cell>
          <cell r="L7" t="str">
            <v>MO011</v>
          </cell>
          <cell r="M7" t="str">
            <v>MO012</v>
          </cell>
          <cell r="N7" t="str">
            <v>MO013</v>
          </cell>
          <cell r="O7" t="str">
            <v>MO014</v>
          </cell>
          <cell r="P7" t="str">
            <v>MO015</v>
          </cell>
          <cell r="Q7" t="str">
            <v>MO016</v>
          </cell>
          <cell r="R7" t="str">
            <v>MO017</v>
          </cell>
          <cell r="S7" t="str">
            <v>MO018</v>
          </cell>
          <cell r="T7" t="str">
            <v>MO019</v>
          </cell>
          <cell r="U7" t="str">
            <v>MO020</v>
          </cell>
          <cell r="V7" t="str">
            <v>MO021</v>
          </cell>
          <cell r="W7" t="str">
            <v>MO022</v>
          </cell>
          <cell r="X7" t="str">
            <v>MO023</v>
          </cell>
          <cell r="Y7" t="str">
            <v>MO024</v>
          </cell>
          <cell r="Z7" t="str">
            <v>MO025</v>
          </cell>
          <cell r="AA7" t="str">
            <v>MO026</v>
          </cell>
          <cell r="AB7" t="str">
            <v>MO027</v>
          </cell>
          <cell r="AC7" t="str">
            <v>MO028</v>
          </cell>
          <cell r="AD7" t="str">
            <v>MO029</v>
          </cell>
          <cell r="AE7" t="str">
            <v>MO030</v>
          </cell>
          <cell r="AF7" t="str">
            <v>MO031</v>
          </cell>
          <cell r="AG7" t="str">
            <v>MO032</v>
          </cell>
          <cell r="AH7" t="str">
            <v>MO033</v>
          </cell>
          <cell r="AI7" t="str">
            <v>MO034</v>
          </cell>
          <cell r="AJ7" t="str">
            <v>MO035</v>
          </cell>
          <cell r="AK7" t="str">
            <v>MO036</v>
          </cell>
          <cell r="AL7" t="str">
            <v>MO037</v>
          </cell>
          <cell r="AM7" t="str">
            <v>MO038</v>
          </cell>
          <cell r="AN7" t="str">
            <v>MO039</v>
          </cell>
          <cell r="AO7" t="str">
            <v>MO040</v>
          </cell>
          <cell r="AP7" t="str">
            <v>MO041</v>
          </cell>
          <cell r="AQ7" t="str">
            <v>MO042</v>
          </cell>
          <cell r="AR7" t="str">
            <v>MO043</v>
          </cell>
          <cell r="AS7" t="str">
            <v>MO044</v>
          </cell>
          <cell r="AT7" t="str">
            <v>MO045</v>
          </cell>
          <cell r="AU7" t="str">
            <v>MO046</v>
          </cell>
          <cell r="AV7" t="str">
            <v>MO047</v>
          </cell>
          <cell r="AW7" t="str">
            <v>MO048</v>
          </cell>
          <cell r="AX7" t="str">
            <v>MO049</v>
          </cell>
          <cell r="AY7" t="str">
            <v>MO050</v>
          </cell>
          <cell r="AZ7" t="str">
            <v>MO051</v>
          </cell>
          <cell r="BA7" t="str">
            <v>MO052</v>
          </cell>
          <cell r="BB7" t="str">
            <v>MO053</v>
          </cell>
          <cell r="BC7" t="str">
            <v>MO054</v>
          </cell>
          <cell r="BD7" t="str">
            <v>MO055</v>
          </cell>
          <cell r="BE7" t="str">
            <v>MO056</v>
          </cell>
        </row>
        <row r="8">
          <cell r="A8" t="str">
            <v>CARGO</v>
          </cell>
          <cell r="B8" t="str">
            <v>DIRECTOR DE OBRA</v>
          </cell>
          <cell r="C8" t="str">
            <v>DIRECTOR DE INTERVENTORÍA</v>
          </cell>
          <cell r="D8" t="str">
            <v>RESIDENTE DE OBRA</v>
          </cell>
          <cell r="E8" t="str">
            <v>RESIDENTE DE INTERVENTORÍA</v>
          </cell>
          <cell r="F8" t="str">
            <v>RESIDENTE AMBIENTAL</v>
          </cell>
          <cell r="G8" t="str">
            <v>RESIDENTE SOCIAL</v>
          </cell>
          <cell r="H8" t="str">
            <v>AUXILIAR DE RESIDENCIA</v>
          </cell>
          <cell r="I8" t="str">
            <v>TECNÓLOGO SST</v>
          </cell>
          <cell r="J8" t="str">
            <v>ASESOR LEGAL</v>
          </cell>
          <cell r="K8" t="str">
            <v>CONTADOR</v>
          </cell>
          <cell r="L8" t="str">
            <v>ALMACENISTA</v>
          </cell>
          <cell r="M8" t="str">
            <v>AUXILIAR DE ALMACÉN</v>
          </cell>
          <cell r="N8" t="str">
            <v>SECRETARIA</v>
          </cell>
          <cell r="O8" t="str">
            <v>MENSAJERO</v>
          </cell>
          <cell r="P8" t="str">
            <v>VIGILANTE</v>
          </cell>
          <cell r="Q8" t="str">
            <v>TOPÓGRAFO</v>
          </cell>
          <cell r="R8" t="str">
            <v>CADENERO 1</v>
          </cell>
          <cell r="S8" t="str">
            <v>CADENERO 2</v>
          </cell>
          <cell r="T8" t="str">
            <v>MAESTRO PRIMERO</v>
          </cell>
          <cell r="U8" t="str">
            <v>MAESTRO SEGUNDO</v>
          </cell>
          <cell r="V8" t="str">
            <v>OFICIAL ELÉCTRICO</v>
          </cell>
          <cell r="W8" t="str">
            <v>AYUDANTE ELÉCTRICO</v>
          </cell>
          <cell r="X8" t="str">
            <v>OFICIAL PLOMERO</v>
          </cell>
          <cell r="Y8" t="str">
            <v>AYUDANTE PLOMERO</v>
          </cell>
          <cell r="Z8" t="str">
            <v>OFICIAL CARPINTERO</v>
          </cell>
          <cell r="AA8" t="str">
            <v>AYUDANTE CARPINTERO</v>
          </cell>
          <cell r="AB8" t="str">
            <v>OFICIAL PINTOR</v>
          </cell>
          <cell r="AC8" t="str">
            <v>OFICIAL DE OBRA BLANCA</v>
          </cell>
          <cell r="AD8" t="str">
            <v>OFICIAL DE OBRA NEGRA</v>
          </cell>
          <cell r="AE8" t="str">
            <v>OFICIAL HIERRO</v>
          </cell>
          <cell r="AF8" t="str">
            <v>AYUDANTE ENTENDIDO</v>
          </cell>
          <cell r="AG8" t="str">
            <v>AYUDANTE RASO</v>
          </cell>
          <cell r="AH8" t="str">
            <v>OPERADOR EQUIPO LIVIANO</v>
          </cell>
          <cell r="AI8" t="str">
            <v>OPERADOR EQUIPO MEDIANO</v>
          </cell>
          <cell r="AJ8" t="str">
            <v>OPERADOR EQUIPO PESADO</v>
          </cell>
          <cell r="AK8" t="str">
            <v>AUXILIAR HERRAMIENTA</v>
          </cell>
          <cell r="AL8" t="str">
            <v>PATIERO</v>
          </cell>
          <cell r="AM8" t="str">
            <v>AUXILIAR PARE-SIGA</v>
          </cell>
          <cell r="AN8" t="str">
            <v>INGENIERO SIG</v>
          </cell>
          <cell r="AO8" t="str">
            <v>TECNÓLOGO SIG</v>
          </cell>
          <cell r="AP8" t="str">
            <v>DIRECTOR DE CONSULTORÍA</v>
          </cell>
          <cell r="AQ8" t="str">
            <v>DIBUJANTE</v>
          </cell>
          <cell r="AR8" t="str">
            <v>INGENIERO ESPECIALISTA GEOTECNIA</v>
          </cell>
          <cell r="AS8" t="str">
            <v>GEÓLOGO</v>
          </cell>
          <cell r="AT8" t="str">
            <v xml:space="preserve">ARQUITECTO ESPECIALISTA URBANISMO </v>
          </cell>
          <cell r="AU8" t="str">
            <v>ARQUITECTO ESPECIALISTA PAISAJISMO</v>
          </cell>
          <cell r="AV8" t="str">
            <v>ARQUITECTO DISEÑADOR</v>
          </cell>
          <cell r="AW8" t="str">
            <v>INGENIERO ESPECIALISTA ESTRUCTURAL</v>
          </cell>
          <cell r="AX8" t="str">
            <v>INGENIERO REVISOR ESTRUCTURAL</v>
          </cell>
          <cell r="AY8" t="str">
            <v>INGENIERO ESPECIALISTA HIDRÁULICO</v>
          </cell>
          <cell r="AZ8" t="str">
            <v>INGENIERO ELECTRICISTA</v>
          </cell>
          <cell r="BA8" t="str">
            <v>INGENIERO AMBIENTAL</v>
          </cell>
          <cell r="BB8" t="str">
            <v>INGENIERO FORESTAL</v>
          </cell>
          <cell r="BC8" t="str">
            <v>TÉCNICO AMBIENTAL</v>
          </cell>
        </row>
        <row r="9">
          <cell r="A9" t="str">
            <v>CLASE</v>
          </cell>
          <cell r="B9" t="str">
            <v>ADMÓN</v>
          </cell>
          <cell r="C9" t="str">
            <v>ADMÓN</v>
          </cell>
          <cell r="D9" t="str">
            <v>ADMÓN</v>
          </cell>
          <cell r="E9" t="str">
            <v>ADMÓN</v>
          </cell>
          <cell r="F9" t="str">
            <v>ADMÓN</v>
          </cell>
          <cell r="G9" t="str">
            <v>ADMÓN</v>
          </cell>
          <cell r="H9" t="str">
            <v>ADMÓN</v>
          </cell>
          <cell r="I9" t="str">
            <v>ADMÓN</v>
          </cell>
          <cell r="J9" t="str">
            <v>ADMÓN</v>
          </cell>
          <cell r="K9" t="str">
            <v>ADMÓN</v>
          </cell>
          <cell r="L9" t="str">
            <v>ADMÓN</v>
          </cell>
          <cell r="M9" t="str">
            <v>ADMÓN</v>
          </cell>
          <cell r="N9" t="str">
            <v>ADMÓN</v>
          </cell>
          <cell r="O9" t="str">
            <v>ADMÓN</v>
          </cell>
          <cell r="P9" t="str">
            <v>ADMÓN</v>
          </cell>
          <cell r="Q9" t="str">
            <v>OBRA</v>
          </cell>
          <cell r="R9" t="str">
            <v>OBRA</v>
          </cell>
          <cell r="S9" t="str">
            <v>OBRA</v>
          </cell>
          <cell r="T9" t="str">
            <v>OBRA</v>
          </cell>
          <cell r="U9" t="str">
            <v>OBRA</v>
          </cell>
          <cell r="V9" t="str">
            <v>OBRA</v>
          </cell>
          <cell r="W9" t="str">
            <v>OBRA</v>
          </cell>
          <cell r="X9" t="str">
            <v>OBRA</v>
          </cell>
          <cell r="Y9" t="str">
            <v>OBRA</v>
          </cell>
          <cell r="Z9" t="str">
            <v>OBRA</v>
          </cell>
          <cell r="AA9" t="str">
            <v>OBRA</v>
          </cell>
          <cell r="AB9" t="str">
            <v>OBRA</v>
          </cell>
          <cell r="AC9" t="str">
            <v>OBRA</v>
          </cell>
          <cell r="AD9" t="str">
            <v>OBRA</v>
          </cell>
          <cell r="AE9" t="str">
            <v>OBRA</v>
          </cell>
          <cell r="AF9" t="str">
            <v>OBRA</v>
          </cell>
          <cell r="AG9" t="str">
            <v>OBRA</v>
          </cell>
          <cell r="AH9" t="str">
            <v>OBRA</v>
          </cell>
          <cell r="AI9" t="str">
            <v>OBRA</v>
          </cell>
          <cell r="AJ9" t="str">
            <v>OBRA</v>
          </cell>
          <cell r="AK9" t="str">
            <v>OBRA</v>
          </cell>
          <cell r="AL9" t="str">
            <v>OBRA</v>
          </cell>
          <cell r="AM9" t="str">
            <v>OBRA</v>
          </cell>
          <cell r="AN9" t="str">
            <v>ADMÓN</v>
          </cell>
          <cell r="AO9" t="str">
            <v>ADMÓN</v>
          </cell>
          <cell r="AP9" t="str">
            <v>ADMÓN</v>
          </cell>
          <cell r="AQ9" t="str">
            <v>ADMÓN</v>
          </cell>
          <cell r="AR9" t="str">
            <v>ADMÓN</v>
          </cell>
          <cell r="AS9" t="str">
            <v>ADMÓN</v>
          </cell>
          <cell r="AT9" t="str">
            <v>ADMÓN</v>
          </cell>
          <cell r="AU9" t="str">
            <v>ADMÓN</v>
          </cell>
          <cell r="AV9" t="str">
            <v>ADMÓN</v>
          </cell>
          <cell r="AW9" t="str">
            <v>ADMÓN</v>
          </cell>
          <cell r="AX9" t="str">
            <v>ADMÓN</v>
          </cell>
          <cell r="AY9" t="str">
            <v>ADMÓN</v>
          </cell>
          <cell r="AZ9" t="str">
            <v>ADMÓN</v>
          </cell>
          <cell r="BA9" t="str">
            <v>ADMÓN</v>
          </cell>
          <cell r="BB9" t="str">
            <v>ADMÓN</v>
          </cell>
          <cell r="BC9" t="str">
            <v>ADMÓN</v>
          </cell>
        </row>
        <row r="10">
          <cell r="A10" t="str">
            <v>SALARIO MENSUAL SMMLV</v>
          </cell>
          <cell r="B10">
            <v>5</v>
          </cell>
          <cell r="C10">
            <v>5</v>
          </cell>
          <cell r="D10">
            <v>3</v>
          </cell>
          <cell r="E10">
            <v>3</v>
          </cell>
          <cell r="F10">
            <v>3</v>
          </cell>
          <cell r="G10">
            <v>3</v>
          </cell>
          <cell r="H10">
            <v>3</v>
          </cell>
          <cell r="I10">
            <v>2.2999999999999998</v>
          </cell>
          <cell r="J10">
            <v>6.7</v>
          </cell>
          <cell r="K10">
            <v>4.5999999999999996</v>
          </cell>
          <cell r="L10">
            <v>1.85</v>
          </cell>
          <cell r="M10">
            <v>1.45</v>
          </cell>
          <cell r="N10">
            <v>1</v>
          </cell>
          <cell r="O10">
            <v>1</v>
          </cell>
          <cell r="P10">
            <v>1</v>
          </cell>
          <cell r="Q10">
            <v>4.8</v>
          </cell>
          <cell r="R10">
            <v>2.35</v>
          </cell>
          <cell r="S10">
            <v>1.35</v>
          </cell>
          <cell r="T10">
            <v>3</v>
          </cell>
          <cell r="U10">
            <v>2.2999999999999998</v>
          </cell>
          <cell r="V10">
            <v>2.75</v>
          </cell>
          <cell r="W10">
            <v>1.3</v>
          </cell>
          <cell r="X10">
            <v>2</v>
          </cell>
          <cell r="Y10">
            <v>1.2</v>
          </cell>
          <cell r="Z10">
            <v>2</v>
          </cell>
          <cell r="AA10">
            <v>1.1000000000000001</v>
          </cell>
          <cell r="AB10">
            <v>2</v>
          </cell>
          <cell r="AC10">
            <v>2</v>
          </cell>
          <cell r="AD10">
            <v>2</v>
          </cell>
          <cell r="AE10">
            <v>2</v>
          </cell>
          <cell r="AF10">
            <v>1.3</v>
          </cell>
          <cell r="AG10">
            <v>1</v>
          </cell>
          <cell r="AH10">
            <v>1.3</v>
          </cell>
          <cell r="AI10">
            <v>2.25</v>
          </cell>
          <cell r="AJ10">
            <v>3.2</v>
          </cell>
          <cell r="AK10">
            <v>1</v>
          </cell>
          <cell r="AL10">
            <v>1</v>
          </cell>
          <cell r="AM10">
            <v>1</v>
          </cell>
          <cell r="AN10">
            <v>5</v>
          </cell>
          <cell r="AO10">
            <v>2.2999999999999998</v>
          </cell>
          <cell r="AP10">
            <v>6.7</v>
          </cell>
          <cell r="AQ10">
            <v>2.2999999999999998</v>
          </cell>
          <cell r="AR10">
            <v>6</v>
          </cell>
          <cell r="AS10">
            <v>5.5</v>
          </cell>
          <cell r="AT10">
            <v>6</v>
          </cell>
          <cell r="AU10">
            <v>6</v>
          </cell>
          <cell r="AV10">
            <v>5.5</v>
          </cell>
          <cell r="AW10">
            <v>6</v>
          </cell>
          <cell r="AX10">
            <v>6</v>
          </cell>
          <cell r="AY10">
            <v>6</v>
          </cell>
          <cell r="AZ10">
            <v>5.5</v>
          </cell>
          <cell r="BA10">
            <v>5.5</v>
          </cell>
          <cell r="BB10">
            <v>5.5</v>
          </cell>
          <cell r="BC10">
            <v>2</v>
          </cell>
        </row>
        <row r="11">
          <cell r="A11" t="str">
            <v>(A) SALARIO MES</v>
          </cell>
          <cell r="B11">
            <v>7117500</v>
          </cell>
          <cell r="C11">
            <v>7117500</v>
          </cell>
          <cell r="D11">
            <v>4270500</v>
          </cell>
          <cell r="E11">
            <v>4270500</v>
          </cell>
          <cell r="F11">
            <v>4270500</v>
          </cell>
          <cell r="G11">
            <v>4270500</v>
          </cell>
          <cell r="H11">
            <v>4270500</v>
          </cell>
          <cell r="I11">
            <v>3274050</v>
          </cell>
          <cell r="J11">
            <v>9537450</v>
          </cell>
          <cell r="K11">
            <v>6548100</v>
          </cell>
          <cell r="L11">
            <v>2633475</v>
          </cell>
          <cell r="M11">
            <v>2064075</v>
          </cell>
          <cell r="N11">
            <v>1423500</v>
          </cell>
          <cell r="O11">
            <v>1423500</v>
          </cell>
          <cell r="P11">
            <v>1423500</v>
          </cell>
          <cell r="Q11">
            <v>6832800</v>
          </cell>
          <cell r="R11">
            <v>3345225</v>
          </cell>
          <cell r="S11">
            <v>1921725</v>
          </cell>
          <cell r="T11">
            <v>4270500</v>
          </cell>
          <cell r="U11">
            <v>3274050</v>
          </cell>
          <cell r="V11">
            <v>3914625</v>
          </cell>
          <cell r="W11">
            <v>1850550</v>
          </cell>
          <cell r="X11">
            <v>2847000</v>
          </cell>
          <cell r="Y11">
            <v>1708200</v>
          </cell>
          <cell r="Z11">
            <v>2847000</v>
          </cell>
          <cell r="AA11">
            <v>1565850</v>
          </cell>
          <cell r="AB11">
            <v>2847000</v>
          </cell>
          <cell r="AC11">
            <v>2847000</v>
          </cell>
          <cell r="AD11">
            <v>2847000</v>
          </cell>
          <cell r="AE11">
            <v>2847000</v>
          </cell>
          <cell r="AF11">
            <v>1850550</v>
          </cell>
          <cell r="AG11">
            <v>1423500</v>
          </cell>
          <cell r="AH11">
            <v>1850550</v>
          </cell>
          <cell r="AI11">
            <v>3202875</v>
          </cell>
          <cell r="AJ11">
            <v>4555200</v>
          </cell>
          <cell r="AK11">
            <v>1423500</v>
          </cell>
          <cell r="AL11">
            <v>1423500</v>
          </cell>
          <cell r="AM11">
            <v>1423500</v>
          </cell>
          <cell r="AN11">
            <v>7117500</v>
          </cell>
          <cell r="AO11">
            <v>3274050</v>
          </cell>
          <cell r="AP11">
            <v>9537450</v>
          </cell>
          <cell r="AQ11">
            <v>3274050</v>
          </cell>
          <cell r="AR11">
            <v>8541000</v>
          </cell>
          <cell r="AS11">
            <v>7829250</v>
          </cell>
          <cell r="AT11">
            <v>8541000</v>
          </cell>
          <cell r="AU11">
            <v>8541000</v>
          </cell>
          <cell r="AV11">
            <v>7829250</v>
          </cell>
          <cell r="AW11">
            <v>8541000</v>
          </cell>
          <cell r="AX11">
            <v>8541000</v>
          </cell>
          <cell r="AY11">
            <v>8541000</v>
          </cell>
          <cell r="AZ11">
            <v>7829250</v>
          </cell>
          <cell r="BA11">
            <v>7829250</v>
          </cell>
          <cell r="BB11">
            <v>7829250</v>
          </cell>
          <cell r="BC11">
            <v>2847000</v>
          </cell>
          <cell r="BD11">
            <v>0</v>
          </cell>
          <cell r="BE11">
            <v>0</v>
          </cell>
        </row>
        <row r="12">
          <cell r="A12" t="str">
            <v>(B) AUXILIO TRANSPORTE MES</v>
          </cell>
          <cell r="B12">
            <v>0</v>
          </cell>
          <cell r="C12">
            <v>0</v>
          </cell>
          <cell r="D12">
            <v>0</v>
          </cell>
          <cell r="E12">
            <v>0</v>
          </cell>
          <cell r="F12">
            <v>0</v>
          </cell>
          <cell r="G12">
            <v>0</v>
          </cell>
          <cell r="H12">
            <v>0</v>
          </cell>
          <cell r="I12">
            <v>0</v>
          </cell>
          <cell r="J12">
            <v>0</v>
          </cell>
          <cell r="K12">
            <v>0</v>
          </cell>
          <cell r="L12">
            <v>200000</v>
          </cell>
          <cell r="M12">
            <v>200000</v>
          </cell>
          <cell r="N12">
            <v>200000</v>
          </cell>
          <cell r="O12">
            <v>200000</v>
          </cell>
          <cell r="P12">
            <v>200000</v>
          </cell>
          <cell r="Q12">
            <v>0</v>
          </cell>
          <cell r="R12">
            <v>0</v>
          </cell>
          <cell r="S12">
            <v>200000</v>
          </cell>
          <cell r="T12">
            <v>0</v>
          </cell>
          <cell r="U12">
            <v>0</v>
          </cell>
          <cell r="V12">
            <v>0</v>
          </cell>
          <cell r="W12">
            <v>200000</v>
          </cell>
          <cell r="X12">
            <v>200000</v>
          </cell>
          <cell r="Y12">
            <v>200000</v>
          </cell>
          <cell r="Z12">
            <v>200000</v>
          </cell>
          <cell r="AA12">
            <v>200000</v>
          </cell>
          <cell r="AB12">
            <v>200000</v>
          </cell>
          <cell r="AC12">
            <v>200000</v>
          </cell>
          <cell r="AD12">
            <v>200000</v>
          </cell>
          <cell r="AE12">
            <v>200000</v>
          </cell>
          <cell r="AF12">
            <v>200000</v>
          </cell>
          <cell r="AG12">
            <v>200000</v>
          </cell>
          <cell r="AH12">
            <v>200000</v>
          </cell>
          <cell r="AI12">
            <v>0</v>
          </cell>
          <cell r="AJ12">
            <v>0</v>
          </cell>
          <cell r="AK12">
            <v>200000</v>
          </cell>
          <cell r="AL12">
            <v>200000</v>
          </cell>
          <cell r="AM12">
            <v>200000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200000</v>
          </cell>
          <cell r="BD12">
            <v>200000</v>
          </cell>
          <cell r="BE12">
            <v>200000</v>
          </cell>
        </row>
        <row r="13">
          <cell r="A13" t="str">
            <v>(C) SUELDO ANUAL 
(A x 12)</v>
          </cell>
          <cell r="B13">
            <v>85410000</v>
          </cell>
          <cell r="C13">
            <v>85410000</v>
          </cell>
          <cell r="D13">
            <v>51246000</v>
          </cell>
          <cell r="E13">
            <v>51246000</v>
          </cell>
          <cell r="F13">
            <v>51246000</v>
          </cell>
          <cell r="G13">
            <v>51246000</v>
          </cell>
          <cell r="H13">
            <v>51246000</v>
          </cell>
          <cell r="I13">
            <v>39288600</v>
          </cell>
          <cell r="J13">
            <v>114449400</v>
          </cell>
          <cell r="K13">
            <v>78577200</v>
          </cell>
          <cell r="L13">
            <v>31601700</v>
          </cell>
          <cell r="M13">
            <v>24768900</v>
          </cell>
          <cell r="N13">
            <v>17082000</v>
          </cell>
          <cell r="O13">
            <v>17082000</v>
          </cell>
          <cell r="P13">
            <v>17082000</v>
          </cell>
          <cell r="Q13">
            <v>81993600</v>
          </cell>
          <cell r="R13">
            <v>40142700</v>
          </cell>
          <cell r="S13">
            <v>23060700</v>
          </cell>
          <cell r="T13">
            <v>51246000</v>
          </cell>
          <cell r="U13">
            <v>39288600</v>
          </cell>
          <cell r="V13">
            <v>46975500</v>
          </cell>
          <cell r="W13">
            <v>22206600</v>
          </cell>
          <cell r="X13">
            <v>34164000</v>
          </cell>
          <cell r="Y13">
            <v>20498400</v>
          </cell>
          <cell r="Z13">
            <v>34164000</v>
          </cell>
          <cell r="AA13">
            <v>18790200</v>
          </cell>
          <cell r="AB13">
            <v>34164000</v>
          </cell>
          <cell r="AC13">
            <v>34164000</v>
          </cell>
          <cell r="AD13">
            <v>34164000</v>
          </cell>
          <cell r="AE13">
            <v>34164000</v>
          </cell>
          <cell r="AF13">
            <v>22206600</v>
          </cell>
          <cell r="AG13">
            <v>17082000</v>
          </cell>
          <cell r="AH13">
            <v>22206600</v>
          </cell>
          <cell r="AI13">
            <v>38434500</v>
          </cell>
          <cell r="AJ13">
            <v>54662400</v>
          </cell>
          <cell r="AK13">
            <v>17082000</v>
          </cell>
          <cell r="AL13">
            <v>17082000</v>
          </cell>
          <cell r="AM13">
            <v>17082000</v>
          </cell>
          <cell r="AN13">
            <v>85410000</v>
          </cell>
          <cell r="AO13">
            <v>39288600</v>
          </cell>
          <cell r="AP13">
            <v>114449400</v>
          </cell>
          <cell r="AQ13">
            <v>39288600</v>
          </cell>
          <cell r="AR13">
            <v>102492000</v>
          </cell>
          <cell r="AS13">
            <v>93951000</v>
          </cell>
          <cell r="AT13">
            <v>102492000</v>
          </cell>
          <cell r="AU13">
            <v>102492000</v>
          </cell>
          <cell r="AV13">
            <v>93951000</v>
          </cell>
          <cell r="AW13">
            <v>102492000</v>
          </cell>
          <cell r="AX13">
            <v>102492000</v>
          </cell>
          <cell r="AY13">
            <v>102492000</v>
          </cell>
          <cell r="AZ13">
            <v>93951000</v>
          </cell>
          <cell r="BA13">
            <v>93951000</v>
          </cell>
          <cell r="BB13">
            <v>93951000</v>
          </cell>
          <cell r="BC13">
            <v>34164000</v>
          </cell>
          <cell r="BD13">
            <v>0</v>
          </cell>
          <cell r="BE13">
            <v>0</v>
          </cell>
        </row>
        <row r="14">
          <cell r="A14" t="str">
            <v>(D) AUXILIO TRANSPORTE ANUAL 
(B x 12)</v>
          </cell>
          <cell r="B14">
            <v>0</v>
          </cell>
          <cell r="C14">
            <v>0</v>
          </cell>
          <cell r="D14">
            <v>0</v>
          </cell>
          <cell r="E14">
            <v>0</v>
          </cell>
          <cell r="F14">
            <v>0</v>
          </cell>
          <cell r="G14">
            <v>0</v>
          </cell>
          <cell r="H14">
            <v>0</v>
          </cell>
          <cell r="I14">
            <v>0</v>
          </cell>
          <cell r="J14">
            <v>0</v>
          </cell>
          <cell r="K14">
            <v>0</v>
          </cell>
          <cell r="L14">
            <v>2400000</v>
          </cell>
          <cell r="M14">
            <v>2400000</v>
          </cell>
          <cell r="N14">
            <v>2400000</v>
          </cell>
          <cell r="O14">
            <v>2400000</v>
          </cell>
          <cell r="P14">
            <v>2400000</v>
          </cell>
          <cell r="Q14">
            <v>0</v>
          </cell>
          <cell r="R14">
            <v>0</v>
          </cell>
          <cell r="S14">
            <v>2400000</v>
          </cell>
          <cell r="T14">
            <v>0</v>
          </cell>
          <cell r="U14">
            <v>0</v>
          </cell>
          <cell r="V14">
            <v>0</v>
          </cell>
          <cell r="W14">
            <v>2400000</v>
          </cell>
          <cell r="X14">
            <v>2400000</v>
          </cell>
          <cell r="Y14">
            <v>2400000</v>
          </cell>
          <cell r="Z14">
            <v>2400000</v>
          </cell>
          <cell r="AA14">
            <v>2400000</v>
          </cell>
          <cell r="AB14">
            <v>2400000</v>
          </cell>
          <cell r="AC14">
            <v>2400000</v>
          </cell>
          <cell r="AD14">
            <v>2400000</v>
          </cell>
          <cell r="AE14">
            <v>2400000</v>
          </cell>
          <cell r="AF14">
            <v>2400000</v>
          </cell>
          <cell r="AG14">
            <v>2400000</v>
          </cell>
          <cell r="AH14">
            <v>2400000</v>
          </cell>
          <cell r="AI14">
            <v>0</v>
          </cell>
          <cell r="AJ14">
            <v>0</v>
          </cell>
          <cell r="AK14">
            <v>2400000</v>
          </cell>
          <cell r="AL14">
            <v>2400000</v>
          </cell>
          <cell r="AM14">
            <v>2400000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2400000</v>
          </cell>
          <cell r="BD14">
            <v>2400000</v>
          </cell>
          <cell r="BE14">
            <v>2400000</v>
          </cell>
        </row>
        <row r="15">
          <cell r="A15" t="str">
            <v>(F) CESANTIAS 
(C + D) x12%</v>
          </cell>
          <cell r="B15">
            <v>10249200</v>
          </cell>
          <cell r="C15">
            <v>10249200</v>
          </cell>
          <cell r="D15">
            <v>6149520</v>
          </cell>
          <cell r="E15">
            <v>6149520</v>
          </cell>
          <cell r="F15">
            <v>6149520</v>
          </cell>
          <cell r="G15">
            <v>6149520</v>
          </cell>
          <cell r="H15">
            <v>6149520</v>
          </cell>
          <cell r="I15">
            <v>4714632</v>
          </cell>
          <cell r="J15">
            <v>13733928</v>
          </cell>
          <cell r="K15">
            <v>9429264</v>
          </cell>
          <cell r="L15">
            <v>4080204</v>
          </cell>
          <cell r="M15">
            <v>3260268</v>
          </cell>
          <cell r="N15">
            <v>2337840</v>
          </cell>
          <cell r="O15">
            <v>2337840</v>
          </cell>
          <cell r="P15">
            <v>2337840</v>
          </cell>
          <cell r="Q15">
            <v>9839232</v>
          </cell>
          <cell r="R15">
            <v>4817124</v>
          </cell>
          <cell r="S15">
            <v>3055284</v>
          </cell>
          <cell r="T15">
            <v>6149520</v>
          </cell>
          <cell r="U15">
            <v>4714632</v>
          </cell>
          <cell r="V15">
            <v>5637060</v>
          </cell>
          <cell r="W15">
            <v>2952792</v>
          </cell>
          <cell r="X15">
            <v>4387680</v>
          </cell>
          <cell r="Y15">
            <v>2747808</v>
          </cell>
          <cell r="Z15">
            <v>4387680</v>
          </cell>
          <cell r="AA15">
            <v>2542824</v>
          </cell>
          <cell r="AB15">
            <v>4387680</v>
          </cell>
          <cell r="AC15">
            <v>4387680</v>
          </cell>
          <cell r="AD15">
            <v>4387680</v>
          </cell>
          <cell r="AE15">
            <v>4387680</v>
          </cell>
          <cell r="AF15">
            <v>2952792</v>
          </cell>
          <cell r="AG15">
            <v>2337840</v>
          </cell>
          <cell r="AH15">
            <v>2952792</v>
          </cell>
          <cell r="AI15">
            <v>4612140</v>
          </cell>
          <cell r="AJ15">
            <v>6559488</v>
          </cell>
          <cell r="AK15">
            <v>2337840</v>
          </cell>
          <cell r="AL15">
            <v>2337840</v>
          </cell>
          <cell r="AM15">
            <v>2337840</v>
          </cell>
          <cell r="AN15">
            <v>10249200</v>
          </cell>
          <cell r="AO15">
            <v>4714632</v>
          </cell>
          <cell r="AP15">
            <v>13733928</v>
          </cell>
          <cell r="AQ15">
            <v>4714632</v>
          </cell>
          <cell r="AR15">
            <v>12299040</v>
          </cell>
          <cell r="AS15">
            <v>11274120</v>
          </cell>
          <cell r="AT15">
            <v>12299040</v>
          </cell>
          <cell r="AU15">
            <v>12299040</v>
          </cell>
          <cell r="AV15">
            <v>11274120</v>
          </cell>
          <cell r="AW15">
            <v>12299040</v>
          </cell>
          <cell r="AX15">
            <v>12299040</v>
          </cell>
          <cell r="AY15">
            <v>12299040</v>
          </cell>
          <cell r="AZ15">
            <v>11274120</v>
          </cell>
          <cell r="BA15">
            <v>11274120</v>
          </cell>
          <cell r="BB15">
            <v>11274120</v>
          </cell>
          <cell r="BC15">
            <v>4387680</v>
          </cell>
          <cell r="BD15">
            <v>288000</v>
          </cell>
          <cell r="BE15">
            <v>288000</v>
          </cell>
        </row>
        <row r="16">
          <cell r="A16" t="str">
            <v>INTERES DE CESANTIA 
(F x 12%)</v>
          </cell>
          <cell r="B16">
            <v>1229904</v>
          </cell>
          <cell r="C16">
            <v>1229904</v>
          </cell>
          <cell r="D16">
            <v>737942</v>
          </cell>
          <cell r="E16">
            <v>737942</v>
          </cell>
          <cell r="F16">
            <v>737942</v>
          </cell>
          <cell r="G16">
            <v>737942</v>
          </cell>
          <cell r="H16">
            <v>737942</v>
          </cell>
          <cell r="I16">
            <v>565756</v>
          </cell>
          <cell r="J16">
            <v>1648071</v>
          </cell>
          <cell r="K16">
            <v>1131512</v>
          </cell>
          <cell r="L16">
            <v>489624</v>
          </cell>
          <cell r="M16">
            <v>391232</v>
          </cell>
          <cell r="N16">
            <v>280541</v>
          </cell>
          <cell r="O16">
            <v>280541</v>
          </cell>
          <cell r="P16">
            <v>280541</v>
          </cell>
          <cell r="Q16">
            <v>1180708</v>
          </cell>
          <cell r="R16">
            <v>578055</v>
          </cell>
          <cell r="S16">
            <v>366634</v>
          </cell>
          <cell r="T16">
            <v>737942</v>
          </cell>
          <cell r="U16">
            <v>565756</v>
          </cell>
          <cell r="V16">
            <v>676447</v>
          </cell>
          <cell r="W16">
            <v>354335</v>
          </cell>
          <cell r="X16">
            <v>526522</v>
          </cell>
          <cell r="Y16">
            <v>329737</v>
          </cell>
          <cell r="Z16">
            <v>526522</v>
          </cell>
          <cell r="AA16">
            <v>305139</v>
          </cell>
          <cell r="AB16">
            <v>526522</v>
          </cell>
          <cell r="AC16">
            <v>526522</v>
          </cell>
          <cell r="AD16">
            <v>526522</v>
          </cell>
          <cell r="AE16">
            <v>526522</v>
          </cell>
          <cell r="AF16">
            <v>354335</v>
          </cell>
          <cell r="AG16">
            <v>280541</v>
          </cell>
          <cell r="AH16">
            <v>354335</v>
          </cell>
          <cell r="AI16">
            <v>553457</v>
          </cell>
          <cell r="AJ16">
            <v>787139</v>
          </cell>
          <cell r="AK16">
            <v>280541</v>
          </cell>
          <cell r="AL16">
            <v>280541</v>
          </cell>
          <cell r="AM16">
            <v>280541</v>
          </cell>
          <cell r="AN16">
            <v>1229904</v>
          </cell>
          <cell r="AO16">
            <v>565756</v>
          </cell>
          <cell r="AP16">
            <v>1648071</v>
          </cell>
          <cell r="AQ16">
            <v>565756</v>
          </cell>
          <cell r="AR16">
            <v>1475885</v>
          </cell>
          <cell r="AS16">
            <v>1352894</v>
          </cell>
          <cell r="AT16">
            <v>1475885</v>
          </cell>
          <cell r="AU16">
            <v>1475885</v>
          </cell>
          <cell r="AV16">
            <v>1352894</v>
          </cell>
          <cell r="AW16">
            <v>1475885</v>
          </cell>
          <cell r="AX16">
            <v>1475885</v>
          </cell>
          <cell r="AY16">
            <v>1475885</v>
          </cell>
          <cell r="AZ16">
            <v>1352894</v>
          </cell>
          <cell r="BA16">
            <v>1352894</v>
          </cell>
          <cell r="BB16">
            <v>1352894</v>
          </cell>
          <cell r="BC16">
            <v>526522</v>
          </cell>
          <cell r="BD16">
            <v>34560</v>
          </cell>
          <cell r="BE16">
            <v>34560</v>
          </cell>
        </row>
        <row r="17">
          <cell r="A17" t="str">
            <v>VACACIONES 
(A + B) / 2</v>
          </cell>
          <cell r="B17">
            <v>3558750</v>
          </cell>
          <cell r="C17">
            <v>3558750</v>
          </cell>
          <cell r="D17">
            <v>2135250</v>
          </cell>
          <cell r="E17">
            <v>2135250</v>
          </cell>
          <cell r="F17">
            <v>2135250</v>
          </cell>
          <cell r="G17">
            <v>2135250</v>
          </cell>
          <cell r="H17">
            <v>2135250</v>
          </cell>
          <cell r="I17">
            <v>1637025</v>
          </cell>
          <cell r="J17">
            <v>4768725</v>
          </cell>
          <cell r="K17">
            <v>3274050</v>
          </cell>
          <cell r="L17">
            <v>1416738</v>
          </cell>
          <cell r="M17">
            <v>1132038</v>
          </cell>
          <cell r="N17">
            <v>811750</v>
          </cell>
          <cell r="O17">
            <v>811750</v>
          </cell>
          <cell r="P17">
            <v>811750</v>
          </cell>
          <cell r="Q17">
            <v>3416400</v>
          </cell>
          <cell r="R17">
            <v>1672613</v>
          </cell>
          <cell r="S17">
            <v>1060863</v>
          </cell>
          <cell r="T17">
            <v>2135250</v>
          </cell>
          <cell r="U17">
            <v>1637025</v>
          </cell>
          <cell r="V17">
            <v>1957313</v>
          </cell>
          <cell r="W17">
            <v>1025275</v>
          </cell>
          <cell r="X17">
            <v>1523500</v>
          </cell>
          <cell r="Y17">
            <v>954100</v>
          </cell>
          <cell r="Z17">
            <v>1523500</v>
          </cell>
          <cell r="AA17">
            <v>882925</v>
          </cell>
          <cell r="AB17">
            <v>1523500</v>
          </cell>
          <cell r="AC17">
            <v>1523500</v>
          </cell>
          <cell r="AD17">
            <v>1523500</v>
          </cell>
          <cell r="AE17">
            <v>1523500</v>
          </cell>
          <cell r="AF17">
            <v>1025275</v>
          </cell>
          <cell r="AG17">
            <v>811750</v>
          </cell>
          <cell r="AH17">
            <v>1025275</v>
          </cell>
          <cell r="AI17">
            <v>1601438</v>
          </cell>
          <cell r="AJ17">
            <v>2277600</v>
          </cell>
          <cell r="AK17">
            <v>811750</v>
          </cell>
          <cell r="AL17">
            <v>811750</v>
          </cell>
          <cell r="AM17">
            <v>811750</v>
          </cell>
          <cell r="AN17">
            <v>3558750</v>
          </cell>
          <cell r="AO17">
            <v>1637025</v>
          </cell>
          <cell r="AP17">
            <v>4768725</v>
          </cell>
          <cell r="AQ17">
            <v>1637025</v>
          </cell>
          <cell r="AR17">
            <v>4270500</v>
          </cell>
          <cell r="AS17">
            <v>3914625</v>
          </cell>
          <cell r="AT17">
            <v>4270500</v>
          </cell>
          <cell r="AU17">
            <v>4270500</v>
          </cell>
          <cell r="AV17">
            <v>3914625</v>
          </cell>
          <cell r="AW17">
            <v>4270500</v>
          </cell>
          <cell r="AX17">
            <v>4270500</v>
          </cell>
          <cell r="AY17">
            <v>4270500</v>
          </cell>
          <cell r="AZ17">
            <v>3914625</v>
          </cell>
          <cell r="BA17">
            <v>3914625</v>
          </cell>
          <cell r="BB17">
            <v>3914625</v>
          </cell>
          <cell r="BC17">
            <v>1523500</v>
          </cell>
          <cell r="BD17">
            <v>100000</v>
          </cell>
          <cell r="BE17">
            <v>100000</v>
          </cell>
        </row>
        <row r="18">
          <cell r="A18" t="str">
            <v>PRIMA DE SERVICIOS
(A + B)</v>
          </cell>
          <cell r="B18">
            <v>7117500</v>
          </cell>
          <cell r="C18">
            <v>7117500</v>
          </cell>
          <cell r="D18">
            <v>4270500</v>
          </cell>
          <cell r="E18">
            <v>4270500</v>
          </cell>
          <cell r="F18">
            <v>4270500</v>
          </cell>
          <cell r="G18">
            <v>4270500</v>
          </cell>
          <cell r="H18">
            <v>4270500</v>
          </cell>
          <cell r="I18">
            <v>3274050</v>
          </cell>
          <cell r="J18">
            <v>9537450</v>
          </cell>
          <cell r="K18">
            <v>6548100</v>
          </cell>
          <cell r="L18">
            <v>2833475</v>
          </cell>
          <cell r="M18">
            <v>2264075</v>
          </cell>
          <cell r="N18">
            <v>1623500</v>
          </cell>
          <cell r="O18">
            <v>1623500</v>
          </cell>
          <cell r="P18">
            <v>1623500</v>
          </cell>
          <cell r="Q18">
            <v>6832800</v>
          </cell>
          <cell r="R18">
            <v>3345225</v>
          </cell>
          <cell r="S18">
            <v>2121725</v>
          </cell>
          <cell r="T18">
            <v>4270500</v>
          </cell>
          <cell r="U18">
            <v>3274050</v>
          </cell>
          <cell r="V18">
            <v>3914625</v>
          </cell>
          <cell r="W18">
            <v>2050550</v>
          </cell>
          <cell r="X18">
            <v>3047000</v>
          </cell>
          <cell r="Y18">
            <v>1908200</v>
          </cell>
          <cell r="Z18">
            <v>3047000</v>
          </cell>
          <cell r="AA18">
            <v>1765850</v>
          </cell>
          <cell r="AB18">
            <v>3047000</v>
          </cell>
          <cell r="AC18">
            <v>3047000</v>
          </cell>
          <cell r="AD18">
            <v>3047000</v>
          </cell>
          <cell r="AE18">
            <v>3047000</v>
          </cell>
          <cell r="AF18">
            <v>2050550</v>
          </cell>
          <cell r="AG18">
            <v>1623500</v>
          </cell>
          <cell r="AH18">
            <v>2050550</v>
          </cell>
          <cell r="AI18">
            <v>3202875</v>
          </cell>
          <cell r="AJ18">
            <v>4555200</v>
          </cell>
          <cell r="AK18">
            <v>1623500</v>
          </cell>
          <cell r="AL18">
            <v>1623500</v>
          </cell>
          <cell r="AM18">
            <v>1623500</v>
          </cell>
          <cell r="AN18">
            <v>7117500</v>
          </cell>
          <cell r="AO18">
            <v>3274050</v>
          </cell>
          <cell r="AP18">
            <v>9537450</v>
          </cell>
          <cell r="AQ18">
            <v>3274050</v>
          </cell>
          <cell r="AR18">
            <v>8541000</v>
          </cell>
          <cell r="AS18">
            <v>7829250</v>
          </cell>
          <cell r="AT18">
            <v>8541000</v>
          </cell>
          <cell r="AU18">
            <v>8541000</v>
          </cell>
          <cell r="AV18">
            <v>7829250</v>
          </cell>
          <cell r="AW18">
            <v>8541000</v>
          </cell>
          <cell r="AX18">
            <v>8541000</v>
          </cell>
          <cell r="AY18">
            <v>8541000</v>
          </cell>
          <cell r="AZ18">
            <v>7829250</v>
          </cell>
          <cell r="BA18">
            <v>7829250</v>
          </cell>
          <cell r="BB18">
            <v>7829250</v>
          </cell>
          <cell r="BC18">
            <v>3047000</v>
          </cell>
          <cell r="BD18">
            <v>200000</v>
          </cell>
          <cell r="BE18">
            <v>200000</v>
          </cell>
        </row>
        <row r="19">
          <cell r="A19" t="str">
            <v>FONDO INDUSTRIA DE LA CONSTRUCCIÓN SENA - FIC
(SMMLV x 12 / 40)</v>
          </cell>
          <cell r="B19">
            <v>427050</v>
          </cell>
          <cell r="C19">
            <v>427050</v>
          </cell>
          <cell r="D19">
            <v>427050</v>
          </cell>
          <cell r="E19">
            <v>427050</v>
          </cell>
          <cell r="F19">
            <v>427050</v>
          </cell>
          <cell r="G19">
            <v>427050</v>
          </cell>
          <cell r="H19">
            <v>427050</v>
          </cell>
          <cell r="I19">
            <v>427050</v>
          </cell>
          <cell r="J19">
            <v>427050</v>
          </cell>
          <cell r="K19">
            <v>427050</v>
          </cell>
          <cell r="L19">
            <v>427050</v>
          </cell>
          <cell r="M19">
            <v>427050</v>
          </cell>
          <cell r="N19">
            <v>427050</v>
          </cell>
          <cell r="O19">
            <v>427050</v>
          </cell>
          <cell r="P19">
            <v>427050</v>
          </cell>
          <cell r="Q19">
            <v>427050</v>
          </cell>
          <cell r="R19">
            <v>427050</v>
          </cell>
          <cell r="S19">
            <v>427050</v>
          </cell>
          <cell r="T19">
            <v>427050</v>
          </cell>
          <cell r="U19">
            <v>427050</v>
          </cell>
          <cell r="V19">
            <v>427050</v>
          </cell>
          <cell r="W19">
            <v>427050</v>
          </cell>
          <cell r="X19">
            <v>427050</v>
          </cell>
          <cell r="Y19">
            <v>427050</v>
          </cell>
          <cell r="Z19">
            <v>427050</v>
          </cell>
          <cell r="AA19">
            <v>427050</v>
          </cell>
          <cell r="AB19">
            <v>427050</v>
          </cell>
          <cell r="AC19">
            <v>427050</v>
          </cell>
          <cell r="AD19">
            <v>427050</v>
          </cell>
          <cell r="AE19">
            <v>427050</v>
          </cell>
          <cell r="AF19">
            <v>427050</v>
          </cell>
          <cell r="AG19">
            <v>427050</v>
          </cell>
          <cell r="AH19">
            <v>427050</v>
          </cell>
          <cell r="AI19">
            <v>427050</v>
          </cell>
          <cell r="AJ19">
            <v>427050</v>
          </cell>
          <cell r="AK19">
            <v>427050</v>
          </cell>
          <cell r="AL19">
            <v>427050</v>
          </cell>
          <cell r="AM19">
            <v>427050</v>
          </cell>
          <cell r="AN19">
            <v>427050</v>
          </cell>
          <cell r="AO19">
            <v>427050</v>
          </cell>
          <cell r="AP19">
            <v>427050</v>
          </cell>
          <cell r="AQ19">
            <v>427050</v>
          </cell>
          <cell r="AR19">
            <v>427050</v>
          </cell>
          <cell r="AS19">
            <v>427050</v>
          </cell>
          <cell r="AT19">
            <v>427050</v>
          </cell>
          <cell r="AU19">
            <v>427050</v>
          </cell>
          <cell r="AV19">
            <v>427050</v>
          </cell>
          <cell r="AW19">
            <v>427050</v>
          </cell>
          <cell r="AX19">
            <v>427050</v>
          </cell>
          <cell r="AY19">
            <v>427050</v>
          </cell>
          <cell r="AZ19">
            <v>427050</v>
          </cell>
          <cell r="BA19">
            <v>427050</v>
          </cell>
          <cell r="BB19">
            <v>427050</v>
          </cell>
          <cell r="BC19">
            <v>427050</v>
          </cell>
          <cell r="BD19">
            <v>427050</v>
          </cell>
          <cell r="BE19">
            <v>427050</v>
          </cell>
        </row>
        <row r="20">
          <cell r="A20" t="str">
            <v>EPS (SALUD) - VERIFICAR CREE
(C + D) x 8.5%</v>
          </cell>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row>
        <row r="21">
          <cell r="A21" t="str">
            <v>AFP (PENSION)
(C + D) x 12%</v>
          </cell>
          <cell r="B21">
            <v>10249200</v>
          </cell>
          <cell r="C21">
            <v>10249200</v>
          </cell>
          <cell r="D21">
            <v>6149520</v>
          </cell>
          <cell r="E21">
            <v>6149520</v>
          </cell>
          <cell r="F21">
            <v>6149520</v>
          </cell>
          <cell r="G21">
            <v>6149520</v>
          </cell>
          <cell r="H21">
            <v>6149520</v>
          </cell>
          <cell r="I21">
            <v>4714632</v>
          </cell>
          <cell r="J21">
            <v>13733928</v>
          </cell>
          <cell r="K21">
            <v>9429264</v>
          </cell>
          <cell r="L21">
            <v>4080204</v>
          </cell>
          <cell r="M21">
            <v>3260268</v>
          </cell>
          <cell r="N21">
            <v>2337840</v>
          </cell>
          <cell r="O21">
            <v>2337840</v>
          </cell>
          <cell r="P21">
            <v>2337840</v>
          </cell>
          <cell r="Q21">
            <v>9839232</v>
          </cell>
          <cell r="R21">
            <v>4817124</v>
          </cell>
          <cell r="S21">
            <v>3055284</v>
          </cell>
          <cell r="T21">
            <v>6149520</v>
          </cell>
          <cell r="U21">
            <v>4714632</v>
          </cell>
          <cell r="V21">
            <v>5637060</v>
          </cell>
          <cell r="W21">
            <v>2952792</v>
          </cell>
          <cell r="X21">
            <v>4387680</v>
          </cell>
          <cell r="Y21">
            <v>2747808</v>
          </cell>
          <cell r="Z21">
            <v>4387680</v>
          </cell>
          <cell r="AA21">
            <v>2542824</v>
          </cell>
          <cell r="AB21">
            <v>4387680</v>
          </cell>
          <cell r="AC21">
            <v>4387680</v>
          </cell>
          <cell r="AD21">
            <v>4387680</v>
          </cell>
          <cell r="AE21">
            <v>4387680</v>
          </cell>
          <cell r="AF21">
            <v>2952792</v>
          </cell>
          <cell r="AG21">
            <v>2337840</v>
          </cell>
          <cell r="AH21">
            <v>2952792</v>
          </cell>
          <cell r="AI21">
            <v>4612140</v>
          </cell>
          <cell r="AJ21">
            <v>6559488</v>
          </cell>
          <cell r="AK21">
            <v>2337840</v>
          </cell>
          <cell r="AL21">
            <v>2337840</v>
          </cell>
          <cell r="AM21">
            <v>2337840</v>
          </cell>
          <cell r="AN21">
            <v>10249200</v>
          </cell>
          <cell r="AO21">
            <v>4714632</v>
          </cell>
          <cell r="AP21">
            <v>13733928</v>
          </cell>
          <cell r="AQ21">
            <v>4714632</v>
          </cell>
          <cell r="AR21">
            <v>12299040</v>
          </cell>
          <cell r="AS21">
            <v>11274120</v>
          </cell>
          <cell r="AT21">
            <v>12299040</v>
          </cell>
          <cell r="AU21">
            <v>12299040</v>
          </cell>
          <cell r="AV21">
            <v>11274120</v>
          </cell>
          <cell r="AW21">
            <v>12299040</v>
          </cell>
          <cell r="AX21">
            <v>12299040</v>
          </cell>
          <cell r="AY21">
            <v>12299040</v>
          </cell>
          <cell r="AZ21">
            <v>11274120</v>
          </cell>
          <cell r="BA21">
            <v>11274120</v>
          </cell>
          <cell r="BB21">
            <v>11274120</v>
          </cell>
          <cell r="BC21">
            <v>4387680</v>
          </cell>
          <cell r="BD21">
            <v>288000</v>
          </cell>
          <cell r="BE21">
            <v>288000</v>
          </cell>
        </row>
        <row r="22">
          <cell r="A22" t="str">
            <v>RIESGOS PROFESIONALES 
(C + D) x FACTOR DE RIESGO</v>
          </cell>
          <cell r="B22">
            <v>5944536</v>
          </cell>
          <cell r="C22">
            <v>5944536</v>
          </cell>
          <cell r="D22">
            <v>3566722</v>
          </cell>
          <cell r="E22">
            <v>3566722</v>
          </cell>
          <cell r="F22">
            <v>3566722</v>
          </cell>
          <cell r="G22">
            <v>3566722</v>
          </cell>
          <cell r="H22">
            <v>3566722</v>
          </cell>
          <cell r="I22">
            <v>2734487</v>
          </cell>
          <cell r="J22">
            <v>7965678</v>
          </cell>
          <cell r="K22">
            <v>5468973</v>
          </cell>
          <cell r="L22">
            <v>2366518</v>
          </cell>
          <cell r="M22">
            <v>1890955</v>
          </cell>
          <cell r="N22">
            <v>1355947</v>
          </cell>
          <cell r="O22">
            <v>1355947</v>
          </cell>
          <cell r="P22">
            <v>1355947</v>
          </cell>
          <cell r="Q22">
            <v>5706755</v>
          </cell>
          <cell r="R22">
            <v>2793932</v>
          </cell>
          <cell r="S22">
            <v>1772065</v>
          </cell>
          <cell r="T22">
            <v>3566722</v>
          </cell>
          <cell r="U22">
            <v>2734487</v>
          </cell>
          <cell r="V22">
            <v>3269495</v>
          </cell>
          <cell r="W22">
            <v>1712619</v>
          </cell>
          <cell r="X22">
            <v>2544854</v>
          </cell>
          <cell r="Y22">
            <v>1593729</v>
          </cell>
          <cell r="Z22">
            <v>2544854</v>
          </cell>
          <cell r="AA22">
            <v>1474838</v>
          </cell>
          <cell r="AB22">
            <v>2544854</v>
          </cell>
          <cell r="AC22">
            <v>2544854</v>
          </cell>
          <cell r="AD22">
            <v>2544854</v>
          </cell>
          <cell r="AE22">
            <v>2544854</v>
          </cell>
          <cell r="AF22">
            <v>1712619</v>
          </cell>
          <cell r="AG22">
            <v>1355947</v>
          </cell>
          <cell r="AH22">
            <v>1712619</v>
          </cell>
          <cell r="AI22">
            <v>2675041</v>
          </cell>
          <cell r="AJ22">
            <v>3804503</v>
          </cell>
          <cell r="AK22">
            <v>1355947</v>
          </cell>
          <cell r="AL22">
            <v>1355947</v>
          </cell>
          <cell r="AM22">
            <v>1355947</v>
          </cell>
          <cell r="AN22">
            <v>5944536</v>
          </cell>
          <cell r="AO22">
            <v>2734487</v>
          </cell>
          <cell r="AP22">
            <v>7965678</v>
          </cell>
          <cell r="AQ22">
            <v>2734487</v>
          </cell>
          <cell r="AR22">
            <v>7133443</v>
          </cell>
          <cell r="AS22">
            <v>6538990</v>
          </cell>
          <cell r="AT22">
            <v>7133443</v>
          </cell>
          <cell r="AU22">
            <v>7133443</v>
          </cell>
          <cell r="AV22">
            <v>6538990</v>
          </cell>
          <cell r="AW22">
            <v>7133443</v>
          </cell>
          <cell r="AX22">
            <v>7133443</v>
          </cell>
          <cell r="AY22">
            <v>7133443</v>
          </cell>
          <cell r="AZ22">
            <v>6538990</v>
          </cell>
          <cell r="BA22">
            <v>6538990</v>
          </cell>
          <cell r="BB22">
            <v>6538990</v>
          </cell>
          <cell r="BC22">
            <v>2544854</v>
          </cell>
          <cell r="BD22">
            <v>167040</v>
          </cell>
          <cell r="BE22">
            <v>167040</v>
          </cell>
        </row>
        <row r="23">
          <cell r="A23" t="str">
            <v>CAJA DE COMPENSACION 
(C + D) x 4%</v>
          </cell>
          <cell r="B23">
            <v>3416400</v>
          </cell>
          <cell r="C23">
            <v>3416400</v>
          </cell>
          <cell r="D23">
            <v>2049840</v>
          </cell>
          <cell r="E23">
            <v>2049840</v>
          </cell>
          <cell r="F23">
            <v>2049840</v>
          </cell>
          <cell r="G23">
            <v>2049840</v>
          </cell>
          <cell r="H23">
            <v>2049840</v>
          </cell>
          <cell r="I23">
            <v>1571544</v>
          </cell>
          <cell r="J23">
            <v>4577976</v>
          </cell>
          <cell r="K23">
            <v>3143088</v>
          </cell>
          <cell r="L23">
            <v>1360068</v>
          </cell>
          <cell r="M23">
            <v>1086756</v>
          </cell>
          <cell r="N23">
            <v>779280</v>
          </cell>
          <cell r="O23">
            <v>779280</v>
          </cell>
          <cell r="P23">
            <v>779280</v>
          </cell>
          <cell r="Q23">
            <v>3279744</v>
          </cell>
          <cell r="R23">
            <v>1605708</v>
          </cell>
          <cell r="S23">
            <v>1018428</v>
          </cell>
          <cell r="T23">
            <v>2049840</v>
          </cell>
          <cell r="U23">
            <v>1571544</v>
          </cell>
          <cell r="V23">
            <v>1879020</v>
          </cell>
          <cell r="W23">
            <v>984264</v>
          </cell>
          <cell r="X23">
            <v>1462560</v>
          </cell>
          <cell r="Y23">
            <v>915936</v>
          </cell>
          <cell r="Z23">
            <v>1462560</v>
          </cell>
          <cell r="AA23">
            <v>847608</v>
          </cell>
          <cell r="AB23">
            <v>1462560</v>
          </cell>
          <cell r="AC23">
            <v>1462560</v>
          </cell>
          <cell r="AD23">
            <v>1462560</v>
          </cell>
          <cell r="AE23">
            <v>1462560</v>
          </cell>
          <cell r="AF23">
            <v>984264</v>
          </cell>
          <cell r="AG23">
            <v>779280</v>
          </cell>
          <cell r="AH23">
            <v>984264</v>
          </cell>
          <cell r="AI23">
            <v>1537380</v>
          </cell>
          <cell r="AJ23">
            <v>2186496</v>
          </cell>
          <cell r="AK23">
            <v>779280</v>
          </cell>
          <cell r="AL23">
            <v>779280</v>
          </cell>
          <cell r="AM23">
            <v>779280</v>
          </cell>
          <cell r="AN23">
            <v>3416400</v>
          </cell>
          <cell r="AO23">
            <v>1571544</v>
          </cell>
          <cell r="AP23">
            <v>4577976</v>
          </cell>
          <cell r="AQ23">
            <v>1571544</v>
          </cell>
          <cell r="AR23">
            <v>4099680</v>
          </cell>
          <cell r="AS23">
            <v>3758040</v>
          </cell>
          <cell r="AT23">
            <v>4099680</v>
          </cell>
          <cell r="AU23">
            <v>4099680</v>
          </cell>
          <cell r="AV23">
            <v>3758040</v>
          </cell>
          <cell r="AW23">
            <v>4099680</v>
          </cell>
          <cell r="AX23">
            <v>4099680</v>
          </cell>
          <cell r="AY23">
            <v>4099680</v>
          </cell>
          <cell r="AZ23">
            <v>3758040</v>
          </cell>
          <cell r="BA23">
            <v>3758040</v>
          </cell>
          <cell r="BB23">
            <v>3758040</v>
          </cell>
          <cell r="BC23">
            <v>1462560</v>
          </cell>
          <cell r="BD23">
            <v>96000</v>
          </cell>
          <cell r="BE23">
            <v>96000</v>
          </cell>
        </row>
        <row r="24">
          <cell r="A24" t="str">
            <v>SENA - VERIFICAR CREE
(C + D) X 2%</v>
          </cell>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row>
        <row r="25">
          <cell r="A25" t="str">
            <v>ICBF - VERIFICAR CREE
(C + D) X 3%</v>
          </cell>
          <cell r="B25">
            <v>0</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row>
        <row r="26">
          <cell r="A26" t="str">
            <v>EXAMEN DE INGRESO - EGRESO</v>
          </cell>
          <cell r="B26">
            <v>100000</v>
          </cell>
          <cell r="C26">
            <v>100000</v>
          </cell>
          <cell r="D26">
            <v>100000</v>
          </cell>
          <cell r="E26">
            <v>100000</v>
          </cell>
          <cell r="F26">
            <v>100000</v>
          </cell>
          <cell r="G26">
            <v>100000</v>
          </cell>
          <cell r="H26">
            <v>100000</v>
          </cell>
          <cell r="I26">
            <v>100000</v>
          </cell>
          <cell r="J26">
            <v>100000</v>
          </cell>
          <cell r="K26">
            <v>100000</v>
          </cell>
          <cell r="L26">
            <v>100000</v>
          </cell>
          <cell r="M26">
            <v>100000</v>
          </cell>
          <cell r="N26">
            <v>100000</v>
          </cell>
          <cell r="O26">
            <v>100000</v>
          </cell>
          <cell r="P26">
            <v>100000</v>
          </cell>
          <cell r="Q26">
            <v>100000</v>
          </cell>
          <cell r="R26">
            <v>100000</v>
          </cell>
          <cell r="S26">
            <v>100000</v>
          </cell>
          <cell r="T26">
            <v>100000</v>
          </cell>
          <cell r="U26">
            <v>100000</v>
          </cell>
          <cell r="V26">
            <v>100000</v>
          </cell>
          <cell r="W26">
            <v>100000</v>
          </cell>
          <cell r="X26">
            <v>100000</v>
          </cell>
          <cell r="Y26">
            <v>100000</v>
          </cell>
          <cell r="Z26">
            <v>100000</v>
          </cell>
          <cell r="AA26">
            <v>100000</v>
          </cell>
          <cell r="AB26">
            <v>100000</v>
          </cell>
          <cell r="AC26">
            <v>100000</v>
          </cell>
          <cell r="AD26">
            <v>100000</v>
          </cell>
          <cell r="AE26">
            <v>100000</v>
          </cell>
          <cell r="AF26">
            <v>100000</v>
          </cell>
          <cell r="AG26">
            <v>100000</v>
          </cell>
          <cell r="AH26">
            <v>100000</v>
          </cell>
          <cell r="AI26">
            <v>100000</v>
          </cell>
          <cell r="AJ26">
            <v>100000</v>
          </cell>
          <cell r="AK26">
            <v>100000</v>
          </cell>
          <cell r="AL26">
            <v>100000</v>
          </cell>
          <cell r="AM26">
            <v>100000</v>
          </cell>
          <cell r="AN26">
            <v>100000</v>
          </cell>
          <cell r="AO26">
            <v>100000</v>
          </cell>
          <cell r="AP26">
            <v>100000</v>
          </cell>
          <cell r="AQ26">
            <v>100000</v>
          </cell>
          <cell r="AR26">
            <v>100000</v>
          </cell>
          <cell r="AS26">
            <v>100000</v>
          </cell>
          <cell r="AT26">
            <v>100000</v>
          </cell>
          <cell r="AU26">
            <v>100000</v>
          </cell>
          <cell r="AV26">
            <v>100000</v>
          </cell>
          <cell r="AW26">
            <v>100000</v>
          </cell>
          <cell r="AX26">
            <v>100000</v>
          </cell>
          <cell r="AY26">
            <v>100000</v>
          </cell>
          <cell r="AZ26">
            <v>100000</v>
          </cell>
          <cell r="BA26">
            <v>100000</v>
          </cell>
          <cell r="BB26">
            <v>100000</v>
          </cell>
          <cell r="BC26">
            <v>100000</v>
          </cell>
          <cell r="BD26">
            <v>100000</v>
          </cell>
          <cell r="BE26">
            <v>100000</v>
          </cell>
        </row>
        <row r="27">
          <cell r="A27" t="str">
            <v xml:space="preserve">DOTACIÓN </v>
          </cell>
          <cell r="B27">
            <v>0</v>
          </cell>
          <cell r="C27">
            <v>0</v>
          </cell>
          <cell r="D27">
            <v>0</v>
          </cell>
          <cell r="E27">
            <v>0</v>
          </cell>
          <cell r="F27">
            <v>0</v>
          </cell>
          <cell r="G27">
            <v>0</v>
          </cell>
          <cell r="H27">
            <v>0</v>
          </cell>
          <cell r="I27">
            <v>0</v>
          </cell>
          <cell r="J27">
            <v>0</v>
          </cell>
          <cell r="K27">
            <v>0</v>
          </cell>
          <cell r="L27">
            <v>378000</v>
          </cell>
          <cell r="M27">
            <v>378000</v>
          </cell>
          <cell r="N27">
            <v>378000</v>
          </cell>
          <cell r="O27">
            <v>378000</v>
          </cell>
          <cell r="P27">
            <v>378000</v>
          </cell>
          <cell r="Q27">
            <v>0</v>
          </cell>
          <cell r="R27">
            <v>378000</v>
          </cell>
          <cell r="S27">
            <v>378000</v>
          </cell>
          <cell r="T27">
            <v>0</v>
          </cell>
          <cell r="U27">
            <v>0</v>
          </cell>
          <cell r="V27">
            <v>378000</v>
          </cell>
          <cell r="W27">
            <v>378000</v>
          </cell>
          <cell r="X27">
            <v>378000</v>
          </cell>
          <cell r="Y27">
            <v>378000</v>
          </cell>
          <cell r="Z27">
            <v>378000</v>
          </cell>
          <cell r="AA27">
            <v>378000</v>
          </cell>
          <cell r="AB27">
            <v>378000</v>
          </cell>
          <cell r="AC27">
            <v>378000</v>
          </cell>
          <cell r="AD27">
            <v>378000</v>
          </cell>
          <cell r="AE27">
            <v>378000</v>
          </cell>
          <cell r="AF27">
            <v>378000</v>
          </cell>
          <cell r="AG27">
            <v>378000</v>
          </cell>
          <cell r="AH27">
            <v>378000</v>
          </cell>
          <cell r="AI27">
            <v>378000</v>
          </cell>
          <cell r="AJ27">
            <v>378000</v>
          </cell>
          <cell r="AK27">
            <v>378000</v>
          </cell>
          <cell r="AL27">
            <v>378000</v>
          </cell>
          <cell r="AM27">
            <v>378000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378000</v>
          </cell>
          <cell r="BD27">
            <v>378000</v>
          </cell>
          <cell r="BE27">
            <v>378000</v>
          </cell>
        </row>
        <row r="28">
          <cell r="A28" t="str">
            <v>KIT ELEMENTOS DE PROTECCIÓN PERSONAL</v>
          </cell>
          <cell r="B28">
            <v>390500</v>
          </cell>
          <cell r="C28">
            <v>390500</v>
          </cell>
          <cell r="D28">
            <v>390500</v>
          </cell>
          <cell r="E28">
            <v>390500</v>
          </cell>
          <cell r="F28">
            <v>390500</v>
          </cell>
          <cell r="G28">
            <v>390500</v>
          </cell>
          <cell r="H28">
            <v>390500</v>
          </cell>
          <cell r="I28">
            <v>390500</v>
          </cell>
          <cell r="J28">
            <v>390500</v>
          </cell>
          <cell r="K28">
            <v>390500</v>
          </cell>
          <cell r="L28">
            <v>390500</v>
          </cell>
          <cell r="M28">
            <v>390500</v>
          </cell>
          <cell r="N28">
            <v>390500</v>
          </cell>
          <cell r="O28">
            <v>390500</v>
          </cell>
          <cell r="P28">
            <v>390500</v>
          </cell>
          <cell r="Q28">
            <v>662200</v>
          </cell>
          <cell r="R28">
            <v>662200</v>
          </cell>
          <cell r="S28">
            <v>662200</v>
          </cell>
          <cell r="T28">
            <v>662200</v>
          </cell>
          <cell r="U28">
            <v>662200</v>
          </cell>
          <cell r="V28">
            <v>662200</v>
          </cell>
          <cell r="W28">
            <v>662200</v>
          </cell>
          <cell r="X28">
            <v>662200</v>
          </cell>
          <cell r="Y28">
            <v>662200</v>
          </cell>
          <cell r="Z28">
            <v>662200</v>
          </cell>
          <cell r="AA28">
            <v>662200</v>
          </cell>
          <cell r="AB28">
            <v>662200</v>
          </cell>
          <cell r="AC28">
            <v>662200</v>
          </cell>
          <cell r="AD28">
            <v>662200</v>
          </cell>
          <cell r="AE28">
            <v>662200</v>
          </cell>
          <cell r="AF28">
            <v>662200</v>
          </cell>
          <cell r="AG28">
            <v>662200</v>
          </cell>
          <cell r="AH28">
            <v>662200</v>
          </cell>
          <cell r="AI28">
            <v>662200</v>
          </cell>
          <cell r="AJ28">
            <v>662200</v>
          </cell>
          <cell r="AK28">
            <v>662200</v>
          </cell>
          <cell r="AL28">
            <v>662200</v>
          </cell>
          <cell r="AM28">
            <v>662200</v>
          </cell>
          <cell r="AN28">
            <v>390500</v>
          </cell>
          <cell r="AO28">
            <v>390500</v>
          </cell>
          <cell r="AP28">
            <v>390500</v>
          </cell>
          <cell r="AQ28">
            <v>390500</v>
          </cell>
          <cell r="AR28">
            <v>390500</v>
          </cell>
          <cell r="AS28">
            <v>390500</v>
          </cell>
          <cell r="AT28">
            <v>390500</v>
          </cell>
          <cell r="AU28">
            <v>390500</v>
          </cell>
          <cell r="AV28">
            <v>390500</v>
          </cell>
          <cell r="AW28">
            <v>390500</v>
          </cell>
          <cell r="AX28">
            <v>390500</v>
          </cell>
          <cell r="AY28">
            <v>390500</v>
          </cell>
          <cell r="AZ28">
            <v>390500</v>
          </cell>
          <cell r="BA28">
            <v>390500</v>
          </cell>
          <cell r="BB28">
            <v>390500</v>
          </cell>
          <cell r="BC28">
            <v>390500</v>
          </cell>
          <cell r="BD28">
            <v>662200</v>
          </cell>
          <cell r="BE28">
            <v>662200</v>
          </cell>
        </row>
        <row r="29">
          <cell r="A29" t="str">
            <v>TOTAL ANUAL</v>
          </cell>
          <cell r="B29">
            <v>128093040</v>
          </cell>
          <cell r="C29">
            <v>128093040</v>
          </cell>
          <cell r="D29">
            <v>77222844</v>
          </cell>
          <cell r="E29">
            <v>77222844</v>
          </cell>
          <cell r="F29">
            <v>77222844</v>
          </cell>
          <cell r="G29">
            <v>77222844</v>
          </cell>
          <cell r="H29">
            <v>77222844</v>
          </cell>
          <cell r="I29">
            <v>59418276</v>
          </cell>
          <cell r="J29">
            <v>171332706</v>
          </cell>
          <cell r="K29">
            <v>117919001</v>
          </cell>
          <cell r="L29">
            <v>51924081</v>
          </cell>
          <cell r="M29">
            <v>41750042</v>
          </cell>
          <cell r="N29">
            <v>30304248</v>
          </cell>
          <cell r="O29">
            <v>30304248</v>
          </cell>
          <cell r="P29">
            <v>30304248</v>
          </cell>
          <cell r="Q29">
            <v>123277721</v>
          </cell>
          <cell r="R29">
            <v>61339731</v>
          </cell>
          <cell r="S29">
            <v>39478233</v>
          </cell>
          <cell r="T29">
            <v>77494544</v>
          </cell>
          <cell r="U29">
            <v>59689976</v>
          </cell>
          <cell r="V29">
            <v>71513770</v>
          </cell>
          <cell r="W29">
            <v>38206477</v>
          </cell>
          <cell r="X29">
            <v>56011046</v>
          </cell>
          <cell r="Y29">
            <v>35662968</v>
          </cell>
          <cell r="Z29">
            <v>56011046</v>
          </cell>
          <cell r="AA29">
            <v>33119458</v>
          </cell>
          <cell r="AB29">
            <v>56011046</v>
          </cell>
          <cell r="AC29">
            <v>56011046</v>
          </cell>
          <cell r="AD29">
            <v>56011046</v>
          </cell>
          <cell r="AE29">
            <v>56011046</v>
          </cell>
          <cell r="AF29">
            <v>38206477</v>
          </cell>
          <cell r="AG29">
            <v>30575948</v>
          </cell>
          <cell r="AH29">
            <v>38206477</v>
          </cell>
          <cell r="AI29">
            <v>58796221</v>
          </cell>
          <cell r="AJ29">
            <v>82959564</v>
          </cell>
          <cell r="AK29">
            <v>30575948</v>
          </cell>
          <cell r="AL29">
            <v>30575948</v>
          </cell>
          <cell r="AM29">
            <v>30575948</v>
          </cell>
          <cell r="AN29">
            <v>128093040</v>
          </cell>
          <cell r="AO29">
            <v>59418276</v>
          </cell>
          <cell r="AP29">
            <v>171332706</v>
          </cell>
          <cell r="AQ29">
            <v>59418276</v>
          </cell>
          <cell r="AR29">
            <v>153528138</v>
          </cell>
          <cell r="AS29">
            <v>140810589</v>
          </cell>
          <cell r="AT29">
            <v>153528138</v>
          </cell>
          <cell r="AU29">
            <v>153528138</v>
          </cell>
          <cell r="AV29">
            <v>140810589</v>
          </cell>
          <cell r="AW29">
            <v>153528138</v>
          </cell>
          <cell r="AX29">
            <v>153528138</v>
          </cell>
          <cell r="AY29">
            <v>153528138</v>
          </cell>
          <cell r="AZ29">
            <v>140810589</v>
          </cell>
          <cell r="BA29">
            <v>140810589</v>
          </cell>
          <cell r="BB29">
            <v>140810589</v>
          </cell>
          <cell r="BC29">
            <v>55739346</v>
          </cell>
          <cell r="BD29">
            <v>5140850</v>
          </cell>
          <cell r="BE29">
            <v>5140850</v>
          </cell>
        </row>
        <row r="30">
          <cell r="A30" t="str">
            <v>JORNAL</v>
          </cell>
          <cell r="B30">
            <v>234000</v>
          </cell>
          <cell r="C30">
            <v>234000</v>
          </cell>
          <cell r="D30">
            <v>140400</v>
          </cell>
          <cell r="E30">
            <v>140400</v>
          </cell>
          <cell r="F30">
            <v>140400</v>
          </cell>
          <cell r="G30">
            <v>140400</v>
          </cell>
          <cell r="H30">
            <v>140400</v>
          </cell>
          <cell r="I30">
            <v>107640</v>
          </cell>
          <cell r="J30">
            <v>313560</v>
          </cell>
          <cell r="K30">
            <v>215280</v>
          </cell>
          <cell r="L30">
            <v>86580</v>
          </cell>
          <cell r="M30">
            <v>67860</v>
          </cell>
          <cell r="N30">
            <v>46800</v>
          </cell>
          <cell r="O30">
            <v>46800</v>
          </cell>
          <cell r="P30">
            <v>46800</v>
          </cell>
          <cell r="Q30">
            <v>224640</v>
          </cell>
          <cell r="R30">
            <v>109980</v>
          </cell>
          <cell r="S30">
            <v>63180</v>
          </cell>
          <cell r="T30">
            <v>140400</v>
          </cell>
          <cell r="U30">
            <v>107640</v>
          </cell>
          <cell r="V30">
            <v>128700</v>
          </cell>
          <cell r="W30">
            <v>60840</v>
          </cell>
          <cell r="X30">
            <v>93600</v>
          </cell>
          <cell r="Y30">
            <v>56160</v>
          </cell>
          <cell r="Z30">
            <v>93600</v>
          </cell>
          <cell r="AA30">
            <v>51480</v>
          </cell>
          <cell r="AB30">
            <v>93600</v>
          </cell>
          <cell r="AC30">
            <v>93600</v>
          </cell>
          <cell r="AD30">
            <v>93600</v>
          </cell>
          <cell r="AE30">
            <v>93600</v>
          </cell>
          <cell r="AF30">
            <v>60840</v>
          </cell>
          <cell r="AG30">
            <v>46800</v>
          </cell>
          <cell r="AH30">
            <v>60840</v>
          </cell>
          <cell r="AI30">
            <v>105300</v>
          </cell>
          <cell r="AJ30">
            <v>149760</v>
          </cell>
          <cell r="AK30">
            <v>46800</v>
          </cell>
          <cell r="AL30">
            <v>46800</v>
          </cell>
          <cell r="AM30">
            <v>46800</v>
          </cell>
          <cell r="AN30">
            <v>234000</v>
          </cell>
          <cell r="AO30">
            <v>107640</v>
          </cell>
          <cell r="AP30">
            <v>313560</v>
          </cell>
          <cell r="AQ30">
            <v>107640</v>
          </cell>
          <cell r="AR30">
            <v>280800</v>
          </cell>
          <cell r="AS30">
            <v>257400</v>
          </cell>
          <cell r="AT30">
            <v>280800</v>
          </cell>
          <cell r="AU30">
            <v>280800</v>
          </cell>
          <cell r="AV30">
            <v>257400</v>
          </cell>
          <cell r="AW30">
            <v>280800</v>
          </cell>
          <cell r="AX30">
            <v>280800</v>
          </cell>
          <cell r="AY30">
            <v>280800</v>
          </cell>
          <cell r="AZ30">
            <v>257400</v>
          </cell>
          <cell r="BA30">
            <v>257400</v>
          </cell>
          <cell r="BB30">
            <v>257400</v>
          </cell>
          <cell r="BC30">
            <v>93600</v>
          </cell>
          <cell r="BD30">
            <v>0</v>
          </cell>
          <cell r="BE30">
            <v>0</v>
          </cell>
        </row>
        <row r="31">
          <cell r="A31" t="str">
            <v>PRESTACIONES</v>
          </cell>
          <cell r="B31">
            <v>116940</v>
          </cell>
          <cell r="C31">
            <v>116940</v>
          </cell>
          <cell r="D31">
            <v>71169</v>
          </cell>
          <cell r="E31">
            <v>71169</v>
          </cell>
          <cell r="F31">
            <v>71169</v>
          </cell>
          <cell r="G31">
            <v>71169</v>
          </cell>
          <cell r="H31">
            <v>71169</v>
          </cell>
          <cell r="I31">
            <v>55150</v>
          </cell>
          <cell r="J31">
            <v>155845</v>
          </cell>
          <cell r="K31">
            <v>107786</v>
          </cell>
          <cell r="L31">
            <v>55678</v>
          </cell>
          <cell r="M31">
            <v>46524</v>
          </cell>
          <cell r="N31">
            <v>36225</v>
          </cell>
          <cell r="O31">
            <v>36225</v>
          </cell>
          <cell r="P31">
            <v>36225</v>
          </cell>
          <cell r="Q31">
            <v>113107</v>
          </cell>
          <cell r="R31">
            <v>58074</v>
          </cell>
          <cell r="S31">
            <v>44980</v>
          </cell>
          <cell r="T31">
            <v>71914</v>
          </cell>
          <cell r="U31">
            <v>55894</v>
          </cell>
          <cell r="V31">
            <v>67228</v>
          </cell>
          <cell r="W31">
            <v>43835</v>
          </cell>
          <cell r="X31">
            <v>59855</v>
          </cell>
          <cell r="Y31">
            <v>41547</v>
          </cell>
          <cell r="Z31">
            <v>59855</v>
          </cell>
          <cell r="AA31">
            <v>39258</v>
          </cell>
          <cell r="AB31">
            <v>59855</v>
          </cell>
          <cell r="AC31">
            <v>59855</v>
          </cell>
          <cell r="AD31">
            <v>59855</v>
          </cell>
          <cell r="AE31">
            <v>59855</v>
          </cell>
          <cell r="AF31">
            <v>43835</v>
          </cell>
          <cell r="AG31">
            <v>36970</v>
          </cell>
          <cell r="AH31">
            <v>43835</v>
          </cell>
          <cell r="AI31">
            <v>55786</v>
          </cell>
          <cell r="AJ31">
            <v>77526</v>
          </cell>
          <cell r="AK31">
            <v>36970</v>
          </cell>
          <cell r="AL31">
            <v>36970</v>
          </cell>
          <cell r="AM31">
            <v>36970</v>
          </cell>
          <cell r="AN31">
            <v>116940</v>
          </cell>
          <cell r="AO31">
            <v>55150</v>
          </cell>
          <cell r="AP31">
            <v>155845</v>
          </cell>
          <cell r="AQ31">
            <v>55150</v>
          </cell>
          <cell r="AR31">
            <v>139825</v>
          </cell>
          <cell r="AS31">
            <v>128382</v>
          </cell>
          <cell r="AT31">
            <v>139825</v>
          </cell>
          <cell r="AU31">
            <v>139825</v>
          </cell>
          <cell r="AV31">
            <v>128382</v>
          </cell>
          <cell r="AW31">
            <v>139825</v>
          </cell>
          <cell r="AX31">
            <v>139825</v>
          </cell>
          <cell r="AY31">
            <v>139825</v>
          </cell>
          <cell r="AZ31">
            <v>128382</v>
          </cell>
          <cell r="BA31">
            <v>128382</v>
          </cell>
          <cell r="BB31">
            <v>128382</v>
          </cell>
          <cell r="BC31">
            <v>59111</v>
          </cell>
          <cell r="BD31">
            <v>14085</v>
          </cell>
          <cell r="BE31">
            <v>14085</v>
          </cell>
        </row>
        <row r="32">
          <cell r="A32" t="str">
            <v>FACTOR PRESTACIONAL</v>
          </cell>
          <cell r="B32">
            <v>1.5</v>
          </cell>
          <cell r="C32">
            <v>1.5</v>
          </cell>
          <cell r="D32">
            <v>1.51</v>
          </cell>
          <cell r="E32">
            <v>1.51</v>
          </cell>
          <cell r="F32">
            <v>1.51</v>
          </cell>
          <cell r="G32">
            <v>1.51</v>
          </cell>
          <cell r="H32">
            <v>1.51</v>
          </cell>
          <cell r="I32">
            <v>1.51</v>
          </cell>
          <cell r="J32">
            <v>1.5</v>
          </cell>
          <cell r="K32">
            <v>1.5</v>
          </cell>
          <cell r="L32">
            <v>1.64</v>
          </cell>
          <cell r="M32">
            <v>1.69</v>
          </cell>
          <cell r="N32">
            <v>1.77</v>
          </cell>
          <cell r="O32">
            <v>1.77</v>
          </cell>
          <cell r="P32">
            <v>1.77</v>
          </cell>
          <cell r="Q32">
            <v>1.5</v>
          </cell>
          <cell r="R32">
            <v>1.53</v>
          </cell>
          <cell r="S32">
            <v>1.71</v>
          </cell>
          <cell r="T32">
            <v>1.51</v>
          </cell>
          <cell r="U32">
            <v>1.52</v>
          </cell>
          <cell r="V32">
            <v>1.52</v>
          </cell>
          <cell r="W32">
            <v>1.72</v>
          </cell>
          <cell r="X32">
            <v>1.64</v>
          </cell>
          <cell r="Y32">
            <v>1.74</v>
          </cell>
          <cell r="Z32">
            <v>1.64</v>
          </cell>
          <cell r="AA32">
            <v>1.76</v>
          </cell>
          <cell r="AB32">
            <v>1.64</v>
          </cell>
          <cell r="AC32">
            <v>1.64</v>
          </cell>
          <cell r="AD32">
            <v>1.64</v>
          </cell>
          <cell r="AE32">
            <v>1.64</v>
          </cell>
          <cell r="AF32">
            <v>1.72</v>
          </cell>
          <cell r="AG32">
            <v>1.79</v>
          </cell>
          <cell r="AH32">
            <v>1.72</v>
          </cell>
          <cell r="AI32">
            <v>1.53</v>
          </cell>
          <cell r="AJ32">
            <v>1.52</v>
          </cell>
          <cell r="AK32">
            <v>1.79</v>
          </cell>
          <cell r="AL32">
            <v>1.79</v>
          </cell>
          <cell r="AM32">
            <v>1.79</v>
          </cell>
          <cell r="AN32">
            <v>1.5</v>
          </cell>
          <cell r="AO32">
            <v>1.51</v>
          </cell>
          <cell r="AP32">
            <v>1.5</v>
          </cell>
          <cell r="AQ32">
            <v>1.51</v>
          </cell>
          <cell r="AR32">
            <v>1.5</v>
          </cell>
          <cell r="AS32">
            <v>1.5</v>
          </cell>
          <cell r="AT32">
            <v>1.5</v>
          </cell>
          <cell r="AU32">
            <v>1.5</v>
          </cell>
          <cell r="AV32">
            <v>1.5</v>
          </cell>
          <cell r="AW32">
            <v>1.5</v>
          </cell>
          <cell r="AX32">
            <v>1.5</v>
          </cell>
          <cell r="AY32">
            <v>1.5</v>
          </cell>
          <cell r="AZ32">
            <v>1.5</v>
          </cell>
          <cell r="BA32">
            <v>1.5</v>
          </cell>
          <cell r="BB32">
            <v>1.5</v>
          </cell>
          <cell r="BC32">
            <v>1.63</v>
          </cell>
          <cell r="BD32">
            <v>0</v>
          </cell>
          <cell r="BE32">
            <v>0</v>
          </cell>
        </row>
      </sheetData>
      <sheetData sheetId="19">
        <row r="7">
          <cell r="A7" t="str">
            <v>CÓDIGO</v>
          </cell>
          <cell r="B7" t="str">
            <v>DESCRIPCIÓN</v>
          </cell>
          <cell r="C7" t="str">
            <v>UNIDAD</v>
          </cell>
          <cell r="D7" t="str">
            <v>VALOR UNITARIO</v>
          </cell>
        </row>
        <row r="8">
          <cell r="A8" t="str">
            <v>TR001</v>
          </cell>
          <cell r="B8" t="str">
            <v>TRANSPORTE DE INSUMOS GENERALES 0-1KM</v>
          </cell>
          <cell r="C8" t="str">
            <v>TON-KM</v>
          </cell>
          <cell r="D8">
            <v>4250</v>
          </cell>
        </row>
        <row r="9">
          <cell r="A9" t="str">
            <v>TR002</v>
          </cell>
          <cell r="B9" t="str">
            <v>TRANSPORTE DE MATERIALES DE PLAYA (ARENILLON, PIEDRA RODADA DE RIO DMAX=1") 0-1KM</v>
          </cell>
          <cell r="C9" t="str">
            <v>M3-KM</v>
          </cell>
          <cell r="D9">
            <v>6100</v>
          </cell>
        </row>
        <row r="10">
          <cell r="A10" t="str">
            <v>TR003</v>
          </cell>
          <cell r="B10" t="str">
            <v>TRANSPORTE DE MATERIAL DE EXCAVACIÓN</v>
          </cell>
          <cell r="C10" t="str">
            <v>M3-KM</v>
          </cell>
          <cell r="D10">
            <v>1500</v>
          </cell>
        </row>
        <row r="11">
          <cell r="A11" t="str">
            <v>TR004</v>
          </cell>
          <cell r="B11" t="str">
            <v>TRANSPORTE DE ESCOMBROS</v>
          </cell>
          <cell r="C11" t="str">
            <v>M3-KM</v>
          </cell>
          <cell r="D11">
            <v>1500</v>
          </cell>
        </row>
        <row r="12">
          <cell r="A12" t="str">
            <v>TR005</v>
          </cell>
          <cell r="B12" t="str">
            <v>TRANSPORTE DE MATERIALES GRANULARES</v>
          </cell>
          <cell r="C12" t="str">
            <v>M3-KM</v>
          </cell>
          <cell r="D12">
            <v>1500</v>
          </cell>
        </row>
        <row r="13">
          <cell r="A13" t="str">
            <v>TR006</v>
          </cell>
          <cell r="B13" t="str">
            <v>TRANSPORTE DE MEZCLAS ASFÁLTICAS</v>
          </cell>
          <cell r="C13" t="str">
            <v>TON-KM</v>
          </cell>
          <cell r="D13">
            <v>1500</v>
          </cell>
        </row>
        <row r="14">
          <cell r="A14" t="str">
            <v>TR007</v>
          </cell>
          <cell r="B14" t="str">
            <v>TRANSPORTE DE INSUMOS GENERALES 0-10 KM</v>
          </cell>
          <cell r="C14" t="str">
            <v>TON-KM</v>
          </cell>
          <cell r="D14">
            <v>4250</v>
          </cell>
        </row>
        <row r="15">
          <cell r="A15" t="str">
            <v>TR008</v>
          </cell>
          <cell r="B15" t="str">
            <v>TRANSPORTE DE INSUMOS GENERALES 11-30 KM</v>
          </cell>
          <cell r="C15" t="str">
            <v>TON-KM</v>
          </cell>
          <cell r="D15">
            <v>2480</v>
          </cell>
        </row>
        <row r="16">
          <cell r="A16" t="str">
            <v>TR009</v>
          </cell>
          <cell r="B16" t="str">
            <v>TRANSPORTE DE INSUMOS GENERALES 31-70 KM</v>
          </cell>
          <cell r="C16" t="str">
            <v>TON-KM</v>
          </cell>
          <cell r="D16">
            <v>1300</v>
          </cell>
        </row>
        <row r="17">
          <cell r="A17" t="str">
            <v>TR010</v>
          </cell>
          <cell r="B17" t="str">
            <v>TRANSPORTE DE INSUMOS GENERALES 71-150 KM</v>
          </cell>
          <cell r="C17" t="str">
            <v>TON-KM</v>
          </cell>
          <cell r="D17">
            <v>860</v>
          </cell>
        </row>
        <row r="18">
          <cell r="A18" t="str">
            <v>TR011</v>
          </cell>
          <cell r="B18" t="str">
            <v>TRANSPORTE DE INSUMOS GENERALES 151-310 KM</v>
          </cell>
          <cell r="C18" t="str">
            <v>TON-KM</v>
          </cell>
          <cell r="D18">
            <v>560</v>
          </cell>
        </row>
        <row r="19">
          <cell r="A19" t="str">
            <v>TR012</v>
          </cell>
          <cell r="B19" t="str">
            <v>TRANSPORTE DE INSUMOS GENERALES MAYOR A 310 KM</v>
          </cell>
          <cell r="C19" t="str">
            <v>TON-KM</v>
          </cell>
          <cell r="D19">
            <v>280</v>
          </cell>
        </row>
        <row r="20">
          <cell r="A20" t="str">
            <v>TR013</v>
          </cell>
          <cell r="B20" t="str">
            <v>TRANSPORTE DE MATERIALES DE PLAYA, TIERRA O ESCOMBROS 0-10 KM</v>
          </cell>
          <cell r="C20" t="str">
            <v>M3-KM</v>
          </cell>
          <cell r="D20">
            <v>8930</v>
          </cell>
        </row>
        <row r="21">
          <cell r="A21" t="str">
            <v>TR014</v>
          </cell>
          <cell r="B21" t="str">
            <v>TRANSPORTE DE MATERIALES DE PLAYA, TIERRA O ESCOMBROS 11-30 KM</v>
          </cell>
          <cell r="C21" t="str">
            <v>M3-KM</v>
          </cell>
          <cell r="D21">
            <v>4220</v>
          </cell>
        </row>
        <row r="22">
          <cell r="A22" t="str">
            <v>TR015</v>
          </cell>
          <cell r="B22" t="str">
            <v>TRANSPORTE DE MATERIALES DE PLAYA, TIERRA O ESCOMBROS 31-70 KM</v>
          </cell>
          <cell r="C22" t="str">
            <v>M3-KM</v>
          </cell>
          <cell r="D22">
            <v>2210</v>
          </cell>
        </row>
        <row r="23">
          <cell r="A23" t="str">
            <v>TR016</v>
          </cell>
          <cell r="B23" t="str">
            <v>TRANSPORTE DE MATERIALES DE PLAYA, TIERRA O ESCOMBROS 71-150 KM</v>
          </cell>
          <cell r="C23" t="str">
            <v>M3-KM</v>
          </cell>
          <cell r="D23">
            <v>1460</v>
          </cell>
        </row>
        <row r="24">
          <cell r="A24" t="str">
            <v>TR017</v>
          </cell>
          <cell r="B24" t="str">
            <v>TRANSPORTE DE MATERIALES DE PLAYA, TIERRA O ESCOMBROS 151-310 KM</v>
          </cell>
          <cell r="C24" t="str">
            <v>M3-KM</v>
          </cell>
          <cell r="D24">
            <v>950</v>
          </cell>
        </row>
        <row r="25">
          <cell r="A25" t="str">
            <v>TR018</v>
          </cell>
          <cell r="B25" t="str">
            <v>TRANSPORTE DE MATERIALES DE PLAYA, TIERRA O ESCOMBROS MAYOR A 310 KM</v>
          </cell>
          <cell r="C25" t="str">
            <v>M3-KM</v>
          </cell>
          <cell r="D25">
            <v>480</v>
          </cell>
        </row>
        <row r="26">
          <cell r="A26" t="str">
            <v>TR019</v>
          </cell>
          <cell r="B26" t="str">
            <v>ACARREO INTERNO DE MATERIALES</v>
          </cell>
          <cell r="C26" t="str">
            <v>M3</v>
          </cell>
          <cell r="D26">
            <v>7700</v>
          </cell>
        </row>
        <row r="27">
          <cell r="A27" t="str">
            <v>TR020</v>
          </cell>
          <cell r="B27" t="str">
            <v>TRANSPORTE DE MATERIALES  (TRITURADO), 0-54 KM</v>
          </cell>
          <cell r="C27" t="str">
            <v>M3</v>
          </cell>
          <cell r="D27">
            <v>950</v>
          </cell>
        </row>
      </sheetData>
      <sheetData sheetId="20">
        <row r="7">
          <cell r="A7" t="str">
            <v>CÓDIGO</v>
          </cell>
          <cell r="B7" t="str">
            <v>DESCRIPCIÓN</v>
          </cell>
          <cell r="C7" t="str">
            <v>UNIDAD</v>
          </cell>
          <cell r="D7" t="str">
            <v>VALOR UNITARIO</v>
          </cell>
        </row>
        <row r="8">
          <cell r="A8" t="str">
            <v>SE005</v>
          </cell>
          <cell r="B8" t="str">
            <v>ADQUISICIÓN DE CARTOGRAFIA (IMÁGENES DE SATELITE Y FOTOS AÉREAS EXISTENTES) S/COMPROBANTE PAGO</v>
          </cell>
          <cell r="C8" t="str">
            <v>UN</v>
          </cell>
          <cell r="D8">
            <v>100000</v>
          </cell>
        </row>
        <row r="9">
          <cell r="A9" t="str">
            <v>SE003</v>
          </cell>
          <cell r="B9" t="str">
            <v>ARRIENDO OFICINA DE CAMPO + DOTACIÓN</v>
          </cell>
          <cell r="C9" t="str">
            <v>MES</v>
          </cell>
          <cell r="D9">
            <v>400000</v>
          </cell>
        </row>
        <row r="10">
          <cell r="A10" t="str">
            <v>SE001</v>
          </cell>
          <cell r="B10" t="str">
            <v>COMISIÓN TOPOGRÁFICA (1 TOP. + 1 CAD. 1 + 1 CAD. 2)</v>
          </cell>
          <cell r="C10" t="str">
            <v>DÍA</v>
          </cell>
          <cell r="D10">
            <v>516617.33808219177</v>
          </cell>
        </row>
        <row r="11">
          <cell r="A11" t="str">
            <v>SE002</v>
          </cell>
          <cell r="B11" t="str">
            <v>COMISIÓN TOPOGRÁFICA (1 TOP. + 1 CAD. 1)</v>
          </cell>
          <cell r="C11" t="str">
            <v>DÍA</v>
          </cell>
          <cell r="D11">
            <v>447639.43886027398</v>
          </cell>
        </row>
        <row r="12">
          <cell r="A12" t="str">
            <v>SEL009</v>
          </cell>
          <cell r="B12" t="str">
            <v>Compactación, densidad, estabilidad y flujo por briqueta para asfaltos</v>
          </cell>
          <cell r="C12" t="str">
            <v>UN</v>
          </cell>
          <cell r="D12">
            <v>72000</v>
          </cell>
        </row>
        <row r="13">
          <cell r="A13" t="str">
            <v>SE004</v>
          </cell>
          <cell r="B13" t="str">
            <v>DERECHO A BOTADERO</v>
          </cell>
          <cell r="C13" t="str">
            <v>M3</v>
          </cell>
          <cell r="D13">
            <v>5000</v>
          </cell>
        </row>
        <row r="14">
          <cell r="A14" t="str">
            <v>SEL003</v>
          </cell>
          <cell r="B14" t="str">
            <v>Determinación de terrones de arcilla y partículas deleznables en los agregados</v>
          </cell>
          <cell r="C14" t="str">
            <v>UN</v>
          </cell>
          <cell r="D14">
            <v>79000</v>
          </cell>
        </row>
        <row r="15">
          <cell r="A15" t="str">
            <v>SEL006</v>
          </cell>
          <cell r="B15" t="str">
            <v>Diseños de mezcla para una resistencia determinada (Incluye ensayos a agregados y verificación de resistencia)</v>
          </cell>
          <cell r="C15" t="str">
            <v>UN</v>
          </cell>
          <cell r="D15">
            <v>500000</v>
          </cell>
        </row>
        <row r="16">
          <cell r="A16" t="str">
            <v>SEL008</v>
          </cell>
          <cell r="B16" t="str">
            <v>Ensayo de viguetas para medir la resistencia a la flexión del concreto</v>
          </cell>
          <cell r="C16" t="str">
            <v>UN</v>
          </cell>
          <cell r="D16">
            <v>110000</v>
          </cell>
        </row>
        <row r="17">
          <cell r="A17" t="str">
            <v>SEL001</v>
          </cell>
          <cell r="B17" t="str">
            <v>Granulometría por tamizado con lavado sobre tamiz No 200</v>
          </cell>
          <cell r="C17" t="str">
            <v>UN</v>
          </cell>
          <cell r="D17">
            <v>107000</v>
          </cell>
        </row>
        <row r="18">
          <cell r="A18" t="str">
            <v>SEL005</v>
          </cell>
          <cell r="B18" t="str">
            <v>Relación de Soporte del Suelo en el laboratorio (CBR en el laboratorio) remodelado y sumergido. Suelos granulares (3 puntos)</v>
          </cell>
          <cell r="C18" t="str">
            <v>UN</v>
          </cell>
          <cell r="D18">
            <v>368000</v>
          </cell>
        </row>
        <row r="19">
          <cell r="A19" t="str">
            <v>SEL004</v>
          </cell>
          <cell r="B19" t="str">
            <v>Relaciones de humedad - masa unitaria seca en los suelos (ensayo modificado de compactación - Proctor Modificado) con corrección del peso unitario y contenido de agua</v>
          </cell>
          <cell r="C19" t="str">
            <v>UN</v>
          </cell>
          <cell r="D19">
            <v>147000</v>
          </cell>
        </row>
        <row r="20">
          <cell r="A20" t="str">
            <v>SEL007</v>
          </cell>
          <cell r="B20" t="str">
            <v>Resistencia a la compresión de cilindros de concreto (método normal)</v>
          </cell>
          <cell r="C20" t="str">
            <v>UN</v>
          </cell>
          <cell r="D20">
            <v>12000</v>
          </cell>
        </row>
        <row r="21">
          <cell r="A21" t="str">
            <v>SEL002</v>
          </cell>
          <cell r="B21" t="str">
            <v>Resistencia al desgaste de los agregados de tamaños menores a 37,5 mm (1 1/2") por medio de la máquina de los ángeles.</v>
          </cell>
          <cell r="C21" t="str">
            <v>UN</v>
          </cell>
          <cell r="D21">
            <v>145000</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INDICE"/>
      <sheetName val="ACLARACIONES"/>
      <sheetName val="ENTIDADES"/>
      <sheetName val="DATOS INICIALES"/>
      <sheetName val="PRESUPUESTO"/>
      <sheetName val="MEMORIAS"/>
      <sheetName val="APU"/>
      <sheetName val="CRONOGRAMA"/>
      <sheetName val="AIU"/>
      <sheetName val="PMA"/>
      <sheetName val="PMT"/>
      <sheetName val="PÓLIZAS OBRA"/>
      <sheetName val="IMPUESTOS OBRA"/>
      <sheetName val="APU GEORREFERENCIACIÓN"/>
      <sheetName val="APU CARACTERIZACIÓN"/>
      <sheetName val="AJUSTE ESTUDIOS"/>
      <sheetName val="APU AUXILIARES"/>
      <sheetName val="INSUMOS GENERALES"/>
      <sheetName val="INSUMOS EQUIPOS"/>
      <sheetName val="INSUMOS MATERIALE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INSUMOS ENSAYOS"/>
      <sheetName val="FACTOR PRESTACIONAL 2024"/>
      <sheetName val="FACTOR PRESTACIONAL"/>
      <sheetName val="INTERVENTORÍA"/>
      <sheetName val="FM INTERVENTORÍA"/>
      <sheetName val="TASAS_INTERVENTORIA"/>
      <sheetName val="PÓLIZAS INTERVENTORÍA"/>
    </sheetNames>
    <sheetDataSet>
      <sheetData sheetId="0"/>
      <sheetData sheetId="1"/>
      <sheetData sheetId="2"/>
      <sheetData sheetId="3">
        <row r="7">
          <cell r="B7" t="str">
            <v>MUNICIPIO DE DABEIBA</v>
          </cell>
        </row>
        <row r="9">
          <cell r="B9" t="str">
            <v xml:space="preserve">MARLON ASDRUBAL PEREZ HERRERA </v>
          </cell>
        </row>
        <row r="10">
          <cell r="B10" t="str">
            <v>INGENIERO BANCO DE PROYECTOS</v>
          </cell>
        </row>
        <row r="11">
          <cell r="B11" t="str">
            <v>BANCO DE PROYECTOS - SECRETARIA DE PLANEACIÓN</v>
          </cell>
        </row>
        <row r="12">
          <cell r="B12" t="str">
            <v>MAT No. 05202.354756ANT</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8">
          <cell r="A8" t="str">
            <v>GE001</v>
          </cell>
          <cell r="B8" t="str">
            <v>VALLA 1 (12,0X4,0M). INCLUYE ESTRUCTURA METÁLICA PARA FIJACIÓN Y SOPORTE</v>
          </cell>
          <cell r="C8" t="str">
            <v>UN</v>
          </cell>
        </row>
        <row r="9">
          <cell r="A9" t="str">
            <v>GE002</v>
          </cell>
          <cell r="B9" t="str">
            <v>VALLA 2 (3,0X2,0M). INCLUYE ESTRUCTURA METÁLICA PARA FIJACIÓN Y SOPORTE</v>
          </cell>
          <cell r="C9" t="str">
            <v>UN</v>
          </cell>
          <cell r="D9">
            <v>1300000</v>
          </cell>
        </row>
        <row r="10">
          <cell r="A10" t="str">
            <v>GE003</v>
          </cell>
          <cell r="B10" t="str">
            <v>VALLA 3 (3,0X2,0M). NO INCLUYE ESTRUCTURA METÁLICA PARA FIJACIÓN Y SOPORTE (SOLO LONA)</v>
          </cell>
          <cell r="C10" t="str">
            <v>UN</v>
          </cell>
        </row>
        <row r="11">
          <cell r="A11" t="str">
            <v>GE004</v>
          </cell>
          <cell r="B11" t="str">
            <v>VALLA 4 (2,0X2,0M). NO INCLUYE ESTRUCTURA METÁLICA PARA FIJACIÓN Y SOPORTE (SOLO LONA)</v>
          </cell>
          <cell r="C11" t="str">
            <v>UN</v>
          </cell>
        </row>
        <row r="12">
          <cell r="A12" t="str">
            <v>GE005</v>
          </cell>
          <cell r="B12" t="str">
            <v>VALLA 5 (0,9X0,5M). NO INCLUYE ESTRUCTURA METÁLICA PARA FIJACIÓN Y SOPORTE (SOLO LONA)</v>
          </cell>
          <cell r="C12" t="str">
            <v>UN</v>
          </cell>
        </row>
        <row r="13">
          <cell r="A13" t="str">
            <v>GE006</v>
          </cell>
          <cell r="B13" t="str">
            <v>VEHÍCULO DOBLE TRACCIÓN, DOBLE CABINA, 2000 CC O SUPERIOR (MODELO 2015 O SUPERIOR)  TARIFA DE ALQUILER TIEMPO COMPLETO, INCLUYE COMBUSTIBLE Y CONDUCTOR. SE DEBE GARANTIZAR PERMANENCIA DE LOS VEHÍCULOS DURANTE TODA LA EJECUCIÓN DEL PROYECTO.</v>
          </cell>
          <cell r="C13" t="str">
            <v>MES</v>
          </cell>
          <cell r="D13">
            <v>4000000</v>
          </cell>
        </row>
        <row r="14">
          <cell r="A14" t="str">
            <v>GE007</v>
          </cell>
          <cell r="B14" t="str">
            <v xml:space="preserve">MOTO ALQUILER MODELO 2014 O SUPERIOR  - TARIFA DE ALQUILER </v>
          </cell>
          <cell r="C14" t="str">
            <v>MES</v>
          </cell>
          <cell r="D14">
            <v>1000000</v>
          </cell>
        </row>
        <row r="15">
          <cell r="A15" t="str">
            <v>GE008</v>
          </cell>
          <cell r="B15" t="str">
            <v>TARIFA PUESTO DE TRABAJO DEL PERSONAL DE OFICINA DE CAMPO, INCLUYE: ALQUILER DE UN (1) EQUIPO DE COMPUTO COMPLETO, ESCRITORIO, SILLA Y OTROS ENSERES DE OFICINA POR PUESTO DE TRABAJO</v>
          </cell>
          <cell r="C15" t="str">
            <v>MES</v>
          </cell>
          <cell r="D15">
            <v>150000</v>
          </cell>
        </row>
        <row r="16">
          <cell r="A16" t="str">
            <v>GE009</v>
          </cell>
          <cell r="B16" t="str">
            <v>IMPRESORA EN OBRA (ALQUILER)</v>
          </cell>
          <cell r="C16" t="str">
            <v>MES</v>
          </cell>
          <cell r="D16">
            <v>50000</v>
          </cell>
        </row>
        <row r="17">
          <cell r="A17" t="str">
            <v>GE010</v>
          </cell>
          <cell r="B17" t="str">
            <v>COMUNICACIONES (TELÉFONO, FAX, CELULAR, INTERNET, ETC.) MENSUAL EN CAMPO</v>
          </cell>
          <cell r="C17" t="str">
            <v>MES</v>
          </cell>
          <cell r="D17">
            <v>50000</v>
          </cell>
        </row>
        <row r="18">
          <cell r="A18" t="str">
            <v>GE011</v>
          </cell>
          <cell r="B18" t="str">
            <v>RADIOTELÉFONOS PARE-SIGA</v>
          </cell>
          <cell r="C18" t="str">
            <v>MES</v>
          </cell>
        </row>
        <row r="19">
          <cell r="A19" t="str">
            <v>GE012</v>
          </cell>
          <cell r="B19" t="str">
            <v>ALQUILER BAÑOS PORTÁTILES + MANTENIMIENTO Y LIMPIEZA</v>
          </cell>
          <cell r="C19" t="str">
            <v>MES</v>
          </cell>
        </row>
        <row r="20">
          <cell r="A20" t="str">
            <v>GE013</v>
          </cell>
          <cell r="B20" t="str">
            <v>ARRIENDO OFICINA DE CAMPO + DOTACIÓN</v>
          </cell>
          <cell r="C20" t="str">
            <v>MES</v>
          </cell>
        </row>
        <row r="21">
          <cell r="A21" t="str">
            <v>GE014</v>
          </cell>
          <cell r="B21" t="str">
            <v>EQUIPO COMPLETO PARA GEORREFERENCIACIÓN Y CAPTURA , ALMACENAMIENTO, ANALISIS, TRANSFORMACIÓN Y PRESENTACIÓN DE TODA LA INFORMACIÓN GEOGRÁFICA Y SUS ATRIBUTOS, INCLUYE SOFTWARE</v>
          </cell>
          <cell r="C21" t="str">
            <v>MES</v>
          </cell>
        </row>
        <row r="22">
          <cell r="A22" t="str">
            <v>GE015</v>
          </cell>
          <cell r="B22" t="str">
            <v>HERRAMIENTAS DE CAMPO (CÁMARA-EQUIPO DE MEDICIÓN-LASER Y HERRAMIENTA MENOR)</v>
          </cell>
          <cell r="C22" t="str">
            <v>MES</v>
          </cell>
        </row>
        <row r="23">
          <cell r="A23" t="str">
            <v>GE016</v>
          </cell>
          <cell r="B23" t="str">
            <v>CAMIONETA D300</v>
          </cell>
          <cell r="C23" t="str">
            <v>DÍA</v>
          </cell>
        </row>
        <row r="24">
          <cell r="A24" t="str">
            <v>GE017</v>
          </cell>
          <cell r="B24" t="str">
            <v>ESTACIÓN TOTAL</v>
          </cell>
          <cell r="C24" t="str">
            <v>DÍA</v>
          </cell>
          <cell r="D24">
            <v>80000</v>
          </cell>
        </row>
        <row r="25">
          <cell r="A25" t="str">
            <v>GE018</v>
          </cell>
          <cell r="B25" t="str">
            <v>NIVEL DE PRECISIÓN</v>
          </cell>
          <cell r="C25" t="str">
            <v>DÍA</v>
          </cell>
          <cell r="D25">
            <v>50000</v>
          </cell>
        </row>
        <row r="26">
          <cell r="A26" t="str">
            <v>GE019</v>
          </cell>
          <cell r="B26" t="str">
            <v>ADQUISICIÓN DE CARTOGRAFIA (IMÁGENES DE SATELITE Y FOTOS AÉREAS EXISTENTES) S/COMPROBANTE PAGO</v>
          </cell>
          <cell r="C26" t="str">
            <v>UN</v>
          </cell>
        </row>
        <row r="27">
          <cell r="A27" t="str">
            <v>GE020</v>
          </cell>
          <cell r="B27" t="str">
            <v>Alquiler de Oficina Principal y campamento de obra (Incluye muebles, enseres , equipo de oficina, servicios publicos y telecomunicaciones)</v>
          </cell>
          <cell r="C27" t="str">
            <v>mes</v>
          </cell>
          <cell r="D27">
            <v>1200000</v>
          </cell>
        </row>
        <row r="28">
          <cell r="A28" t="str">
            <v>GE021</v>
          </cell>
          <cell r="B28" t="str">
            <v>Granulometría por tamizado con lavado sobre tamiz No 200</v>
          </cell>
          <cell r="C28" t="str">
            <v>unidad</v>
          </cell>
          <cell r="D28">
            <v>120000</v>
          </cell>
        </row>
        <row r="29">
          <cell r="A29" t="str">
            <v>GE022</v>
          </cell>
          <cell r="B29" t="str">
            <v>Determinación del límite líquido, límite plástico e índice de plasticidad de suelos</v>
          </cell>
        </row>
        <row r="30">
          <cell r="A30" t="str">
            <v>GE023</v>
          </cell>
          <cell r="B30" t="str">
            <v>Relaciones de humedad - masa unitaria seca en los suelos (ensayo modificado de compactación - Proctor Modificado) con corrección del peso unitario y contenido de agua</v>
          </cell>
          <cell r="C30" t="str">
            <v>unidad</v>
          </cell>
          <cell r="D30">
            <v>160000</v>
          </cell>
        </row>
        <row r="31">
          <cell r="A31" t="str">
            <v>GE024</v>
          </cell>
          <cell r="B31" t="str">
            <v>Relación de Soporte del Suelo en el laboratorio (CBR en el laboratorio) remodelado y sumergido. Suelos granulares (3 puntos)</v>
          </cell>
          <cell r="C31" t="str">
            <v>unidad</v>
          </cell>
          <cell r="D31">
            <v>380000</v>
          </cell>
        </row>
        <row r="32">
          <cell r="A32" t="str">
            <v>GE025</v>
          </cell>
          <cell r="B32" t="str">
            <v>Ensayos de corte directo modalidad CD</v>
          </cell>
          <cell r="C32" t="str">
            <v>unidad</v>
          </cell>
          <cell r="D32">
            <v>850000</v>
          </cell>
        </row>
        <row r="33">
          <cell r="A33" t="str">
            <v>GE026</v>
          </cell>
        </row>
        <row r="34">
          <cell r="A34" t="str">
            <v>GE027</v>
          </cell>
        </row>
        <row r="35">
          <cell r="A35" t="str">
            <v>GE028</v>
          </cell>
        </row>
        <row r="36">
          <cell r="A36" t="str">
            <v>GE029</v>
          </cell>
        </row>
        <row r="37">
          <cell r="A37" t="str">
            <v>GE030</v>
          </cell>
        </row>
        <row r="38">
          <cell r="A38" t="str">
            <v>GE031</v>
          </cell>
        </row>
        <row r="39">
          <cell r="A39" t="str">
            <v>GE032</v>
          </cell>
        </row>
        <row r="40">
          <cell r="A40" t="str">
            <v>GE033</v>
          </cell>
        </row>
        <row r="41">
          <cell r="A41" t="str">
            <v>GE034</v>
          </cell>
        </row>
        <row r="42">
          <cell r="A42" t="str">
            <v>GE035</v>
          </cell>
        </row>
        <row r="43">
          <cell r="A43" t="str">
            <v>GE036</v>
          </cell>
        </row>
        <row r="44">
          <cell r="A44" t="str">
            <v>GE037</v>
          </cell>
        </row>
        <row r="45">
          <cell r="A45" t="str">
            <v>GE038</v>
          </cell>
        </row>
        <row r="46">
          <cell r="A46" t="str">
            <v>GE039</v>
          </cell>
        </row>
        <row r="47">
          <cell r="A47" t="str">
            <v>GE040</v>
          </cell>
        </row>
        <row r="48">
          <cell r="A48" t="str">
            <v>GE041</v>
          </cell>
        </row>
        <row r="49">
          <cell r="A49" t="str">
            <v>GE042</v>
          </cell>
        </row>
        <row r="50">
          <cell r="A50" t="str">
            <v>GE043</v>
          </cell>
        </row>
        <row r="51">
          <cell r="A51" t="str">
            <v>GE044</v>
          </cell>
        </row>
        <row r="52">
          <cell r="A52" t="str">
            <v>GE045</v>
          </cell>
        </row>
        <row r="53">
          <cell r="A53" t="str">
            <v>GE046</v>
          </cell>
        </row>
        <row r="54">
          <cell r="A54" t="str">
            <v>GE047</v>
          </cell>
        </row>
        <row r="55">
          <cell r="A55" t="str">
            <v>GE048</v>
          </cell>
        </row>
        <row r="56">
          <cell r="A56" t="str">
            <v>GE049</v>
          </cell>
        </row>
        <row r="57">
          <cell r="A57" t="str">
            <v>GE050</v>
          </cell>
        </row>
        <row r="58">
          <cell r="A58" t="str">
            <v>GE051</v>
          </cell>
        </row>
        <row r="59">
          <cell r="A59" t="str">
            <v>GE052</v>
          </cell>
        </row>
        <row r="60">
          <cell r="A60" t="str">
            <v>GE053</v>
          </cell>
        </row>
        <row r="61">
          <cell r="A61" t="str">
            <v>GE054</v>
          </cell>
        </row>
        <row r="62">
          <cell r="A62" t="str">
            <v>GE055</v>
          </cell>
        </row>
        <row r="63">
          <cell r="A63" t="str">
            <v>GE056</v>
          </cell>
        </row>
        <row r="64">
          <cell r="A64" t="str">
            <v>GE057</v>
          </cell>
        </row>
        <row r="65">
          <cell r="A65" t="str">
            <v>GE058</v>
          </cell>
        </row>
        <row r="66">
          <cell r="A66" t="str">
            <v>GE059</v>
          </cell>
        </row>
        <row r="67">
          <cell r="A67" t="str">
            <v>GE060</v>
          </cell>
        </row>
        <row r="68">
          <cell r="A68" t="str">
            <v>GE061</v>
          </cell>
        </row>
        <row r="69">
          <cell r="A69" t="str">
            <v>GE062</v>
          </cell>
        </row>
        <row r="70">
          <cell r="A70" t="str">
            <v>GE063</v>
          </cell>
        </row>
        <row r="71">
          <cell r="A71" t="str">
            <v>GE064</v>
          </cell>
        </row>
        <row r="72">
          <cell r="A72" t="str">
            <v>GE065</v>
          </cell>
        </row>
        <row r="73">
          <cell r="A73" t="str">
            <v>GE066</v>
          </cell>
        </row>
        <row r="74">
          <cell r="A74" t="str">
            <v>GE067</v>
          </cell>
        </row>
        <row r="75">
          <cell r="A75" t="str">
            <v>GE068</v>
          </cell>
        </row>
        <row r="76">
          <cell r="A76" t="str">
            <v>GE069</v>
          </cell>
        </row>
        <row r="77">
          <cell r="A77" t="str">
            <v>GE070</v>
          </cell>
        </row>
        <row r="78">
          <cell r="A78" t="str">
            <v>GE071</v>
          </cell>
        </row>
        <row r="79">
          <cell r="A79" t="str">
            <v>GE072</v>
          </cell>
        </row>
        <row r="80">
          <cell r="A80" t="str">
            <v>GE073</v>
          </cell>
        </row>
        <row r="81">
          <cell r="A81" t="str">
            <v>GE074</v>
          </cell>
        </row>
        <row r="82">
          <cell r="A82" t="str">
            <v>GE075</v>
          </cell>
        </row>
        <row r="83">
          <cell r="A83" t="str">
            <v>GE076</v>
          </cell>
        </row>
        <row r="84">
          <cell r="A84" t="str">
            <v>GE077</v>
          </cell>
        </row>
        <row r="85">
          <cell r="A85" t="str">
            <v>GE078</v>
          </cell>
        </row>
        <row r="86">
          <cell r="A86" t="str">
            <v>GE079</v>
          </cell>
        </row>
        <row r="87">
          <cell r="A87" t="str">
            <v>GE080</v>
          </cell>
        </row>
        <row r="88">
          <cell r="A88" t="str">
            <v>GE081</v>
          </cell>
        </row>
        <row r="89">
          <cell r="A89" t="str">
            <v>GE082</v>
          </cell>
        </row>
        <row r="90">
          <cell r="A90" t="str">
            <v>GE083</v>
          </cell>
        </row>
        <row r="91">
          <cell r="A91" t="str">
            <v>GE084</v>
          </cell>
        </row>
        <row r="92">
          <cell r="A92" t="str">
            <v>GE085</v>
          </cell>
        </row>
        <row r="93">
          <cell r="A93" t="str">
            <v>GE086</v>
          </cell>
        </row>
        <row r="94">
          <cell r="A94" t="str">
            <v>GE087</v>
          </cell>
        </row>
        <row r="95">
          <cell r="A95" t="str">
            <v>GE088</v>
          </cell>
        </row>
        <row r="96">
          <cell r="A96" t="str">
            <v>GE089</v>
          </cell>
        </row>
        <row r="97">
          <cell r="A97" t="str">
            <v>GE090</v>
          </cell>
        </row>
        <row r="98">
          <cell r="A98" t="str">
            <v>GE091</v>
          </cell>
        </row>
        <row r="99">
          <cell r="A99" t="str">
            <v>GE092</v>
          </cell>
        </row>
        <row r="100">
          <cell r="A100" t="str">
            <v>GE093</v>
          </cell>
        </row>
        <row r="101">
          <cell r="A101" t="str">
            <v>GE094</v>
          </cell>
        </row>
        <row r="102">
          <cell r="A102" t="str">
            <v>GE095</v>
          </cell>
        </row>
        <row r="103">
          <cell r="A103" t="str">
            <v>GE096</v>
          </cell>
        </row>
        <row r="104">
          <cell r="A104" t="str">
            <v>GE097</v>
          </cell>
        </row>
        <row r="105">
          <cell r="A105" t="str">
            <v>GE098</v>
          </cell>
        </row>
        <row r="106">
          <cell r="A106" t="str">
            <v>GE099</v>
          </cell>
        </row>
        <row r="107">
          <cell r="A107" t="str">
            <v>GE100</v>
          </cell>
        </row>
        <row r="111">
          <cell r="B111" t="str">
            <v xml:space="preserve">MARLON ASDRUBAL PEREZ HERRERA </v>
          </cell>
        </row>
        <row r="112">
          <cell r="B112" t="str">
            <v>INGENIERO BANCO DE PROYECTOS</v>
          </cell>
        </row>
        <row r="113">
          <cell r="B113" t="str">
            <v>BANCO DE PROYECTOS - SECRETARIA DE PLANEACIÓN</v>
          </cell>
        </row>
        <row r="114">
          <cell r="B114" t="str">
            <v>M.P. MAT No. 05202.354756ANT</v>
          </cell>
        </row>
      </sheetData>
      <sheetData sheetId="18"/>
      <sheetData sheetId="19"/>
      <sheetData sheetId="20"/>
      <sheetData sheetId="21"/>
      <sheetData sheetId="22">
        <row r="1">
          <cell r="A1" t="str">
            <v>DEPARTAMENTO DE ANTIOQUIA</v>
          </cell>
        </row>
        <row r="2">
          <cell r="A2" t="str">
            <v>MUNICIPIO DE DABEIBA</v>
          </cell>
        </row>
        <row r="3">
          <cell r="A3" t="str">
            <v>PROYECTO: CONSTRUCCIÓN DE PUENTE COLGANTE EN LA VEREDA LA FLORIDA CON OCASIÓN DE LOS EVENTOS QUE ORIGINARON LA DECLARATORIA DE URGENCIA MANIFIESTA, DECRETO 101 DE 2025 EN EL MUNICIPIO DE DABEIBA, DEPARTAMENTO DE ANTIOQUIA</v>
          </cell>
          <cell r="H3" t="str">
            <v>INSERTE ESCUDO ENTIDAD AQUÍ</v>
          </cell>
        </row>
        <row r="5">
          <cell r="A5" t="str">
            <v>LISTADO DE INSUMOS - MANO DE OBRA</v>
          </cell>
        </row>
        <row r="7">
          <cell r="A7" t="str">
            <v>CÓDIGO</v>
          </cell>
          <cell r="B7" t="str">
            <v>CARGO</v>
          </cell>
          <cell r="C7" t="str">
            <v>CLASE</v>
          </cell>
          <cell r="D7" t="str">
            <v>SALARIO MENSUAL</v>
          </cell>
          <cell r="E7" t="str">
            <v>FACTOR PRESTACIONAL</v>
          </cell>
          <cell r="F7" t="str">
            <v>SALARIO MENSUAL + PRESTACIONES</v>
          </cell>
          <cell r="G7" t="str">
            <v>JORNAL</v>
          </cell>
          <cell r="H7" t="str">
            <v>PRESTACIONES</v>
          </cell>
          <cell r="I7" t="str">
            <v>JORNAL TOTAL</v>
          </cell>
        </row>
        <row r="8">
          <cell r="A8" t="str">
            <v>MO001</v>
          </cell>
          <cell r="B8" t="str">
            <v>PROFESIONAL DIRECTOR</v>
          </cell>
          <cell r="C8" t="str">
            <v>ADMÓN</v>
          </cell>
          <cell r="D8">
            <v>8754525</v>
          </cell>
          <cell r="E8">
            <v>1.45</v>
          </cell>
          <cell r="F8">
            <v>12694061</v>
          </cell>
          <cell r="G8">
            <v>291818</v>
          </cell>
          <cell r="H8">
            <v>131318.09999999998</v>
          </cell>
          <cell r="I8">
            <v>423136</v>
          </cell>
        </row>
        <row r="9">
          <cell r="A9" t="str">
            <v>MO002</v>
          </cell>
          <cell r="B9" t="str">
            <v xml:space="preserve">PROFESIONAL RESIDENTE
</v>
          </cell>
          <cell r="C9" t="str">
            <v>ADMÓN</v>
          </cell>
          <cell r="D9">
            <v>7003620</v>
          </cell>
          <cell r="E9">
            <v>1.46</v>
          </cell>
          <cell r="F9">
            <v>10225285</v>
          </cell>
          <cell r="G9">
            <v>233454</v>
          </cell>
          <cell r="H9">
            <v>107388.84</v>
          </cell>
          <cell r="I9">
            <v>340843</v>
          </cell>
        </row>
        <row r="10">
          <cell r="A10" t="str">
            <v>MO003</v>
          </cell>
          <cell r="B10" t="str">
            <v>TECNOLOGO AMBIENTAL</v>
          </cell>
          <cell r="C10" t="str">
            <v>ADMÓN</v>
          </cell>
          <cell r="D10">
            <v>4587371.1000000006</v>
          </cell>
          <cell r="E10">
            <v>1.46</v>
          </cell>
          <cell r="F10">
            <v>6697562</v>
          </cell>
          <cell r="G10">
            <v>152912</v>
          </cell>
          <cell r="H10">
            <v>70339.51999999999</v>
          </cell>
          <cell r="I10">
            <v>223252</v>
          </cell>
        </row>
        <row r="11">
          <cell r="A11" t="str">
            <v>MO004</v>
          </cell>
          <cell r="B11" t="str">
            <v>RESIDENTE SOCIAL</v>
          </cell>
          <cell r="C11" t="str">
            <v>ADMÓN</v>
          </cell>
          <cell r="D11">
            <v>5252715</v>
          </cell>
          <cell r="E11">
            <v>1.46</v>
          </cell>
          <cell r="F11">
            <v>7668964</v>
          </cell>
          <cell r="G11">
            <v>175091</v>
          </cell>
          <cell r="H11">
            <v>80541.86</v>
          </cell>
          <cell r="I11">
            <v>255633</v>
          </cell>
        </row>
        <row r="12">
          <cell r="A12" t="str">
            <v>MO005</v>
          </cell>
          <cell r="B12" t="str">
            <v>AUXILIAR DE RESIDENCIA</v>
          </cell>
          <cell r="C12" t="str">
            <v>ADMÓN</v>
          </cell>
          <cell r="D12">
            <v>4578616.5750000002</v>
          </cell>
          <cell r="E12">
            <v>1.46</v>
          </cell>
          <cell r="F12">
            <v>6684780</v>
          </cell>
          <cell r="G12">
            <v>152621</v>
          </cell>
          <cell r="H12">
            <v>70205.659999999989</v>
          </cell>
          <cell r="I12">
            <v>222827</v>
          </cell>
        </row>
        <row r="13">
          <cell r="A13" t="str">
            <v>MO006</v>
          </cell>
          <cell r="B13" t="str">
            <v>TECNOLOGO SST</v>
          </cell>
          <cell r="C13" t="str">
            <v>ADMÓN</v>
          </cell>
          <cell r="D13">
            <v>4578616.5750000002</v>
          </cell>
          <cell r="E13">
            <v>1.46</v>
          </cell>
          <cell r="F13">
            <v>6684780</v>
          </cell>
          <cell r="G13">
            <v>152621</v>
          </cell>
          <cell r="H13">
            <v>70205.659999999989</v>
          </cell>
          <cell r="I13">
            <v>222827</v>
          </cell>
        </row>
        <row r="14">
          <cell r="A14" t="str">
            <v>MO007</v>
          </cell>
          <cell r="B14" t="str">
            <v>PROFESIONAL SST</v>
          </cell>
          <cell r="C14" t="str">
            <v>ADMÓN</v>
          </cell>
          <cell r="D14">
            <v>6103654.8300000001</v>
          </cell>
          <cell r="E14">
            <v>1.46</v>
          </cell>
          <cell r="F14">
            <v>8911336</v>
          </cell>
          <cell r="G14">
            <v>203455</v>
          </cell>
          <cell r="H14">
            <v>93589.299999999988</v>
          </cell>
          <cell r="I14">
            <v>297044</v>
          </cell>
        </row>
        <row r="15">
          <cell r="A15" t="str">
            <v>MO008</v>
          </cell>
          <cell r="B15" t="str">
            <v>CONTADOR</v>
          </cell>
          <cell r="C15" t="str">
            <v>ADMÓN</v>
          </cell>
          <cell r="D15">
            <v>6103654.8300000001</v>
          </cell>
          <cell r="E15">
            <v>1.46</v>
          </cell>
          <cell r="F15">
            <v>8911336</v>
          </cell>
          <cell r="G15">
            <v>203455</v>
          </cell>
          <cell r="H15">
            <v>93589.299999999988</v>
          </cell>
          <cell r="I15">
            <v>297044</v>
          </cell>
        </row>
        <row r="16">
          <cell r="A16" t="str">
            <v>MO009</v>
          </cell>
          <cell r="B16" t="str">
            <v>ALMACENISTA</v>
          </cell>
          <cell r="C16" t="str">
            <v>ADMÓN</v>
          </cell>
          <cell r="D16">
            <v>2694642.7949999999</v>
          </cell>
          <cell r="E16">
            <v>1.44</v>
          </cell>
          <cell r="F16">
            <v>3880286</v>
          </cell>
          <cell r="G16">
            <v>98259</v>
          </cell>
          <cell r="H16">
            <v>43233.959999999992</v>
          </cell>
          <cell r="I16">
            <v>141493</v>
          </cell>
        </row>
        <row r="17">
          <cell r="A17" t="str">
            <v>MO010</v>
          </cell>
          <cell r="B17" t="str">
            <v>SECRETARIA</v>
          </cell>
          <cell r="C17" t="str">
            <v>ADMÓN</v>
          </cell>
          <cell r="D17">
            <v>2024046.18</v>
          </cell>
          <cell r="E17">
            <v>1.44</v>
          </cell>
          <cell r="F17">
            <v>2914626</v>
          </cell>
          <cell r="G17">
            <v>75905</v>
          </cell>
          <cell r="H17">
            <v>33398.199999999997</v>
          </cell>
          <cell r="I17">
            <v>109303</v>
          </cell>
        </row>
        <row r="18">
          <cell r="A18" t="str">
            <v>MO011</v>
          </cell>
          <cell r="B18" t="str">
            <v>MENSAJERO</v>
          </cell>
          <cell r="C18" t="str">
            <v>ADMÓN</v>
          </cell>
          <cell r="D18">
            <v>1750905</v>
          </cell>
          <cell r="E18">
            <v>1.44</v>
          </cell>
          <cell r="F18">
            <v>2521303</v>
          </cell>
          <cell r="G18">
            <v>66801</v>
          </cell>
          <cell r="H18">
            <v>29392.439999999995</v>
          </cell>
          <cell r="I18">
            <v>96193</v>
          </cell>
        </row>
        <row r="19">
          <cell r="A19" t="str">
            <v>MO012</v>
          </cell>
          <cell r="B19" t="str">
            <v>VIGILANTE</v>
          </cell>
          <cell r="C19" t="str">
            <v>ADMÓN</v>
          </cell>
          <cell r="D19">
            <v>1750905</v>
          </cell>
          <cell r="E19">
            <v>1.44</v>
          </cell>
          <cell r="F19">
            <v>2521303</v>
          </cell>
          <cell r="G19">
            <v>66801</v>
          </cell>
          <cell r="H19">
            <v>29392.439999999995</v>
          </cell>
          <cell r="I19">
            <v>96193</v>
          </cell>
        </row>
        <row r="20">
          <cell r="A20" t="str">
            <v>MO013</v>
          </cell>
          <cell r="B20" t="str">
            <v>TOPOGRAFO</v>
          </cell>
          <cell r="C20" t="str">
            <v>OBRA</v>
          </cell>
          <cell r="D20">
            <v>4727443.5</v>
          </cell>
          <cell r="E20">
            <v>1.8</v>
          </cell>
          <cell r="F20">
            <v>8509398</v>
          </cell>
          <cell r="G20">
            <v>157581</v>
          </cell>
          <cell r="H20">
            <v>126064.8</v>
          </cell>
          <cell r="I20">
            <v>283646</v>
          </cell>
        </row>
        <row r="21">
          <cell r="A21" t="str">
            <v>MO014</v>
          </cell>
          <cell r="B21" t="str">
            <v>CADENERO 1</v>
          </cell>
          <cell r="C21" t="str">
            <v>OBRA</v>
          </cell>
          <cell r="D21">
            <v>3151629</v>
          </cell>
          <cell r="E21">
            <v>1.79</v>
          </cell>
          <cell r="F21">
            <v>5641416</v>
          </cell>
          <cell r="G21">
            <v>113492</v>
          </cell>
          <cell r="H21">
            <v>89658.680000000008</v>
          </cell>
          <cell r="I21">
            <v>203151</v>
          </cell>
        </row>
        <row r="22">
          <cell r="A22" t="str">
            <v>MO015</v>
          </cell>
          <cell r="B22" t="str">
            <v>CADENERO 2</v>
          </cell>
          <cell r="C22" t="str">
            <v>OBRA</v>
          </cell>
          <cell r="D22">
            <v>2626357.5</v>
          </cell>
          <cell r="E22">
            <v>1.79</v>
          </cell>
          <cell r="F22">
            <v>4701180</v>
          </cell>
          <cell r="G22">
            <v>95983</v>
          </cell>
          <cell r="H22">
            <v>75826.570000000007</v>
          </cell>
          <cell r="I22">
            <v>171810</v>
          </cell>
        </row>
        <row r="23">
          <cell r="A23" t="str">
            <v>MO016</v>
          </cell>
          <cell r="B23" t="str">
            <v>MAESTRO DE OBRA</v>
          </cell>
          <cell r="C23" t="str">
            <v>OBRA</v>
          </cell>
          <cell r="D23">
            <v>4380764.3099999996</v>
          </cell>
          <cell r="E23">
            <v>1.8</v>
          </cell>
          <cell r="F23">
            <v>7885376</v>
          </cell>
          <cell r="G23">
            <v>146025</v>
          </cell>
          <cell r="H23">
            <v>116820</v>
          </cell>
          <cell r="I23">
            <v>262845</v>
          </cell>
        </row>
        <row r="24">
          <cell r="A24" t="str">
            <v>MO017</v>
          </cell>
          <cell r="B24" t="str">
            <v>OFICIAL ELECTRICO</v>
          </cell>
          <cell r="C24" t="str">
            <v>OBRA</v>
          </cell>
          <cell r="D24">
            <v>3930781.7250000001</v>
          </cell>
          <cell r="E24">
            <v>1.8</v>
          </cell>
          <cell r="F24">
            <v>7075407</v>
          </cell>
          <cell r="G24">
            <v>131026</v>
          </cell>
          <cell r="H24">
            <v>104820.8</v>
          </cell>
          <cell r="I24">
            <v>235847</v>
          </cell>
        </row>
        <row r="25">
          <cell r="A25" t="str">
            <v>MO018</v>
          </cell>
          <cell r="B25" t="str">
            <v>OFICIAL DE OBRA</v>
          </cell>
          <cell r="C25" t="str">
            <v>OBRA</v>
          </cell>
          <cell r="D25">
            <v>3974554.35</v>
          </cell>
          <cell r="E25">
            <v>1.8</v>
          </cell>
          <cell r="F25">
            <v>7154198</v>
          </cell>
          <cell r="G25">
            <v>132485</v>
          </cell>
          <cell r="H25">
            <v>105988</v>
          </cell>
          <cell r="I25">
            <v>238473</v>
          </cell>
        </row>
        <row r="26">
          <cell r="A26" t="str">
            <v>MO019</v>
          </cell>
          <cell r="B26" t="str">
            <v>INSPECTOR DE OBRA</v>
          </cell>
          <cell r="C26" t="str">
            <v>OBRA</v>
          </cell>
          <cell r="D26">
            <v>4380764.3099999996</v>
          </cell>
          <cell r="E26">
            <v>1.8</v>
          </cell>
          <cell r="F26">
            <v>7885376</v>
          </cell>
          <cell r="G26">
            <v>146025</v>
          </cell>
          <cell r="H26">
            <v>116820</v>
          </cell>
          <cell r="I26">
            <v>262845</v>
          </cell>
        </row>
        <row r="27">
          <cell r="A27" t="str">
            <v>MO020</v>
          </cell>
          <cell r="B27" t="str">
            <v>AYUDANTE ENTENDIDO</v>
          </cell>
          <cell r="C27" t="str">
            <v>OBRA</v>
          </cell>
          <cell r="D27">
            <v>2262169.2600000002</v>
          </cell>
          <cell r="E27">
            <v>1.79</v>
          </cell>
          <cell r="F27">
            <v>4049283</v>
          </cell>
          <cell r="G27">
            <v>83843</v>
          </cell>
          <cell r="H27">
            <v>66235.97</v>
          </cell>
          <cell r="I27">
            <v>150079</v>
          </cell>
        </row>
        <row r="28">
          <cell r="A28" t="str">
            <v>MO021</v>
          </cell>
          <cell r="B28" t="str">
            <v>AYUDANTE RASO</v>
          </cell>
          <cell r="C28" t="str">
            <v>OBRA</v>
          </cell>
          <cell r="D28">
            <v>1750905</v>
          </cell>
          <cell r="E28">
            <v>1.8</v>
          </cell>
          <cell r="F28">
            <v>3151629</v>
          </cell>
          <cell r="G28">
            <v>66801</v>
          </cell>
          <cell r="H28">
            <v>53440.800000000003</v>
          </cell>
          <cell r="I28">
            <v>120242</v>
          </cell>
        </row>
        <row r="29">
          <cell r="A29" t="str">
            <v>MO022</v>
          </cell>
          <cell r="B29" t="str">
            <v>OPERADOR EQUIPO LIVIANO</v>
          </cell>
          <cell r="C29" t="str">
            <v>OBRA</v>
          </cell>
          <cell r="D29">
            <v>2276176.5</v>
          </cell>
          <cell r="E29">
            <v>1.79</v>
          </cell>
          <cell r="F29">
            <v>4074356</v>
          </cell>
          <cell r="G29">
            <v>84310</v>
          </cell>
          <cell r="H29">
            <v>66604.900000000009</v>
          </cell>
          <cell r="I29">
            <v>150915</v>
          </cell>
        </row>
        <row r="30">
          <cell r="A30" t="str">
            <v>MO023</v>
          </cell>
          <cell r="B30" t="str">
            <v>OPERADOR DE EQUIPO MEDIANO</v>
          </cell>
          <cell r="C30" t="str">
            <v>OBRA</v>
          </cell>
          <cell r="D30">
            <v>2262169.2600000002</v>
          </cell>
          <cell r="E30">
            <v>1.79</v>
          </cell>
          <cell r="F30">
            <v>4049283</v>
          </cell>
          <cell r="G30">
            <v>83843</v>
          </cell>
          <cell r="H30">
            <v>66235.97</v>
          </cell>
          <cell r="I30">
            <v>150079</v>
          </cell>
        </row>
        <row r="31">
          <cell r="A31" t="str">
            <v>MO024</v>
          </cell>
          <cell r="B31" t="str">
            <v>OPERADOR DE EQUIPO PESADO</v>
          </cell>
          <cell r="C31" t="str">
            <v>OBRA</v>
          </cell>
          <cell r="D31">
            <v>2694642.7949999999</v>
          </cell>
          <cell r="E31">
            <v>1.79</v>
          </cell>
          <cell r="F31">
            <v>4823411</v>
          </cell>
          <cell r="G31">
            <v>98259</v>
          </cell>
          <cell r="H31">
            <v>77624.61</v>
          </cell>
          <cell r="I31">
            <v>175884</v>
          </cell>
        </row>
        <row r="32">
          <cell r="A32" t="str">
            <v>MO025</v>
          </cell>
          <cell r="B32" t="str">
            <v>PILERO</v>
          </cell>
          <cell r="C32" t="str">
            <v>OBRA</v>
          </cell>
          <cell r="D32">
            <v>4027081.4999999995</v>
          </cell>
          <cell r="E32">
            <v>1.8</v>
          </cell>
          <cell r="F32">
            <v>7248747</v>
          </cell>
          <cell r="G32">
            <v>134236</v>
          </cell>
          <cell r="H32">
            <v>107388.8</v>
          </cell>
          <cell r="I32">
            <v>241625</v>
          </cell>
        </row>
        <row r="33">
          <cell r="A33" t="str">
            <v>MO026</v>
          </cell>
          <cell r="B33" t="str">
            <v>AUXILIAR PARE-SIGA</v>
          </cell>
          <cell r="C33" t="str">
            <v>OBRA</v>
          </cell>
          <cell r="D33">
            <v>1750905</v>
          </cell>
          <cell r="E33">
            <v>1.8</v>
          </cell>
          <cell r="F33">
            <v>3151629</v>
          </cell>
          <cell r="G33">
            <v>66801</v>
          </cell>
          <cell r="H33">
            <v>53440.800000000003</v>
          </cell>
          <cell r="I33">
            <v>120242</v>
          </cell>
        </row>
        <row r="34">
          <cell r="A34" t="str">
            <v>MO027</v>
          </cell>
          <cell r="B34" t="str">
            <v>INGENIERO SIG</v>
          </cell>
          <cell r="C34" t="str">
            <v>ADMÓN</v>
          </cell>
          <cell r="D34">
            <v>6103654.8300000001</v>
          </cell>
          <cell r="E34">
            <v>1.46</v>
          </cell>
          <cell r="F34">
            <v>8911336</v>
          </cell>
          <cell r="G34">
            <v>203455</v>
          </cell>
          <cell r="H34">
            <v>93589.299999999988</v>
          </cell>
          <cell r="I34">
            <v>297044</v>
          </cell>
        </row>
        <row r="35">
          <cell r="A35" t="str">
            <v>MO028</v>
          </cell>
          <cell r="B35" t="str">
            <v>TECNOLOGO SIG</v>
          </cell>
          <cell r="C35" t="str">
            <v>ADMÓN</v>
          </cell>
          <cell r="D35">
            <v>4578616.5750000002</v>
          </cell>
          <cell r="E35">
            <v>1.46</v>
          </cell>
          <cell r="F35">
            <v>6684780</v>
          </cell>
          <cell r="G35">
            <v>152621</v>
          </cell>
          <cell r="H35">
            <v>70205.659999999989</v>
          </cell>
          <cell r="I35">
            <v>222827</v>
          </cell>
        </row>
        <row r="36">
          <cell r="A36" t="str">
            <v>MO029</v>
          </cell>
          <cell r="B36" t="str">
            <v>DIBUJANTE</v>
          </cell>
          <cell r="C36" t="str">
            <v>ADMÓN</v>
          </cell>
          <cell r="D36">
            <v>4578616.5750000002</v>
          </cell>
          <cell r="E36">
            <v>1.46</v>
          </cell>
          <cell r="F36">
            <v>6684780</v>
          </cell>
          <cell r="G36">
            <v>152621</v>
          </cell>
          <cell r="H36">
            <v>70205.659999999989</v>
          </cell>
          <cell r="I36">
            <v>222827</v>
          </cell>
        </row>
        <row r="37">
          <cell r="A37" t="str">
            <v>MO030</v>
          </cell>
          <cell r="B37" t="str">
            <v>ARQUITECTO DISEÑADOR</v>
          </cell>
          <cell r="C37" t="str">
            <v>ADMÓN</v>
          </cell>
          <cell r="D37">
            <v>6103654.8300000001</v>
          </cell>
          <cell r="E37">
            <v>1.46</v>
          </cell>
          <cell r="F37">
            <v>8911336</v>
          </cell>
          <cell r="G37">
            <v>203455</v>
          </cell>
          <cell r="H37">
            <v>93589.299999999988</v>
          </cell>
          <cell r="I37">
            <v>297044</v>
          </cell>
        </row>
        <row r="38">
          <cell r="A38" t="str">
            <v>MO031</v>
          </cell>
          <cell r="B38" t="str">
            <v>ARQUITECTO ESPECIALISTA</v>
          </cell>
          <cell r="C38" t="str">
            <v>ADMÓN</v>
          </cell>
          <cell r="D38">
            <v>9778804.4250000007</v>
          </cell>
          <cell r="E38">
            <v>1.45</v>
          </cell>
          <cell r="F38">
            <v>14179266</v>
          </cell>
          <cell r="G38">
            <v>325960</v>
          </cell>
          <cell r="H38">
            <v>146682</v>
          </cell>
          <cell r="I38">
            <v>472642</v>
          </cell>
        </row>
        <row r="39">
          <cell r="A39" t="str">
            <v>MO032</v>
          </cell>
          <cell r="B39" t="str">
            <v>INGENIERO ESPECIALISTA</v>
          </cell>
          <cell r="C39" t="str">
            <v>ADMÓN</v>
          </cell>
          <cell r="D39">
            <v>9778804.4250000007</v>
          </cell>
          <cell r="E39">
            <v>1.45</v>
          </cell>
          <cell r="F39">
            <v>14179266</v>
          </cell>
          <cell r="G39">
            <v>325960</v>
          </cell>
          <cell r="H39">
            <v>146682</v>
          </cell>
          <cell r="I39">
            <v>472642</v>
          </cell>
        </row>
        <row r="40">
          <cell r="A40" t="str">
            <v>MO033</v>
          </cell>
          <cell r="B40" t="str">
            <v>GEOLOGO</v>
          </cell>
          <cell r="C40" t="str">
            <v>ADMÓN</v>
          </cell>
          <cell r="D40">
            <v>6103654.8300000001</v>
          </cell>
          <cell r="E40">
            <v>1.46</v>
          </cell>
          <cell r="F40">
            <v>8911336</v>
          </cell>
          <cell r="G40">
            <v>203455</v>
          </cell>
          <cell r="H40">
            <v>93589.299999999988</v>
          </cell>
          <cell r="I40">
            <v>297044</v>
          </cell>
        </row>
        <row r="41">
          <cell r="A41" t="str">
            <v>MO034</v>
          </cell>
          <cell r="B41" t="str">
            <v>INGENIERO ELECTRICISTA</v>
          </cell>
          <cell r="C41" t="str">
            <v>ADMÓN</v>
          </cell>
          <cell r="D41">
            <v>6103654.8300000001</v>
          </cell>
          <cell r="E41">
            <v>1.46</v>
          </cell>
          <cell r="F41">
            <v>8911336</v>
          </cell>
          <cell r="G41">
            <v>203455</v>
          </cell>
          <cell r="H41">
            <v>93589.299999999988</v>
          </cell>
          <cell r="I41">
            <v>297044</v>
          </cell>
        </row>
        <row r="42">
          <cell r="A42" t="str">
            <v>MO035</v>
          </cell>
          <cell r="B42" t="str">
            <v>OFICIAL OBRA CIVIL</v>
          </cell>
          <cell r="C42" t="str">
            <v>OBRA</v>
          </cell>
          <cell r="D42">
            <v>3930781.7250000001</v>
          </cell>
          <cell r="E42">
            <v>1.8</v>
          </cell>
          <cell r="F42">
            <v>7075407</v>
          </cell>
          <cell r="G42">
            <v>131026</v>
          </cell>
          <cell r="H42">
            <v>104820.8</v>
          </cell>
          <cell r="I42">
            <v>235847</v>
          </cell>
        </row>
        <row r="43">
          <cell r="A43" t="str">
            <v/>
          </cell>
          <cell r="C43" t="str">
            <v/>
          </cell>
          <cell r="D43" t="str">
            <v/>
          </cell>
          <cell r="E43" t="str">
            <v/>
          </cell>
          <cell r="F43" t="str">
            <v/>
          </cell>
          <cell r="G43" t="str">
            <v/>
          </cell>
          <cell r="H43" t="str">
            <v/>
          </cell>
          <cell r="I43" t="str">
            <v/>
          </cell>
        </row>
        <row r="44">
          <cell r="A44" t="str">
            <v/>
          </cell>
          <cell r="C44" t="str">
            <v/>
          </cell>
          <cell r="D44" t="str">
            <v/>
          </cell>
          <cell r="E44" t="str">
            <v/>
          </cell>
          <cell r="F44" t="str">
            <v/>
          </cell>
          <cell r="G44" t="str">
            <v/>
          </cell>
          <cell r="H44" t="str">
            <v/>
          </cell>
          <cell r="I44" t="str">
            <v/>
          </cell>
        </row>
        <row r="45">
          <cell r="A45" t="str">
            <v/>
          </cell>
          <cell r="C45" t="str">
            <v/>
          </cell>
          <cell r="D45" t="str">
            <v/>
          </cell>
          <cell r="E45" t="str">
            <v/>
          </cell>
          <cell r="F45" t="str">
            <v/>
          </cell>
          <cell r="G45" t="str">
            <v/>
          </cell>
          <cell r="H45" t="str">
            <v/>
          </cell>
          <cell r="I45" t="str">
            <v/>
          </cell>
        </row>
        <row r="46">
          <cell r="A46" t="str">
            <v/>
          </cell>
          <cell r="C46" t="str">
            <v/>
          </cell>
          <cell r="D46" t="str">
            <v/>
          </cell>
          <cell r="E46" t="str">
            <v/>
          </cell>
          <cell r="F46" t="str">
            <v/>
          </cell>
          <cell r="G46" t="str">
            <v/>
          </cell>
          <cell r="H46" t="str">
            <v/>
          </cell>
          <cell r="I46" t="str">
            <v/>
          </cell>
        </row>
        <row r="47">
          <cell r="A47" t="str">
            <v/>
          </cell>
          <cell r="C47" t="str">
            <v/>
          </cell>
          <cell r="D47" t="str">
            <v/>
          </cell>
          <cell r="E47" t="str">
            <v/>
          </cell>
          <cell r="F47" t="str">
            <v/>
          </cell>
          <cell r="G47" t="str">
            <v/>
          </cell>
          <cell r="H47" t="str">
            <v/>
          </cell>
          <cell r="I47" t="str">
            <v/>
          </cell>
        </row>
        <row r="48">
          <cell r="A48" t="str">
            <v/>
          </cell>
          <cell r="C48" t="str">
            <v/>
          </cell>
          <cell r="D48" t="str">
            <v/>
          </cell>
          <cell r="E48" t="str">
            <v/>
          </cell>
          <cell r="F48" t="str">
            <v/>
          </cell>
          <cell r="G48" t="str">
            <v/>
          </cell>
          <cell r="H48" t="str">
            <v/>
          </cell>
          <cell r="I48" t="str">
            <v/>
          </cell>
        </row>
        <row r="49">
          <cell r="A49" t="str">
            <v/>
          </cell>
          <cell r="C49" t="str">
            <v/>
          </cell>
          <cell r="D49" t="str">
            <v/>
          </cell>
          <cell r="E49" t="str">
            <v/>
          </cell>
          <cell r="F49" t="str">
            <v/>
          </cell>
          <cell r="G49" t="str">
            <v/>
          </cell>
          <cell r="H49" t="str">
            <v/>
          </cell>
          <cell r="I49" t="str">
            <v/>
          </cell>
        </row>
        <row r="50">
          <cell r="A50" t="str">
            <v/>
          </cell>
          <cell r="C50" t="str">
            <v/>
          </cell>
          <cell r="D50" t="str">
            <v/>
          </cell>
          <cell r="E50" t="str">
            <v/>
          </cell>
          <cell r="F50" t="str">
            <v/>
          </cell>
          <cell r="G50" t="str">
            <v/>
          </cell>
          <cell r="H50" t="str">
            <v/>
          </cell>
          <cell r="I50" t="str">
            <v/>
          </cell>
        </row>
        <row r="51">
          <cell r="A51" t="str">
            <v/>
          </cell>
          <cell r="C51" t="str">
            <v/>
          </cell>
          <cell r="D51" t="str">
            <v/>
          </cell>
          <cell r="E51" t="str">
            <v/>
          </cell>
          <cell r="F51" t="str">
            <v/>
          </cell>
          <cell r="G51" t="str">
            <v/>
          </cell>
          <cell r="H51" t="str">
            <v/>
          </cell>
          <cell r="I51" t="str">
            <v/>
          </cell>
        </row>
        <row r="52">
          <cell r="A52" t="str">
            <v/>
          </cell>
          <cell r="C52" t="str">
            <v/>
          </cell>
          <cell r="D52" t="str">
            <v/>
          </cell>
          <cell r="E52" t="str">
            <v/>
          </cell>
          <cell r="F52" t="str">
            <v/>
          </cell>
          <cell r="G52" t="str">
            <v/>
          </cell>
          <cell r="H52" t="str">
            <v/>
          </cell>
          <cell r="I52" t="str">
            <v/>
          </cell>
        </row>
        <row r="53">
          <cell r="A53" t="str">
            <v/>
          </cell>
          <cell r="C53" t="str">
            <v/>
          </cell>
          <cell r="D53" t="str">
            <v/>
          </cell>
          <cell r="E53" t="str">
            <v/>
          </cell>
          <cell r="F53" t="str">
            <v/>
          </cell>
          <cell r="G53" t="str">
            <v/>
          </cell>
          <cell r="H53" t="str">
            <v/>
          </cell>
          <cell r="I53" t="str">
            <v/>
          </cell>
        </row>
        <row r="54">
          <cell r="A54" t="str">
            <v/>
          </cell>
          <cell r="C54" t="str">
            <v/>
          </cell>
          <cell r="D54" t="str">
            <v/>
          </cell>
          <cell r="E54" t="str">
            <v/>
          </cell>
          <cell r="F54" t="str">
            <v/>
          </cell>
          <cell r="G54" t="str">
            <v/>
          </cell>
          <cell r="H54" t="str">
            <v/>
          </cell>
          <cell r="I54" t="str">
            <v/>
          </cell>
        </row>
        <row r="55">
          <cell r="A55" t="str">
            <v/>
          </cell>
          <cell r="C55" t="str">
            <v/>
          </cell>
          <cell r="D55" t="str">
            <v/>
          </cell>
          <cell r="E55" t="str">
            <v/>
          </cell>
          <cell r="F55" t="str">
            <v/>
          </cell>
          <cell r="G55" t="str">
            <v/>
          </cell>
          <cell r="H55" t="str">
            <v/>
          </cell>
          <cell r="I55" t="str">
            <v/>
          </cell>
        </row>
        <row r="56">
          <cell r="A56" t="str">
            <v/>
          </cell>
          <cell r="C56" t="str">
            <v/>
          </cell>
          <cell r="D56" t="str">
            <v/>
          </cell>
          <cell r="E56" t="str">
            <v/>
          </cell>
          <cell r="F56" t="str">
            <v/>
          </cell>
          <cell r="G56" t="str">
            <v/>
          </cell>
          <cell r="H56" t="str">
            <v/>
          </cell>
          <cell r="I56" t="str">
            <v/>
          </cell>
        </row>
        <row r="57">
          <cell r="A57" t="str">
            <v/>
          </cell>
          <cell r="C57" t="str">
            <v/>
          </cell>
          <cell r="D57" t="str">
            <v/>
          </cell>
          <cell r="E57" t="str">
            <v/>
          </cell>
          <cell r="F57" t="str">
            <v/>
          </cell>
          <cell r="G57" t="str">
            <v/>
          </cell>
          <cell r="H57" t="str">
            <v/>
          </cell>
          <cell r="I57" t="str">
            <v/>
          </cell>
        </row>
        <row r="58">
          <cell r="A58" t="str">
            <v/>
          </cell>
          <cell r="C58" t="str">
            <v/>
          </cell>
          <cell r="D58" t="str">
            <v/>
          </cell>
          <cell r="E58" t="str">
            <v/>
          </cell>
          <cell r="F58" t="str">
            <v/>
          </cell>
          <cell r="G58" t="str">
            <v/>
          </cell>
          <cell r="H58" t="str">
            <v/>
          </cell>
          <cell r="I58" t="str">
            <v/>
          </cell>
        </row>
        <row r="59">
          <cell r="A59" t="str">
            <v/>
          </cell>
          <cell r="C59" t="str">
            <v/>
          </cell>
          <cell r="D59" t="str">
            <v/>
          </cell>
          <cell r="E59" t="str">
            <v/>
          </cell>
          <cell r="F59" t="str">
            <v/>
          </cell>
          <cell r="G59" t="str">
            <v/>
          </cell>
          <cell r="H59" t="str">
            <v/>
          </cell>
          <cell r="I59" t="str">
            <v/>
          </cell>
        </row>
        <row r="60">
          <cell r="A60" t="str">
            <v/>
          </cell>
          <cell r="C60" t="str">
            <v/>
          </cell>
          <cell r="D60" t="str">
            <v/>
          </cell>
          <cell r="E60" t="str">
            <v/>
          </cell>
          <cell r="F60" t="str">
            <v/>
          </cell>
          <cell r="G60" t="str">
            <v/>
          </cell>
          <cell r="H60" t="str">
            <v/>
          </cell>
          <cell r="I60" t="str">
            <v/>
          </cell>
        </row>
        <row r="61">
          <cell r="A61" t="str">
            <v/>
          </cell>
          <cell r="C61" t="str">
            <v/>
          </cell>
          <cell r="D61" t="str">
            <v/>
          </cell>
          <cell r="E61" t="str">
            <v/>
          </cell>
          <cell r="F61" t="str">
            <v/>
          </cell>
          <cell r="G61" t="str">
            <v/>
          </cell>
          <cell r="H61" t="str">
            <v/>
          </cell>
          <cell r="I61" t="str">
            <v/>
          </cell>
        </row>
        <row r="62">
          <cell r="A62" t="str">
            <v/>
          </cell>
          <cell r="C62" t="str">
            <v/>
          </cell>
          <cell r="D62" t="str">
            <v/>
          </cell>
          <cell r="E62" t="str">
            <v/>
          </cell>
          <cell r="F62" t="str">
            <v/>
          </cell>
          <cell r="G62" t="str">
            <v/>
          </cell>
          <cell r="H62" t="str">
            <v/>
          </cell>
          <cell r="I62" t="str">
            <v/>
          </cell>
        </row>
        <row r="63">
          <cell r="A63" t="str">
            <v/>
          </cell>
          <cell r="C63" t="str">
            <v/>
          </cell>
          <cell r="D63" t="str">
            <v/>
          </cell>
          <cell r="E63" t="str">
            <v/>
          </cell>
          <cell r="F63" t="str">
            <v/>
          </cell>
          <cell r="G63" t="str">
            <v/>
          </cell>
          <cell r="H63" t="str">
            <v/>
          </cell>
          <cell r="I63" t="str">
            <v/>
          </cell>
        </row>
      </sheetData>
      <sheetData sheetId="23">
        <row r="12">
          <cell r="A12" t="str">
            <v>SE001</v>
          </cell>
        </row>
        <row r="13">
          <cell r="A13" t="str">
            <v>SE002</v>
          </cell>
        </row>
        <row r="14">
          <cell r="A14" t="str">
            <v>SE003</v>
          </cell>
        </row>
        <row r="15">
          <cell r="A15" t="str">
            <v>SE004</v>
          </cell>
        </row>
        <row r="16">
          <cell r="A16" t="str">
            <v>SE005</v>
          </cell>
        </row>
        <row r="17">
          <cell r="A17" t="str">
            <v>SE006</v>
          </cell>
        </row>
        <row r="18">
          <cell r="A18" t="str">
            <v>SE007</v>
          </cell>
        </row>
        <row r="19">
          <cell r="A19" t="str">
            <v>SE008</v>
          </cell>
        </row>
        <row r="20">
          <cell r="A20" t="str">
            <v>SE009</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 val="ENTIDADES"/>
      <sheetName val="PRESUPUESTO"/>
      <sheetName val="MEMORIAS"/>
      <sheetName val="AIU"/>
      <sheetName val="PÓLIZAS OBRA"/>
      <sheetName val="PMT"/>
      <sheetName val="PMA"/>
      <sheetName val="PAPSO OBRA"/>
      <sheetName val="APU CARACTERIZACIÓN"/>
      <sheetName val="APU GEORREFERENCIACIÓN"/>
      <sheetName val="AJUSTE ESTUDIOS"/>
      <sheetName val="APU"/>
      <sheetName val="APU AUXILIARES"/>
      <sheetName val="INSUMOS EQUIPOS"/>
      <sheetName val="INSUMOS MATERIALE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FACTOR PRESTACIONAL"/>
      <sheetName val="INTERVENTORÍA"/>
      <sheetName val="FM INTERVENTORÍA"/>
      <sheetName val="PÓLIZAS INTERVENTORÍA"/>
      <sheetName val="PAPSO INTERVENTORÍ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row r="1">
          <cell r="A1" t="str">
            <v>DEPARTAMENTO DE ANTIOQUIA</v>
          </cell>
          <cell r="B1">
            <v>0</v>
          </cell>
          <cell r="C1">
            <v>0</v>
          </cell>
          <cell r="D1">
            <v>0</v>
          </cell>
          <cell r="E1">
            <v>0</v>
          </cell>
          <cell r="F1">
            <v>0</v>
          </cell>
          <cell r="G1">
            <v>0</v>
          </cell>
          <cell r="H1">
            <v>0</v>
          </cell>
        </row>
        <row r="2">
          <cell r="A2" t="str">
            <v/>
          </cell>
          <cell r="B2">
            <v>0</v>
          </cell>
          <cell r="C2">
            <v>0</v>
          </cell>
          <cell r="D2">
            <v>0</v>
          </cell>
          <cell r="E2">
            <v>0</v>
          </cell>
          <cell r="F2">
            <v>0</v>
          </cell>
          <cell r="G2">
            <v>0</v>
          </cell>
          <cell r="H2">
            <v>0</v>
          </cell>
        </row>
        <row r="3">
          <cell r="A3" t="str">
            <v xml:space="preserve">PROYECTO: </v>
          </cell>
          <cell r="B3">
            <v>0</v>
          </cell>
          <cell r="C3">
            <v>0</v>
          </cell>
          <cell r="D3">
            <v>0</v>
          </cell>
          <cell r="E3">
            <v>0</v>
          </cell>
          <cell r="F3">
            <v>0</v>
          </cell>
          <cell r="G3">
            <v>0</v>
          </cell>
          <cell r="H3">
            <v>0</v>
          </cell>
        </row>
        <row r="4">
          <cell r="A4">
            <v>0</v>
          </cell>
          <cell r="B4">
            <v>0</v>
          </cell>
          <cell r="D4">
            <v>0</v>
          </cell>
          <cell r="E4">
            <v>0</v>
          </cell>
          <cell r="F4">
            <v>0</v>
          </cell>
          <cell r="G4">
            <v>0</v>
          </cell>
          <cell r="H4">
            <v>0</v>
          </cell>
        </row>
        <row r="5">
          <cell r="A5" t="str">
            <v>LISTADO DE INSUMOS - MANO DE OBRA</v>
          </cell>
          <cell r="B5">
            <v>0</v>
          </cell>
          <cell r="C5">
            <v>0</v>
          </cell>
          <cell r="D5">
            <v>0</v>
          </cell>
          <cell r="E5">
            <v>0</v>
          </cell>
          <cell r="F5">
            <v>0</v>
          </cell>
          <cell r="G5">
            <v>0</v>
          </cell>
          <cell r="H5">
            <v>0</v>
          </cell>
        </row>
        <row r="7">
          <cell r="A7" t="str">
            <v>CÓDIGO</v>
          </cell>
          <cell r="B7" t="str">
            <v>CARGO</v>
          </cell>
          <cell r="C7" t="str">
            <v>CLASE</v>
          </cell>
          <cell r="D7" t="str">
            <v>SALARIO MENSUAL</v>
          </cell>
          <cell r="E7" t="str">
            <v>FACTOR PRESTACIONAL</v>
          </cell>
          <cell r="F7" t="str">
            <v>JORNAL</v>
          </cell>
          <cell r="G7" t="str">
            <v>PRESTACIONES</v>
          </cell>
          <cell r="H7" t="str">
            <v>JORNAL TOTAL</v>
          </cell>
        </row>
        <row r="8">
          <cell r="A8" t="str">
            <v>MO001</v>
          </cell>
          <cell r="B8" t="str">
            <v>DIRECTOR DE OBRA</v>
          </cell>
          <cell r="C8" t="str">
            <v>ADMÓN</v>
          </cell>
          <cell r="D8">
            <v>6087124.2000000002</v>
          </cell>
          <cell r="E8">
            <v>1.5</v>
          </cell>
          <cell r="F8">
            <v>200124.63013698629</v>
          </cell>
          <cell r="G8">
            <v>99951.513863013679</v>
          </cell>
          <cell r="H8">
            <v>300076.14399999997</v>
          </cell>
        </row>
        <row r="9">
          <cell r="A9" t="str">
            <v>MO002</v>
          </cell>
          <cell r="B9" t="str">
            <v>DIRECTOR DE INTERVENTORÍA</v>
          </cell>
          <cell r="C9" t="str">
            <v>ADMÓN</v>
          </cell>
          <cell r="D9">
            <v>6087124.2000000002</v>
          </cell>
          <cell r="E9">
            <v>1.5</v>
          </cell>
          <cell r="F9">
            <v>200124.63013698629</v>
          </cell>
          <cell r="G9">
            <v>99951.513863013679</v>
          </cell>
          <cell r="H9">
            <v>300076.14399999997</v>
          </cell>
        </row>
        <row r="10">
          <cell r="A10" t="str">
            <v>MO003</v>
          </cell>
          <cell r="B10" t="str">
            <v>RESIDENTE DE OBRA</v>
          </cell>
          <cell r="C10" t="str">
            <v>ADMÓN</v>
          </cell>
          <cell r="D10">
            <v>4179219.5999999996</v>
          </cell>
          <cell r="E10">
            <v>1.5</v>
          </cell>
          <cell r="F10">
            <v>137399</v>
          </cell>
          <cell r="G10">
            <v>69278.681479452091</v>
          </cell>
          <cell r="H10">
            <v>206677.68147945209</v>
          </cell>
        </row>
        <row r="11">
          <cell r="A11" t="str">
            <v>MO004</v>
          </cell>
          <cell r="B11" t="str">
            <v>RESIDENTE DE INTERVENTORÍA</v>
          </cell>
          <cell r="C11" t="str">
            <v>ADMÓN</v>
          </cell>
          <cell r="D11">
            <v>4179219.5999999996</v>
          </cell>
          <cell r="E11">
            <v>1.5</v>
          </cell>
          <cell r="F11">
            <v>137399</v>
          </cell>
          <cell r="G11">
            <v>69278.681479452091</v>
          </cell>
          <cell r="H11">
            <v>206677.68147945209</v>
          </cell>
        </row>
        <row r="12">
          <cell r="A12" t="str">
            <v>MO005</v>
          </cell>
          <cell r="B12" t="str">
            <v>RESIDENTE AMBIENTAL</v>
          </cell>
          <cell r="C12" t="str">
            <v>ADMÓN</v>
          </cell>
          <cell r="D12">
            <v>3634104</v>
          </cell>
          <cell r="E12">
            <v>1.51</v>
          </cell>
          <cell r="F12">
            <v>119477.39178082191</v>
          </cell>
          <cell r="G12">
            <v>60515.014443835607</v>
          </cell>
          <cell r="H12">
            <v>179992.40622465752</v>
          </cell>
        </row>
        <row r="13">
          <cell r="A13" t="str">
            <v>MO006</v>
          </cell>
          <cell r="B13" t="str">
            <v>RESIDENTE SOCIAL</v>
          </cell>
          <cell r="C13" t="str">
            <v>ADMÓN</v>
          </cell>
          <cell r="D13">
            <v>3634104</v>
          </cell>
          <cell r="E13">
            <v>1.51</v>
          </cell>
          <cell r="F13">
            <v>119477.39178082191</v>
          </cell>
          <cell r="G13">
            <v>60515.014443835607</v>
          </cell>
          <cell r="H13">
            <v>179992.40622465752</v>
          </cell>
        </row>
        <row r="14">
          <cell r="A14" t="str">
            <v>MO007</v>
          </cell>
          <cell r="B14" t="str">
            <v>AUXILIAR DE RESIDENCIA</v>
          </cell>
          <cell r="C14" t="str">
            <v>ADMÓN</v>
          </cell>
          <cell r="D14">
            <v>2725578</v>
          </cell>
          <cell r="E14">
            <v>1.51</v>
          </cell>
          <cell r="F14">
            <v>89608.043835616438</v>
          </cell>
          <cell r="G14">
            <v>45908.903298630117</v>
          </cell>
          <cell r="H14">
            <v>135516.94713424655</v>
          </cell>
        </row>
        <row r="15">
          <cell r="A15" t="str">
            <v>MO008</v>
          </cell>
          <cell r="B15" t="str">
            <v>TECNÓLOGO SST</v>
          </cell>
          <cell r="C15" t="str">
            <v>ADMÓN</v>
          </cell>
          <cell r="D15">
            <v>2089609.7999999998</v>
          </cell>
          <cell r="E15">
            <v>1.52</v>
          </cell>
          <cell r="F15">
            <v>68699.501369863021</v>
          </cell>
          <cell r="G15">
            <v>35684.626169862982</v>
          </cell>
          <cell r="H15">
            <v>104384.127539726</v>
          </cell>
        </row>
        <row r="16">
          <cell r="A16" t="str">
            <v>MO009</v>
          </cell>
          <cell r="B16" t="str">
            <v>ASESOR LEGAL</v>
          </cell>
          <cell r="C16" t="str">
            <v>ADMÓN</v>
          </cell>
          <cell r="D16">
            <v>6087124.2000000002</v>
          </cell>
          <cell r="E16">
            <v>1.5</v>
          </cell>
          <cell r="F16">
            <v>200124.63013698629</v>
          </cell>
          <cell r="G16">
            <v>99951.513863013679</v>
          </cell>
          <cell r="H16">
            <v>300076.14399999997</v>
          </cell>
        </row>
        <row r="17">
          <cell r="A17" t="str">
            <v>MO010</v>
          </cell>
          <cell r="B17" t="str">
            <v>CONTADOR</v>
          </cell>
          <cell r="C17" t="str">
            <v>ADMÓN</v>
          </cell>
          <cell r="D17">
            <v>4179219.5999999996</v>
          </cell>
          <cell r="E17">
            <v>1.5</v>
          </cell>
          <cell r="F17">
            <v>137399</v>
          </cell>
          <cell r="G17">
            <v>69278.681479452091</v>
          </cell>
          <cell r="H17">
            <v>206677.68147945209</v>
          </cell>
        </row>
        <row r="18">
          <cell r="A18" t="str">
            <v>MO011</v>
          </cell>
          <cell r="B18" t="str">
            <v>ALMACENISTA</v>
          </cell>
          <cell r="C18" t="str">
            <v>ADMÓN</v>
          </cell>
          <cell r="D18">
            <v>1680773.1</v>
          </cell>
          <cell r="E18">
            <v>1.64</v>
          </cell>
          <cell r="F18">
            <v>55258.293150684935</v>
          </cell>
          <cell r="G18">
            <v>35212.953424657528</v>
          </cell>
          <cell r="H18">
            <v>90471.246575342462</v>
          </cell>
        </row>
        <row r="19">
          <cell r="A19" t="str">
            <v>MO012</v>
          </cell>
          <cell r="B19" t="str">
            <v>AUXILIAR DE ALMACÉN</v>
          </cell>
          <cell r="C19" t="str">
            <v>ADMÓN</v>
          </cell>
          <cell r="D19">
            <v>1317362.7</v>
          </cell>
          <cell r="E19">
            <v>1.68</v>
          </cell>
          <cell r="F19">
            <v>43310.553424657533</v>
          </cell>
          <cell r="G19">
            <v>29370.506575342464</v>
          </cell>
          <cell r="H19">
            <v>72681.06</v>
          </cell>
        </row>
        <row r="20">
          <cell r="A20" t="str">
            <v>MO013</v>
          </cell>
          <cell r="B20" t="str">
            <v>SECRETARIA</v>
          </cell>
          <cell r="C20" t="str">
            <v>ADMÓN</v>
          </cell>
          <cell r="D20">
            <v>908526</v>
          </cell>
          <cell r="E20">
            <v>1.76</v>
          </cell>
          <cell r="F20">
            <v>29869.347945205478</v>
          </cell>
          <cell r="G20">
            <v>22797.757917808212</v>
          </cell>
          <cell r="H20">
            <v>52667.10586301369</v>
          </cell>
        </row>
        <row r="21">
          <cell r="A21" t="str">
            <v>MO014</v>
          </cell>
          <cell r="B21" t="str">
            <v>MENSAJERO</v>
          </cell>
          <cell r="C21" t="str">
            <v>ADMÓN</v>
          </cell>
          <cell r="D21">
            <v>908526</v>
          </cell>
          <cell r="E21">
            <v>1.76</v>
          </cell>
          <cell r="F21">
            <v>29869.347945205478</v>
          </cell>
          <cell r="G21">
            <v>22797.757917808212</v>
          </cell>
          <cell r="H21">
            <v>52667.10586301369</v>
          </cell>
        </row>
        <row r="22">
          <cell r="A22" t="str">
            <v>MO015</v>
          </cell>
          <cell r="B22" t="str">
            <v>VIGILANTE</v>
          </cell>
          <cell r="C22" t="str">
            <v>ADMÓN</v>
          </cell>
          <cell r="D22">
            <v>908526</v>
          </cell>
          <cell r="E22">
            <v>1.76</v>
          </cell>
          <cell r="F22">
            <v>29869.347945205478</v>
          </cell>
          <cell r="G22">
            <v>22797.757917808212</v>
          </cell>
          <cell r="H22">
            <v>52667.10586301369</v>
          </cell>
        </row>
        <row r="23">
          <cell r="A23" t="str">
            <v>MO016</v>
          </cell>
          <cell r="B23" t="str">
            <v>TOPÓGRAFO</v>
          </cell>
          <cell r="C23" t="str">
            <v>OBRA</v>
          </cell>
          <cell r="D23">
            <v>4360924.8</v>
          </cell>
          <cell r="E23">
            <v>1.51</v>
          </cell>
          <cell r="F23">
            <v>143372.8712328767</v>
          </cell>
          <cell r="G23">
            <v>72944.286224657553</v>
          </cell>
          <cell r="H23">
            <v>216317.15745753425</v>
          </cell>
        </row>
        <row r="24">
          <cell r="A24" t="str">
            <v>MO017</v>
          </cell>
          <cell r="B24" t="str">
            <v>CADENERO 1</v>
          </cell>
          <cell r="C24" t="str">
            <v>OBRA</v>
          </cell>
          <cell r="D24">
            <v>2135036.1</v>
          </cell>
          <cell r="E24">
            <v>1.53</v>
          </cell>
          <cell r="F24">
            <v>70192.967123287672</v>
          </cell>
          <cell r="G24">
            <v>37159.314279452054</v>
          </cell>
          <cell r="H24">
            <v>107352.28140273973</v>
          </cell>
        </row>
        <row r="25">
          <cell r="A25" t="str">
            <v>MO018</v>
          </cell>
          <cell r="B25" t="str">
            <v>CADENERO 2</v>
          </cell>
          <cell r="C25" t="str">
            <v>OBRA</v>
          </cell>
          <cell r="D25">
            <v>1226510.1000000001</v>
          </cell>
          <cell r="E25">
            <v>1.71</v>
          </cell>
          <cell r="F25">
            <v>40323.61917808219</v>
          </cell>
          <cell r="G25">
            <v>28654.280043835628</v>
          </cell>
          <cell r="H25">
            <v>68977.899221917818</v>
          </cell>
        </row>
        <row r="26">
          <cell r="A26" t="str">
            <v>MO019</v>
          </cell>
          <cell r="B26" t="str">
            <v>MAESTRO PRIMERO</v>
          </cell>
          <cell r="C26" t="str">
            <v>OBRA</v>
          </cell>
          <cell r="D26">
            <v>2725578</v>
          </cell>
          <cell r="E26">
            <v>1.52</v>
          </cell>
          <cell r="F26">
            <v>89608.043835616438</v>
          </cell>
          <cell r="G26">
            <v>46653.286860273976</v>
          </cell>
          <cell r="H26">
            <v>136261.33069589041</v>
          </cell>
        </row>
        <row r="27">
          <cell r="A27" t="str">
            <v>MO020</v>
          </cell>
          <cell r="B27" t="str">
            <v>MAESTRO SEGUNDO</v>
          </cell>
          <cell r="C27" t="str">
            <v>OBRA</v>
          </cell>
          <cell r="D27">
            <v>2089609.7999999998</v>
          </cell>
          <cell r="E27">
            <v>1.53</v>
          </cell>
          <cell r="F27">
            <v>68699.501369863021</v>
          </cell>
          <cell r="G27">
            <v>36429.009731506827</v>
          </cell>
          <cell r="H27">
            <v>105128.51110136985</v>
          </cell>
        </row>
        <row r="28">
          <cell r="A28" t="str">
            <v>MO021</v>
          </cell>
          <cell r="B28" t="str">
            <v>OFICIAL ELÉCTRICO</v>
          </cell>
          <cell r="C28" t="str">
            <v>OBRA</v>
          </cell>
          <cell r="D28">
            <v>2498446.5</v>
          </cell>
          <cell r="E28">
            <v>1.52</v>
          </cell>
          <cell r="F28">
            <v>82140.706849315073</v>
          </cell>
          <cell r="G28">
            <v>43001.758389041104</v>
          </cell>
          <cell r="H28">
            <v>125142.46523835618</v>
          </cell>
        </row>
        <row r="29">
          <cell r="A29" t="str">
            <v>MO022</v>
          </cell>
          <cell r="B29" t="str">
            <v>AYUDANTE ELÉCTRICO</v>
          </cell>
          <cell r="C29" t="str">
            <v>OBRA</v>
          </cell>
          <cell r="D29">
            <v>1181083.8</v>
          </cell>
          <cell r="E29">
            <v>1.72</v>
          </cell>
          <cell r="F29">
            <v>38830.153424657532</v>
          </cell>
          <cell r="G29">
            <v>27923.975495890423</v>
          </cell>
          <cell r="H29">
            <v>66754.128920547955</v>
          </cell>
        </row>
        <row r="30">
          <cell r="A30" t="str">
            <v>MO023</v>
          </cell>
          <cell r="B30" t="str">
            <v>OFICIAL PLOMERO</v>
          </cell>
          <cell r="C30" t="str">
            <v>OBRA</v>
          </cell>
          <cell r="D30">
            <v>1817052</v>
          </cell>
          <cell r="E30">
            <v>1.64</v>
          </cell>
          <cell r="F30">
            <v>59738.695890410956</v>
          </cell>
          <cell r="G30">
            <v>38148.252624657551</v>
          </cell>
          <cell r="H30">
            <v>97886.948515068507</v>
          </cell>
        </row>
        <row r="31">
          <cell r="A31" t="str">
            <v>MO024</v>
          </cell>
          <cell r="B31" t="str">
            <v>AYUDANTE PLOMERO</v>
          </cell>
          <cell r="C31" t="str">
            <v>OBRA</v>
          </cell>
          <cell r="D31">
            <v>1090231.2</v>
          </cell>
          <cell r="E31">
            <v>1.74</v>
          </cell>
          <cell r="F31">
            <v>35843.216438356161</v>
          </cell>
          <cell r="G31">
            <v>26463.364405479457</v>
          </cell>
          <cell r="H31">
            <v>62306.580843835618</v>
          </cell>
        </row>
        <row r="32">
          <cell r="A32" t="str">
            <v>MO025</v>
          </cell>
          <cell r="B32" t="str">
            <v>OFICIAL CARPINTERO</v>
          </cell>
          <cell r="C32" t="str">
            <v>OBRA</v>
          </cell>
          <cell r="D32">
            <v>1817052</v>
          </cell>
          <cell r="E32">
            <v>1.64</v>
          </cell>
          <cell r="F32">
            <v>59738.695890410956</v>
          </cell>
          <cell r="G32">
            <v>38148.252624657551</v>
          </cell>
          <cell r="H32">
            <v>97886.948515068507</v>
          </cell>
        </row>
        <row r="33">
          <cell r="A33" t="str">
            <v>MO026</v>
          </cell>
          <cell r="B33" t="str">
            <v>AYUDANTE CARPINTERO</v>
          </cell>
          <cell r="C33" t="str">
            <v>OBRA</v>
          </cell>
          <cell r="D33">
            <v>999378.60000000009</v>
          </cell>
          <cell r="E33">
            <v>1.76</v>
          </cell>
          <cell r="F33">
            <v>32856.282191780825</v>
          </cell>
          <cell r="G33">
            <v>25002.751572602741</v>
          </cell>
          <cell r="H33">
            <v>57859.033764383566</v>
          </cell>
        </row>
        <row r="34">
          <cell r="A34" t="str">
            <v>MO027</v>
          </cell>
          <cell r="B34" t="str">
            <v>OFICIAL PINTOR</v>
          </cell>
          <cell r="C34" t="str">
            <v>OBRA</v>
          </cell>
          <cell r="D34">
            <v>1817052</v>
          </cell>
          <cell r="E34">
            <v>1.64</v>
          </cell>
          <cell r="F34">
            <v>59738.695890410956</v>
          </cell>
          <cell r="G34">
            <v>38148.252624657551</v>
          </cell>
          <cell r="H34">
            <v>97886.948515068507</v>
          </cell>
        </row>
        <row r="35">
          <cell r="A35" t="str">
            <v>MO028</v>
          </cell>
          <cell r="B35" t="str">
            <v>OFICIAL DE OBRA BLANCA</v>
          </cell>
          <cell r="C35" t="str">
            <v>OBRA</v>
          </cell>
          <cell r="D35">
            <v>1817052</v>
          </cell>
          <cell r="E35">
            <v>1.64</v>
          </cell>
          <cell r="F35">
            <v>59738.695890410956</v>
          </cell>
          <cell r="G35">
            <v>38148.252624657551</v>
          </cell>
          <cell r="H35">
            <v>97886.948515068507</v>
          </cell>
        </row>
        <row r="36">
          <cell r="A36" t="str">
            <v>MO029</v>
          </cell>
          <cell r="B36" t="str">
            <v>OFICIAL DE OBRA NEGRA</v>
          </cell>
          <cell r="C36" t="str">
            <v>OBRA</v>
          </cell>
          <cell r="D36">
            <v>1817052</v>
          </cell>
          <cell r="E36">
            <v>1.64</v>
          </cell>
          <cell r="F36">
            <v>59738.695890410956</v>
          </cell>
          <cell r="G36">
            <v>38148.252624657551</v>
          </cell>
          <cell r="H36">
            <v>97886.948515068507</v>
          </cell>
        </row>
        <row r="37">
          <cell r="A37" t="str">
            <v>MO030</v>
          </cell>
          <cell r="B37" t="str">
            <v>OFICIAL HIERRO</v>
          </cell>
          <cell r="C37" t="str">
            <v>OBRA</v>
          </cell>
          <cell r="D37">
            <v>1817052</v>
          </cell>
          <cell r="E37">
            <v>1.64</v>
          </cell>
          <cell r="F37">
            <v>59738.695890410956</v>
          </cell>
          <cell r="G37">
            <v>38148.252624657551</v>
          </cell>
          <cell r="H37">
            <v>97886.948515068507</v>
          </cell>
        </row>
        <row r="38">
          <cell r="A38" t="str">
            <v>MO031</v>
          </cell>
          <cell r="B38" t="str">
            <v>AYUDANTE ENTENDIDO</v>
          </cell>
          <cell r="C38" t="str">
            <v>OBRA</v>
          </cell>
          <cell r="D38">
            <v>1181083.8</v>
          </cell>
          <cell r="E38">
            <v>1.72</v>
          </cell>
          <cell r="F38">
            <v>38830.153424657532</v>
          </cell>
          <cell r="G38">
            <v>27923.975495890423</v>
          </cell>
          <cell r="H38">
            <v>66754.128920547955</v>
          </cell>
        </row>
        <row r="39">
          <cell r="A39" t="str">
            <v>MO032</v>
          </cell>
          <cell r="B39" t="str">
            <v>AYUDANTE RASO</v>
          </cell>
          <cell r="C39" t="str">
            <v>OBRA</v>
          </cell>
          <cell r="D39">
            <v>908526</v>
          </cell>
          <cell r="E39">
            <v>1.79</v>
          </cell>
          <cell r="F39">
            <v>29869.347945205478</v>
          </cell>
          <cell r="G39">
            <v>23542.14147945205</v>
          </cell>
          <cell r="H39">
            <v>53411.489424657528</v>
          </cell>
        </row>
        <row r="40">
          <cell r="A40" t="str">
            <v>MO033</v>
          </cell>
          <cell r="B40" t="str">
            <v>OPERADOR EQUIPO LIVIANO</v>
          </cell>
          <cell r="C40" t="str">
            <v>OBRA</v>
          </cell>
          <cell r="D40">
            <v>1181083.8</v>
          </cell>
          <cell r="E40">
            <v>1.72</v>
          </cell>
          <cell r="F40">
            <v>38830.153424657532</v>
          </cell>
          <cell r="G40">
            <v>27923.975495890423</v>
          </cell>
          <cell r="H40">
            <v>66754.128920547955</v>
          </cell>
        </row>
        <row r="41">
          <cell r="A41" t="str">
            <v>MO034</v>
          </cell>
          <cell r="B41" t="str">
            <v>OPERADOR EQUIPO MEDIANO</v>
          </cell>
          <cell r="C41" t="str">
            <v>OBRA</v>
          </cell>
          <cell r="D41">
            <v>2044183.5</v>
          </cell>
          <cell r="E41">
            <v>1.53</v>
          </cell>
          <cell r="F41">
            <v>67206.032876712328</v>
          </cell>
          <cell r="G41">
            <v>35698.704186301344</v>
          </cell>
          <cell r="H41">
            <v>102904.73706301367</v>
          </cell>
        </row>
        <row r="42">
          <cell r="A42" t="str">
            <v>MO035</v>
          </cell>
          <cell r="B42" t="str">
            <v>OPERADOR EQUIPO PESADO</v>
          </cell>
          <cell r="C42" t="str">
            <v>OBRA</v>
          </cell>
          <cell r="D42">
            <v>2907283.2</v>
          </cell>
          <cell r="E42">
            <v>1.52</v>
          </cell>
          <cell r="F42">
            <v>95581.912328767125</v>
          </cell>
          <cell r="G42">
            <v>49574.509786301351</v>
          </cell>
          <cell r="H42">
            <v>145156.42211506848</v>
          </cell>
        </row>
        <row r="43">
          <cell r="A43" t="str">
            <v>MO036</v>
          </cell>
          <cell r="B43" t="str">
            <v>AUXILIAR HERRAMIENTA</v>
          </cell>
          <cell r="C43" t="str">
            <v>OBRA</v>
          </cell>
          <cell r="D43">
            <v>908526</v>
          </cell>
          <cell r="E43">
            <v>1.79</v>
          </cell>
          <cell r="F43">
            <v>29869.347945205478</v>
          </cell>
          <cell r="G43">
            <v>23542.14147945205</v>
          </cell>
          <cell r="H43">
            <v>53411.489424657528</v>
          </cell>
        </row>
        <row r="44">
          <cell r="A44" t="str">
            <v>MO037</v>
          </cell>
          <cell r="B44" t="str">
            <v>PATIERO</v>
          </cell>
          <cell r="C44" t="str">
            <v>OBRA</v>
          </cell>
          <cell r="D44">
            <v>908526</v>
          </cell>
          <cell r="E44">
            <v>1.79</v>
          </cell>
          <cell r="F44">
            <v>29869.347945205478</v>
          </cell>
          <cell r="G44">
            <v>23542.14147945205</v>
          </cell>
          <cell r="H44">
            <v>53411.489424657528</v>
          </cell>
        </row>
        <row r="45">
          <cell r="A45" t="str">
            <v>MO038</v>
          </cell>
          <cell r="B45" t="str">
            <v>AUXILIAR PARE-SIGA</v>
          </cell>
          <cell r="C45" t="str">
            <v>OBRA</v>
          </cell>
          <cell r="D45">
            <v>908526</v>
          </cell>
          <cell r="E45">
            <v>1.79</v>
          </cell>
          <cell r="F45">
            <v>29869.347945205478</v>
          </cell>
          <cell r="G45">
            <v>23542.14147945205</v>
          </cell>
          <cell r="H45">
            <v>53411.489424657528</v>
          </cell>
        </row>
        <row r="46">
          <cell r="A46" t="str">
            <v>MO039</v>
          </cell>
          <cell r="B46" t="str">
            <v>INGENIERO SIG</v>
          </cell>
          <cell r="C46" t="str">
            <v>ADMÓN</v>
          </cell>
          <cell r="D46">
            <v>4542630</v>
          </cell>
          <cell r="E46">
            <v>1.5</v>
          </cell>
          <cell r="F46">
            <v>149346.73972602739</v>
          </cell>
          <cell r="G46">
            <v>75121.125589041156</v>
          </cell>
          <cell r="H46">
            <v>224467.86531506854</v>
          </cell>
        </row>
        <row r="47">
          <cell r="A47" t="str">
            <v>MO040</v>
          </cell>
          <cell r="B47" t="str">
            <v>TECNÓLOGO SIG</v>
          </cell>
          <cell r="C47" t="str">
            <v>ADMÓN</v>
          </cell>
          <cell r="D47">
            <v>2089609.7999999998</v>
          </cell>
          <cell r="E47">
            <v>1.52</v>
          </cell>
          <cell r="F47">
            <v>68699.501369863021</v>
          </cell>
          <cell r="G47">
            <v>35684.626169862982</v>
          </cell>
          <cell r="H47">
            <v>104384.127539726</v>
          </cell>
        </row>
        <row r="48">
          <cell r="A48" t="str">
            <v>MO041</v>
          </cell>
          <cell r="B48" t="str">
            <v>DIRECTOR DE CONSULTORÍA</v>
          </cell>
          <cell r="C48" t="str">
            <v>ADMÓN</v>
          </cell>
          <cell r="D48">
            <v>6087124.2000000002</v>
          </cell>
          <cell r="E48">
            <v>1.5</v>
          </cell>
          <cell r="F48">
            <v>200124.63013698629</v>
          </cell>
          <cell r="G48">
            <v>99951.513863013679</v>
          </cell>
          <cell r="H48">
            <v>300076.14399999997</v>
          </cell>
        </row>
        <row r="49">
          <cell r="A49" t="str">
            <v>MO042</v>
          </cell>
          <cell r="B49" t="str">
            <v>DIBUJANTE</v>
          </cell>
          <cell r="C49" t="str">
            <v>ADMÓN</v>
          </cell>
          <cell r="D49">
            <v>2089609.7999999998</v>
          </cell>
          <cell r="E49">
            <v>1.52</v>
          </cell>
          <cell r="F49">
            <v>68699.501369863021</v>
          </cell>
          <cell r="G49">
            <v>35684.626169862982</v>
          </cell>
          <cell r="H49">
            <v>104384.127539726</v>
          </cell>
        </row>
        <row r="50">
          <cell r="A50" t="str">
            <v>MO043</v>
          </cell>
          <cell r="B50" t="str">
            <v>INGENIERO ESPECIALISTA GEOTECNIA</v>
          </cell>
          <cell r="C50" t="str">
            <v>ADMÓN</v>
          </cell>
          <cell r="D50">
            <v>5451156</v>
          </cell>
          <cell r="E50">
            <v>1.5</v>
          </cell>
          <cell r="F50">
            <v>179216.08767123288</v>
          </cell>
          <cell r="G50">
            <v>89727.236734246544</v>
          </cell>
          <cell r="H50">
            <v>268943.32440547942</v>
          </cell>
        </row>
        <row r="51">
          <cell r="A51" t="str">
            <v>MO044</v>
          </cell>
          <cell r="B51" t="str">
            <v>GEÓLOGO</v>
          </cell>
          <cell r="C51" t="str">
            <v>ADMÓN</v>
          </cell>
          <cell r="D51">
            <v>4996893</v>
          </cell>
          <cell r="E51">
            <v>1.5</v>
          </cell>
          <cell r="F51">
            <v>164281.41369863015</v>
          </cell>
          <cell r="G51">
            <v>82424.182531506871</v>
          </cell>
          <cell r="H51">
            <v>246705.59623013702</v>
          </cell>
        </row>
        <row r="52">
          <cell r="A52" t="str">
            <v>MO045</v>
          </cell>
          <cell r="B52" t="str">
            <v xml:space="preserve">ARQUITECTO ESPECIALISTA URBANISMO </v>
          </cell>
          <cell r="C52" t="str">
            <v>ADMÓN</v>
          </cell>
          <cell r="D52">
            <v>5451156</v>
          </cell>
          <cell r="E52">
            <v>1.5</v>
          </cell>
          <cell r="F52">
            <v>179216.08767123288</v>
          </cell>
          <cell r="G52">
            <v>89727.236734246544</v>
          </cell>
          <cell r="H52">
            <v>268943.32440547942</v>
          </cell>
        </row>
        <row r="53">
          <cell r="A53" t="str">
            <v>MO046</v>
          </cell>
          <cell r="B53" t="str">
            <v>ARQUITECTO ESPECIALISTA PAISAJISMO</v>
          </cell>
          <cell r="C53" t="str">
            <v>ADMÓN</v>
          </cell>
          <cell r="D53">
            <v>5451156</v>
          </cell>
          <cell r="E53">
            <v>1.5</v>
          </cell>
          <cell r="F53">
            <v>179216.08767123288</v>
          </cell>
          <cell r="G53">
            <v>89727.236734246544</v>
          </cell>
          <cell r="H53">
            <v>268943.32440547942</v>
          </cell>
        </row>
        <row r="54">
          <cell r="A54" t="str">
            <v>MO047</v>
          </cell>
          <cell r="B54" t="str">
            <v>ARQUITECTO DISEÑADOR</v>
          </cell>
          <cell r="C54" t="str">
            <v>ADMÓN</v>
          </cell>
          <cell r="D54">
            <v>4996893</v>
          </cell>
          <cell r="E54">
            <v>1.5</v>
          </cell>
          <cell r="F54">
            <v>164281.41369863015</v>
          </cell>
          <cell r="G54">
            <v>82424.182531506871</v>
          </cell>
          <cell r="H54">
            <v>246705.59623013702</v>
          </cell>
        </row>
        <row r="55">
          <cell r="A55" t="str">
            <v>MO048</v>
          </cell>
          <cell r="B55" t="str">
            <v>INGENIERO ESPECIALISTA ESTRUCTURAL</v>
          </cell>
          <cell r="C55" t="str">
            <v>ADMÓN</v>
          </cell>
          <cell r="D55">
            <v>5451156</v>
          </cell>
          <cell r="E55">
            <v>1.5</v>
          </cell>
          <cell r="F55">
            <v>179216.08767123288</v>
          </cell>
          <cell r="G55">
            <v>89727.236734246544</v>
          </cell>
          <cell r="H55">
            <v>268943.32440547942</v>
          </cell>
        </row>
        <row r="56">
          <cell r="A56" t="str">
            <v>MO049</v>
          </cell>
          <cell r="B56" t="str">
            <v>INGENIERO REVISOR ESTRUCTURAL</v>
          </cell>
          <cell r="C56" t="str">
            <v>ADMÓN</v>
          </cell>
          <cell r="D56">
            <v>5451156</v>
          </cell>
          <cell r="E56">
            <v>1.5</v>
          </cell>
          <cell r="F56">
            <v>179216.08767123288</v>
          </cell>
          <cell r="G56">
            <v>89727.236734246544</v>
          </cell>
          <cell r="H56">
            <v>268943.32440547942</v>
          </cell>
        </row>
        <row r="57">
          <cell r="A57" t="str">
            <v>MO050</v>
          </cell>
          <cell r="B57" t="str">
            <v>INGENIERO ESPECIALISTA HIDRÁULICO</v>
          </cell>
          <cell r="C57" t="str">
            <v>ADMÓN</v>
          </cell>
          <cell r="D57">
            <v>5451156</v>
          </cell>
          <cell r="E57">
            <v>1.5</v>
          </cell>
          <cell r="F57">
            <v>179216.08767123288</v>
          </cell>
          <cell r="G57">
            <v>89727.236734246544</v>
          </cell>
          <cell r="H57">
            <v>268943.32440547942</v>
          </cell>
        </row>
        <row r="58">
          <cell r="A58" t="str">
            <v>MO051</v>
          </cell>
          <cell r="B58" t="str">
            <v>INGENIERO ELECTRICISTA</v>
          </cell>
          <cell r="C58" t="str">
            <v>ADMÓN</v>
          </cell>
          <cell r="D58">
            <v>4996893</v>
          </cell>
          <cell r="E58">
            <v>1.5</v>
          </cell>
          <cell r="F58">
            <v>164281.41369863015</v>
          </cell>
          <cell r="G58">
            <v>82424.182531506871</v>
          </cell>
          <cell r="H58">
            <v>246705.59623013702</v>
          </cell>
        </row>
        <row r="59">
          <cell r="A59" t="str">
            <v>MO052</v>
          </cell>
          <cell r="B59" t="str">
            <v>INGENIERO AMBIENTAL</v>
          </cell>
          <cell r="C59" t="str">
            <v>ADMÓN</v>
          </cell>
          <cell r="D59">
            <v>4996893</v>
          </cell>
          <cell r="E59">
            <v>1.5</v>
          </cell>
          <cell r="F59">
            <v>164281.41369863015</v>
          </cell>
          <cell r="G59">
            <v>82424.182531506871</v>
          </cell>
          <cell r="H59">
            <v>246705.59623013702</v>
          </cell>
        </row>
        <row r="60">
          <cell r="A60" t="str">
            <v>MO053</v>
          </cell>
          <cell r="B60" t="str">
            <v>INGENIERO FORESTAL</v>
          </cell>
          <cell r="C60" t="str">
            <v>ADMÓN</v>
          </cell>
          <cell r="D60">
            <v>4996893</v>
          </cell>
          <cell r="E60">
            <v>1.5</v>
          </cell>
          <cell r="F60">
            <v>164281.41369863015</v>
          </cell>
          <cell r="G60">
            <v>82424.182531506871</v>
          </cell>
          <cell r="H60">
            <v>246705.59623013702</v>
          </cell>
        </row>
        <row r="61">
          <cell r="A61" t="str">
            <v>MO054</v>
          </cell>
          <cell r="B61" t="str">
            <v>TÉCNICO AMBIENTAL</v>
          </cell>
          <cell r="C61" t="str">
            <v>ADMÓN</v>
          </cell>
          <cell r="D61">
            <v>1817052</v>
          </cell>
          <cell r="E61">
            <v>1.63</v>
          </cell>
          <cell r="F61">
            <v>59738.695890410956</v>
          </cell>
          <cell r="G61">
            <v>37403.869063013706</v>
          </cell>
          <cell r="H61">
            <v>97142.564953424662</v>
          </cell>
        </row>
        <row r="62">
          <cell r="A62">
            <v>0</v>
          </cell>
          <cell r="B62" t="str">
            <v/>
          </cell>
          <cell r="C62" t="str">
            <v/>
          </cell>
          <cell r="D62" t="str">
            <v/>
          </cell>
          <cell r="E62" t="str">
            <v/>
          </cell>
          <cell r="F62" t="str">
            <v/>
          </cell>
          <cell r="G62" t="str">
            <v/>
          </cell>
          <cell r="H62" t="str">
            <v/>
          </cell>
        </row>
        <row r="63">
          <cell r="A63">
            <v>0</v>
          </cell>
          <cell r="B63" t="str">
            <v/>
          </cell>
          <cell r="C63" t="str">
            <v/>
          </cell>
          <cell r="D63" t="str">
            <v/>
          </cell>
          <cell r="E63" t="str">
            <v/>
          </cell>
          <cell r="F63" t="str">
            <v/>
          </cell>
          <cell r="G63" t="str">
            <v/>
          </cell>
          <cell r="H63" t="str">
            <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INTERV"/>
      <sheetName val="FM"/>
      <sheetName val="TASAS INTERV"/>
      <sheetName val="POLIZAS"/>
      <sheetName val="Hoja4"/>
    </sheetNames>
    <sheetDataSet>
      <sheetData sheetId="0">
        <row r="22">
          <cell r="I22">
            <v>260413536</v>
          </cell>
        </row>
        <row r="46">
          <cell r="I46">
            <v>645264135</v>
          </cell>
        </row>
        <row r="48">
          <cell r="I48">
            <v>767864321</v>
          </cell>
        </row>
      </sheetData>
      <sheetData sheetId="1">
        <row r="34">
          <cell r="G34">
            <v>2.37</v>
          </cell>
        </row>
      </sheetData>
      <sheetData sheetId="2">
        <row r="22">
          <cell r="D22">
            <v>0.25180000000000002</v>
          </cell>
        </row>
      </sheetData>
      <sheetData sheetId="3">
        <row r="22">
          <cell r="G22">
            <v>6824054.3977410011</v>
          </cell>
        </row>
      </sheetData>
      <sheetData sheetId="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INDICE"/>
      <sheetName val="ACLARACIONES"/>
      <sheetName val="ENTIDADES"/>
      <sheetName val="DATOS INICIALES"/>
      <sheetName val="PRESUPUESTO"/>
      <sheetName val="MEMORIAS"/>
      <sheetName val="APU"/>
      <sheetName val="CRONOGRAMA"/>
      <sheetName val="AIU"/>
      <sheetName val="PMA"/>
      <sheetName val="PMT"/>
      <sheetName val="PÓLIZAS OBRA"/>
      <sheetName val="IMPUESTOS OBRA"/>
      <sheetName val="APU GEORREFERENCIACIÓN"/>
      <sheetName val="APU CARACTERIZACIÓN"/>
      <sheetName val="AJUSTE ESTUDIOS"/>
      <sheetName val="APU AUXILIARES"/>
      <sheetName val="INSUMOS GENERALES"/>
      <sheetName val="INSUMOS EQUIPOS"/>
      <sheetName val="INSUMOS MATERIALE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INSUMOS ENSAYOS"/>
      <sheetName val="FACTOR PRESTACIONAL 2024"/>
      <sheetName val="FACTOR PRESTACIONAL"/>
      <sheetName val="INTERVENTORÍA"/>
      <sheetName val="FM INTERVENTORÍA"/>
      <sheetName val="TASAS_INTERVENTORIA"/>
      <sheetName val="PÓLIZAS INTERVENTORÍA"/>
      <sheetName val="Copia de 23_Ppto_Placa_Huella_P"/>
    </sheetNames>
    <definedNames>
      <definedName name="Hoja36.Indice"/>
    </definedNames>
    <sheetDataSet>
      <sheetData sheetId="0"/>
      <sheetData sheetId="1"/>
      <sheetData sheetId="2"/>
      <sheetData sheetId="3">
        <row r="7">
          <cell r="B7" t="str">
            <v>MUNICIPIO DE DABEIBA</v>
          </cell>
        </row>
        <row r="8">
          <cell r="B8" t="str">
            <v>MEJORAMIENTO DE LA RED VIAL TERCIARIA EN LA VEREDA EL PITAL DEL MUNICIPIO DE DABEIBA, DEPARTAMENTO DE ANTIOQUIA”</v>
          </cell>
        </row>
        <row r="9">
          <cell r="B9" t="str">
            <v xml:space="preserve">MARLON ASDRUBAL PEREZ HERRERA </v>
          </cell>
        </row>
        <row r="10">
          <cell r="B10" t="str">
            <v>INGENIERO BANCO DE PROYECTOS</v>
          </cell>
        </row>
        <row r="11">
          <cell r="B11" t="str">
            <v>BANCO DE PROYECTOS - SECRETARIA DE PLANEACIÓN</v>
          </cell>
        </row>
        <row r="12">
          <cell r="B12" t="str">
            <v>MAT No. 05202.354756ANT</v>
          </cell>
        </row>
        <row r="14">
          <cell r="B14">
            <v>1423500</v>
          </cell>
        </row>
        <row r="17">
          <cell r="B17" t="str">
            <v>NO</v>
          </cell>
        </row>
        <row r="29">
          <cell r="B29" t="str">
            <v>SI</v>
          </cell>
        </row>
      </sheetData>
      <sheetData sheetId="4">
        <row r="63">
          <cell r="I63">
            <v>2351561169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22">
          <cell r="I22">
            <v>70377840</v>
          </cell>
        </row>
      </sheetData>
      <sheetData sheetId="34"/>
      <sheetData sheetId="35"/>
      <sheetData sheetId="36"/>
      <sheetData sheetId="37"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estatuto.co/?e=1460" TargetMode="External"/><Relationship Id="rId1" Type="http://schemas.openxmlformats.org/officeDocument/2006/relationships/hyperlink" Target="https://www.funcionpublica.gov.co/eva/gestornormativo/norma.php?i=5536"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28"/>
  <sheetViews>
    <sheetView view="pageBreakPreview" topLeftCell="A3" zoomScale="70" zoomScaleNormal="85" zoomScaleSheetLayoutView="70" workbookViewId="0">
      <selection activeCell="B18" sqref="B18"/>
    </sheetView>
  </sheetViews>
  <sheetFormatPr baseColWidth="10" defaultRowHeight="15" x14ac:dyDescent="0.25"/>
  <cols>
    <col min="1" max="1" width="46.5703125" customWidth="1"/>
    <col min="2" max="2" width="106.5703125" customWidth="1"/>
    <col min="3" max="3" width="55.5703125" customWidth="1"/>
  </cols>
  <sheetData>
    <row r="1" spans="1:3" ht="26.25" x14ac:dyDescent="0.25">
      <c r="B1" s="1" t="s">
        <v>0</v>
      </c>
    </row>
    <row r="2" spans="1:3" ht="21" x14ac:dyDescent="0.25">
      <c r="B2" s="2" t="s">
        <v>528</v>
      </c>
    </row>
    <row r="3" spans="1:3" ht="48.6" customHeight="1" x14ac:dyDescent="0.25">
      <c r="B3" s="3" t="str">
        <f>B7</f>
        <v xml:space="preserve">CONSTRUCCIÓN DE CASA DE SALUD EN EL CORREGIMIENTO LA BALSITA DEL MUNICIPIO DE DABEIBA </v>
      </c>
    </row>
    <row r="4" spans="1:3" ht="7.15" customHeight="1" x14ac:dyDescent="0.25">
      <c r="B4" s="4"/>
    </row>
    <row r="5" spans="1:3" x14ac:dyDescent="0.25">
      <c r="B5" s="5" t="s">
        <v>1</v>
      </c>
    </row>
    <row r="6" spans="1:3" x14ac:dyDescent="0.25">
      <c r="A6" s="6" t="s">
        <v>2</v>
      </c>
      <c r="B6" s="7" t="s">
        <v>528</v>
      </c>
      <c r="C6" s="13" t="s">
        <v>25</v>
      </c>
    </row>
    <row r="7" spans="1:3" ht="57.6" customHeight="1" x14ac:dyDescent="0.25">
      <c r="A7" s="6" t="s">
        <v>3</v>
      </c>
      <c r="B7" s="12" t="s">
        <v>546</v>
      </c>
      <c r="C7" s="13" t="s">
        <v>26</v>
      </c>
    </row>
    <row r="8" spans="1:3" ht="30" x14ac:dyDescent="0.25">
      <c r="A8" s="6" t="s">
        <v>4</v>
      </c>
      <c r="B8" s="7" t="s">
        <v>529</v>
      </c>
      <c r="C8" s="13" t="s">
        <v>27</v>
      </c>
    </row>
    <row r="9" spans="1:3" x14ac:dyDescent="0.25">
      <c r="A9" s="6" t="s">
        <v>5</v>
      </c>
      <c r="B9" s="7" t="s">
        <v>23</v>
      </c>
      <c r="C9" s="13" t="s">
        <v>28</v>
      </c>
    </row>
    <row r="10" spans="1:3" ht="30" x14ac:dyDescent="0.25">
      <c r="A10" s="6" t="s">
        <v>6</v>
      </c>
      <c r="B10" s="7" t="s">
        <v>24</v>
      </c>
      <c r="C10" s="13" t="s">
        <v>29</v>
      </c>
    </row>
    <row r="11" spans="1:3" ht="30" x14ac:dyDescent="0.25">
      <c r="A11" s="6" t="s">
        <v>7</v>
      </c>
      <c r="B11" s="7" t="s">
        <v>530</v>
      </c>
      <c r="C11" s="13" t="s">
        <v>30</v>
      </c>
    </row>
    <row r="12" spans="1:3" x14ac:dyDescent="0.25">
      <c r="A12" s="6" t="s">
        <v>8</v>
      </c>
      <c r="B12" s="8">
        <v>1750905</v>
      </c>
      <c r="C12" s="13"/>
    </row>
    <row r="13" spans="1:3" x14ac:dyDescent="0.25">
      <c r="A13" s="6" t="s">
        <v>9</v>
      </c>
      <c r="B13" s="8">
        <v>249095</v>
      </c>
      <c r="C13" s="13"/>
    </row>
    <row r="14" spans="1:3" ht="14.45" customHeight="1" x14ac:dyDescent="0.25">
      <c r="A14" s="6" t="s">
        <v>10</v>
      </c>
      <c r="B14" s="7" t="s">
        <v>21</v>
      </c>
      <c r="C14" s="374" t="s">
        <v>31</v>
      </c>
    </row>
    <row r="15" spans="1:3" ht="30" x14ac:dyDescent="0.25">
      <c r="A15" s="6" t="s">
        <v>11</v>
      </c>
      <c r="B15" s="7" t="s">
        <v>21</v>
      </c>
      <c r="C15" s="374"/>
    </row>
    <row r="16" spans="1:3" ht="30" x14ac:dyDescent="0.25">
      <c r="A16" s="6" t="s">
        <v>12</v>
      </c>
      <c r="B16" s="7" t="s">
        <v>22</v>
      </c>
      <c r="C16" s="14" t="s">
        <v>32</v>
      </c>
    </row>
    <row r="17" spans="1:3" x14ac:dyDescent="0.25">
      <c r="A17" s="6" t="s">
        <v>13</v>
      </c>
      <c r="B17" s="9">
        <f>+IF(B16="I",0.522%,IF(B16="II",1.044%,IF(B16="III",2.436%,IF(B16="IV",4.35%,6.96%))))</f>
        <v>6.9599999999999995E-2</v>
      </c>
      <c r="C17" s="13"/>
    </row>
    <row r="18" spans="1:3" x14ac:dyDescent="0.25">
      <c r="A18" s="6" t="s">
        <v>14</v>
      </c>
      <c r="B18" s="10">
        <v>3</v>
      </c>
      <c r="C18" s="13" t="s">
        <v>33</v>
      </c>
    </row>
    <row r="19" spans="1:3" ht="30" x14ac:dyDescent="0.25">
      <c r="A19" s="6" t="s">
        <v>15</v>
      </c>
      <c r="B19" s="11">
        <v>10</v>
      </c>
      <c r="C19" s="13" t="s">
        <v>34</v>
      </c>
    </row>
    <row r="20" spans="1:3" ht="30" x14ac:dyDescent="0.25">
      <c r="A20" s="6" t="s">
        <v>16</v>
      </c>
      <c r="B20" s="11">
        <v>10</v>
      </c>
      <c r="C20" s="13" t="s">
        <v>35</v>
      </c>
    </row>
    <row r="21" spans="1:3" ht="67.150000000000006" customHeight="1" x14ac:dyDescent="0.25">
      <c r="A21" s="6" t="s">
        <v>452</v>
      </c>
      <c r="B21" s="11">
        <v>52</v>
      </c>
      <c r="C21" s="13" t="s">
        <v>36</v>
      </c>
    </row>
    <row r="22" spans="1:3" ht="52.9" customHeight="1" x14ac:dyDescent="0.25">
      <c r="A22" s="6" t="s">
        <v>453</v>
      </c>
      <c r="B22" s="11">
        <v>52</v>
      </c>
      <c r="C22" s="13" t="s">
        <v>36</v>
      </c>
    </row>
    <row r="23" spans="1:3" ht="30" x14ac:dyDescent="0.25">
      <c r="A23" s="6" t="s">
        <v>17</v>
      </c>
      <c r="B23" s="11">
        <v>20</v>
      </c>
      <c r="C23" s="13" t="s">
        <v>37</v>
      </c>
    </row>
    <row r="24" spans="1:3" ht="30" x14ac:dyDescent="0.25">
      <c r="A24" s="6" t="s">
        <v>18</v>
      </c>
      <c r="B24" s="11">
        <v>52</v>
      </c>
      <c r="C24" s="13" t="s">
        <v>38</v>
      </c>
    </row>
    <row r="25" spans="1:3" ht="30" x14ac:dyDescent="0.25">
      <c r="A25" s="6" t="s">
        <v>19</v>
      </c>
      <c r="B25" s="11"/>
      <c r="C25" s="13" t="s">
        <v>39</v>
      </c>
    </row>
    <row r="26" spans="1:3" ht="45" x14ac:dyDescent="0.25">
      <c r="A26" s="6" t="s">
        <v>20</v>
      </c>
      <c r="B26" s="7" t="s">
        <v>21</v>
      </c>
      <c r="C26" s="13" t="s">
        <v>40</v>
      </c>
    </row>
    <row r="28" spans="1:3" ht="16.5" x14ac:dyDescent="0.3">
      <c r="A28" s="15" t="s">
        <v>42</v>
      </c>
      <c r="B28" s="16" t="s">
        <v>41</v>
      </c>
    </row>
  </sheetData>
  <protectedRanges>
    <protectedRange sqref="B6:B11 B14:B16 B18:B26" name="Rango1"/>
  </protectedRanges>
  <mergeCells count="1">
    <mergeCell ref="C14:C15"/>
  </mergeCells>
  <dataValidations count="4">
    <dataValidation type="whole" operator="greaterThanOrEqual" allowBlank="1" showInputMessage="1" showErrorMessage="1" sqref="B12:B13" xr:uid="{00000000-0002-0000-0000-000000000000}">
      <formula1>0</formula1>
    </dataValidation>
    <dataValidation type="list" allowBlank="1" showInputMessage="1" showErrorMessage="1" sqref="B6" xr:uid="{00000000-0002-0000-0000-000001000000}">
      <formula1>ENTIDADES</formula1>
    </dataValidation>
    <dataValidation type="list" allowBlank="1" showInputMessage="1" showErrorMessage="1" error="SI O NO" sqref="B14:B15 B26" xr:uid="{00000000-0002-0000-0000-000002000000}">
      <formula1>"SI,NO"</formula1>
    </dataValidation>
    <dataValidation type="list" allowBlank="1" showInputMessage="1" showErrorMessage="1" error="DEBE COLOCARSE UNO DE LOS NIVELES DE RIESGO: I, II, III, IV O V" sqref="B16" xr:uid="{00000000-0002-0000-0000-000003000000}">
      <formula1>"I,II,III,IV,V"</formula1>
    </dataValidation>
  </dataValidations>
  <hyperlinks>
    <hyperlink ref="C16" r:id="rId1" display="Ver " xr:uid="{00000000-0004-0000-0000-000000000000}"/>
    <hyperlink ref="C14:C15" r:id="rId2" display="Ver artículo 114-1 del Estatuto Tributario. Cabe aclarar que, al momento de proyectar los documentos del proceso de selección, deberá incluirse el método o procedimiento mediante el cual la Administración se asegurará de que, si el contratista elegido es de naturaleza contraria a esta decisión, el equilibrio contractual se encuentre garantizado." xr:uid="{00000000-0004-0000-0000-000001000000}"/>
  </hyperlinks>
  <pageMargins left="0.7" right="0.7" top="0.75" bottom="0.75" header="0.3" footer="0.3"/>
  <pageSetup scale="59" orientation="portrait" r:id="rId3"/>
  <rowBreaks count="1" manualBreakCount="1">
    <brk id="26" max="1"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A4C82C-C7A0-43A2-BD2C-AC1879959F64}">
  <dimension ref="A1:P57"/>
  <sheetViews>
    <sheetView tabSelected="1" view="pageBreakPreview" zoomScale="80" zoomScaleNormal="80" zoomScaleSheetLayoutView="80" workbookViewId="0">
      <selection activeCell="C52" sqref="C52"/>
    </sheetView>
  </sheetViews>
  <sheetFormatPr baseColWidth="10" defaultColWidth="11.5703125" defaultRowHeight="15" x14ac:dyDescent="0.25"/>
  <cols>
    <col min="1" max="2" width="11.5703125" style="181"/>
    <col min="3" max="3" width="34" style="181" customWidth="1"/>
    <col min="4" max="8" width="11.5703125" style="181"/>
    <col min="9" max="9" width="15.85546875" style="181" bestFit="1" customWidth="1"/>
    <col min="10" max="14" width="11.5703125" style="181"/>
    <col min="15" max="15" width="16.28515625" style="181" bestFit="1" customWidth="1"/>
    <col min="16" max="16" width="14.28515625" style="181" bestFit="1" customWidth="1"/>
    <col min="17" max="16384" width="11.5703125" style="181"/>
  </cols>
  <sheetData>
    <row r="1" spans="1:9" ht="26.25" x14ac:dyDescent="0.25">
      <c r="A1" s="388" t="s">
        <v>0</v>
      </c>
      <c r="B1" s="388"/>
      <c r="C1" s="388"/>
      <c r="D1" s="388"/>
      <c r="E1" s="388"/>
      <c r="F1" s="388"/>
      <c r="G1" s="389" t="s">
        <v>53</v>
      </c>
      <c r="H1" s="389"/>
      <c r="I1" s="389"/>
    </row>
    <row r="2" spans="1:9" ht="35.450000000000003" customHeight="1" x14ac:dyDescent="0.25">
      <c r="A2" s="390" t="str">
        <f>+IF('[8]DATOS INICIALES'!$B$7="","",'[8]DATOS INICIALES'!$B$7)</f>
        <v>MUNICIPIO DE DABEIBA</v>
      </c>
      <c r="B2" s="390"/>
      <c r="C2" s="390"/>
      <c r="D2" s="390"/>
      <c r="E2" s="390"/>
      <c r="F2" s="390"/>
      <c r="G2" s="389"/>
      <c r="H2" s="389"/>
      <c r="I2" s="389"/>
    </row>
    <row r="3" spans="1:9" ht="44.45" customHeight="1" x14ac:dyDescent="0.25">
      <c r="A3" s="391"/>
      <c r="B3" s="391"/>
      <c r="C3" s="391"/>
      <c r="D3" s="391"/>
      <c r="E3" s="391"/>
      <c r="F3" s="391"/>
      <c r="G3" s="392" t="s">
        <v>733</v>
      </c>
      <c r="H3" s="392"/>
      <c r="I3" s="392"/>
    </row>
    <row r="4" spans="1:9" ht="21" x14ac:dyDescent="0.25">
      <c r="A4" s="23"/>
      <c r="B4" s="22"/>
      <c r="C4" s="22"/>
      <c r="D4" s="22"/>
      <c r="E4" s="22"/>
      <c r="F4" s="22"/>
      <c r="G4" s="274"/>
      <c r="H4" s="274"/>
      <c r="I4" s="275"/>
    </row>
    <row r="5" spans="1:9" x14ac:dyDescent="0.25">
      <c r="A5" s="393" t="s">
        <v>454</v>
      </c>
      <c r="B5" s="393"/>
      <c r="C5" s="393"/>
      <c r="D5" s="393"/>
      <c r="E5" s="393"/>
      <c r="F5" s="393"/>
      <c r="G5" s="393"/>
      <c r="H5" s="393"/>
      <c r="I5" s="393"/>
    </row>
    <row r="6" spans="1:9" x14ac:dyDescent="0.25">
      <c r="A6" s="23"/>
      <c r="B6" s="23"/>
      <c r="C6" s="23"/>
      <c r="D6" s="23"/>
      <c r="E6" s="23"/>
      <c r="F6" s="23"/>
      <c r="G6" s="22"/>
      <c r="H6" s="22"/>
      <c r="I6" s="276"/>
    </row>
    <row r="7" spans="1:9" ht="24" x14ac:dyDescent="0.25">
      <c r="A7" s="185" t="s">
        <v>44</v>
      </c>
      <c r="B7" s="185" t="s">
        <v>54</v>
      </c>
      <c r="C7" s="185" t="s">
        <v>46</v>
      </c>
      <c r="D7" s="185" t="s">
        <v>342</v>
      </c>
      <c r="E7" s="185" t="s">
        <v>343</v>
      </c>
      <c r="F7" s="185" t="s">
        <v>734</v>
      </c>
      <c r="G7" s="185" t="s">
        <v>345</v>
      </c>
      <c r="H7" s="185" t="s">
        <v>346</v>
      </c>
      <c r="I7" s="277" t="s">
        <v>347</v>
      </c>
    </row>
    <row r="8" spans="1:9" x14ac:dyDescent="0.25">
      <c r="A8" s="19" t="s">
        <v>455</v>
      </c>
      <c r="B8" s="375" t="s">
        <v>456</v>
      </c>
      <c r="C8" s="376"/>
      <c r="D8" s="376"/>
      <c r="E8" s="376"/>
      <c r="F8" s="376"/>
      <c r="G8" s="376"/>
      <c r="H8" s="377"/>
      <c r="I8" s="278"/>
    </row>
    <row r="9" spans="1:9" x14ac:dyDescent="0.25">
      <c r="A9" s="171">
        <v>1</v>
      </c>
      <c r="B9" s="381" t="s">
        <v>348</v>
      </c>
      <c r="C9" s="382"/>
      <c r="D9" s="382"/>
      <c r="E9" s="382"/>
      <c r="F9" s="382"/>
      <c r="G9" s="382"/>
      <c r="H9" s="383"/>
      <c r="I9" s="278"/>
    </row>
    <row r="10" spans="1:9" x14ac:dyDescent="0.25">
      <c r="A10" s="35">
        <f t="shared" ref="A10:A16" si="0">IF(C10="","",A9+0.1)</f>
        <v>1.1000000000000001</v>
      </c>
      <c r="B10" s="27" t="str">
        <f>IF(C10="","",INDEX(CÓDIGOS_MANO_DE_OBRA,MATCH($C10,'[8]INSUMOS MANO DE OBRA'!$B$8:$B$63,0)))</f>
        <v>MO001</v>
      </c>
      <c r="C10" s="30" t="s">
        <v>735</v>
      </c>
      <c r="D10" s="31">
        <v>1</v>
      </c>
      <c r="E10" s="279"/>
      <c r="F10" s="279"/>
      <c r="G10" s="280">
        <v>0.5</v>
      </c>
      <c r="H10" s="27">
        <v>12</v>
      </c>
      <c r="I10" s="281"/>
    </row>
    <row r="11" spans="1:9" ht="24" x14ac:dyDescent="0.25">
      <c r="A11" s="35">
        <f t="shared" si="0"/>
        <v>1.2000000000000002</v>
      </c>
      <c r="B11" s="27" t="str">
        <f>IF(C11="","",INDEX(CÓDIGOS_MANO_DE_OBRA,MATCH($C11,'[8]INSUMOS MANO DE OBRA'!$B$8:$B$63,0)))</f>
        <v>MO002</v>
      </c>
      <c r="C11" s="30" t="s">
        <v>736</v>
      </c>
      <c r="D11" s="31">
        <v>1</v>
      </c>
      <c r="E11" s="279"/>
      <c r="F11" s="279"/>
      <c r="G11" s="280">
        <v>1</v>
      </c>
      <c r="H11" s="31">
        <v>12</v>
      </c>
      <c r="I11" s="281"/>
    </row>
    <row r="12" spans="1:9" x14ac:dyDescent="0.25">
      <c r="A12" s="35">
        <f t="shared" si="0"/>
        <v>1.3000000000000003</v>
      </c>
      <c r="B12" s="27" t="str">
        <f>IF(C12="","",INDEX(CÓDIGOS_MANO_DE_OBRA,MATCH($C12,'[8]INSUMOS MANO DE OBRA'!$B$8:$B$63,0)))</f>
        <v>MO006</v>
      </c>
      <c r="C12" s="30" t="s">
        <v>737</v>
      </c>
      <c r="D12" s="31">
        <v>1</v>
      </c>
      <c r="E12" s="279"/>
      <c r="F12" s="279"/>
      <c r="G12" s="280">
        <v>1</v>
      </c>
      <c r="H12" s="31">
        <v>12</v>
      </c>
      <c r="I12" s="281"/>
    </row>
    <row r="13" spans="1:9" x14ac:dyDescent="0.25">
      <c r="A13" s="35">
        <f t="shared" si="0"/>
        <v>1.4000000000000004</v>
      </c>
      <c r="B13" s="27" t="s">
        <v>168</v>
      </c>
      <c r="C13" s="30" t="s">
        <v>738</v>
      </c>
      <c r="D13" s="31">
        <v>1</v>
      </c>
      <c r="E13" s="279"/>
      <c r="F13" s="279"/>
      <c r="G13" s="280">
        <v>0.8</v>
      </c>
      <c r="H13" s="31">
        <v>12</v>
      </c>
      <c r="I13" s="281"/>
    </row>
    <row r="14" spans="1:9" x14ac:dyDescent="0.25">
      <c r="A14" s="35" t="str">
        <f t="shared" si="0"/>
        <v/>
      </c>
      <c r="B14" s="27" t="str">
        <f>IF(C14="","",INDEX(CÓDIGOS_MANO_DE_OBRA,MATCH($C14,'[8]INSUMOS MANO DE OBRA'!$B$8:$B$63,0)))</f>
        <v/>
      </c>
      <c r="C14" s="30"/>
      <c r="D14" s="31"/>
      <c r="E14" s="279" t="str">
        <f t="shared" ref="E14:E16" si="1">+IFERROR(VLOOKUP($B14,INSUMOS_MANO_DE_OBRA,4,0),"")</f>
        <v/>
      </c>
      <c r="F14" s="279" t="str">
        <f t="shared" ref="F14:F16" si="2">+IFERROR(ROUND((VLOOKUP($B14,INSUMOS_MANO_DE_OBRA,5,0)-1)*E14,0),"")</f>
        <v/>
      </c>
      <c r="G14" s="280"/>
      <c r="H14" s="31"/>
      <c r="I14" s="281" t="str">
        <f t="shared" ref="I14:I16" si="3">+IF(D14=0,"",IFERROR(D14*(E14)*G14*H14,""))</f>
        <v/>
      </c>
    </row>
    <row r="15" spans="1:9" x14ac:dyDescent="0.25">
      <c r="A15" s="35" t="str">
        <f t="shared" si="0"/>
        <v/>
      </c>
      <c r="B15" s="27" t="str">
        <f>IF(C15="","",INDEX(CÓDIGOS_MANO_DE_OBRA,MATCH($C15,'[8]INSUMOS MANO DE OBRA'!$B$8:$B$63,0)))</f>
        <v/>
      </c>
      <c r="C15" s="30"/>
      <c r="D15" s="31"/>
      <c r="E15" s="279" t="str">
        <f t="shared" si="1"/>
        <v/>
      </c>
      <c r="F15" s="279" t="str">
        <f t="shared" si="2"/>
        <v/>
      </c>
      <c r="G15" s="280"/>
      <c r="H15" s="31"/>
      <c r="I15" s="281" t="str">
        <f t="shared" si="3"/>
        <v/>
      </c>
    </row>
    <row r="16" spans="1:9" x14ac:dyDescent="0.25">
      <c r="A16" s="35" t="str">
        <f t="shared" si="0"/>
        <v/>
      </c>
      <c r="B16" s="27" t="str">
        <f>IF(C16="","",INDEX(CÓDIGOS_MANO_DE_OBRA,MATCH($C16,'[8]INSUMOS MANO DE OBRA'!$B$8:$B$63,0)))</f>
        <v/>
      </c>
      <c r="C16" s="30"/>
      <c r="D16" s="31"/>
      <c r="E16" s="279" t="str">
        <f t="shared" si="1"/>
        <v/>
      </c>
      <c r="F16" s="279" t="str">
        <f t="shared" si="2"/>
        <v/>
      </c>
      <c r="G16" s="280"/>
      <c r="H16" s="31"/>
      <c r="I16" s="281" t="str">
        <f t="shared" si="3"/>
        <v/>
      </c>
    </row>
    <row r="17" spans="1:9" x14ac:dyDescent="0.25">
      <c r="A17" s="171">
        <v>2</v>
      </c>
      <c r="B17" s="384" t="s">
        <v>739</v>
      </c>
      <c r="C17" s="384"/>
      <c r="D17" s="384"/>
      <c r="E17" s="384"/>
      <c r="F17" s="384"/>
      <c r="G17" s="384"/>
      <c r="H17" s="384"/>
      <c r="I17" s="278" t="str">
        <f>IFERROR(IF(SUM(I18:I20)=0,"",SUM(I18:I20)),"")</f>
        <v/>
      </c>
    </row>
    <row r="18" spans="1:9" x14ac:dyDescent="0.25">
      <c r="A18" s="35" t="str">
        <f>IF(C18="","",A17+0.1)</f>
        <v/>
      </c>
      <c r="B18" s="27" t="str">
        <f>IF(C18="","",INDEX(CÓDIGOS_MANO_DE_OBRA,MATCH($C18,'[8]INSUMOS MANO DE OBRA'!$B$8:$B$63,0)))</f>
        <v/>
      </c>
      <c r="C18" s="30"/>
      <c r="D18" s="31"/>
      <c r="E18" s="279" t="str">
        <f>+IFERROR(VLOOKUP($B18,INSUMOS_MANO_DE_OBRA,4,0),"")</f>
        <v/>
      </c>
      <c r="F18" s="279" t="str">
        <f>+IFERROR(ROUND((VLOOKUP($B18,INSUMOS_MANO_DE_OBRA,5,0)-1)*E18,0),"")</f>
        <v/>
      </c>
      <c r="G18" s="280"/>
      <c r="H18" s="31"/>
      <c r="I18" s="281" t="str">
        <f>+IF(D18=0,"",IFERROR(D18*(E18)*G18*H18,""))</f>
        <v/>
      </c>
    </row>
    <row r="19" spans="1:9" x14ac:dyDescent="0.25">
      <c r="A19" s="35" t="str">
        <f>IF(C19="","",A18+0.1)</f>
        <v/>
      </c>
      <c r="B19" s="27" t="str">
        <f>IF(C19="","",INDEX(CÓDIGOS_MANO_DE_OBRA,MATCH($C19,'[8]INSUMOS MANO DE OBRA'!$B$8:$B$63,0)))</f>
        <v/>
      </c>
      <c r="C19" s="30"/>
      <c r="D19" s="31"/>
      <c r="E19" s="279" t="str">
        <f>+IFERROR(VLOOKUP($B19,INSUMOS_MANO_DE_OBRA,4,0),"")</f>
        <v/>
      </c>
      <c r="F19" s="279" t="str">
        <f>+IFERROR(ROUND((VLOOKUP($B19,INSUMOS_MANO_DE_OBRA,5,0)-1)*E19,0),"")</f>
        <v/>
      </c>
      <c r="G19" s="280"/>
      <c r="H19" s="31"/>
      <c r="I19" s="281" t="str">
        <f>+IF(D19=0,"",IFERROR(D19*(E19)*G19*H19,""))</f>
        <v/>
      </c>
    </row>
    <row r="20" spans="1:9" x14ac:dyDescent="0.25">
      <c r="A20" s="35" t="str">
        <f>IF(C20="","",A19+0.1)</f>
        <v/>
      </c>
      <c r="B20" s="27" t="str">
        <f>IF(C20="","",INDEX(CÓDIGOS_MANO_DE_OBRA,MATCH($C20,'[8]INSUMOS MANO DE OBRA'!$B$8:$B$63,0)))</f>
        <v/>
      </c>
      <c r="C20" s="30"/>
      <c r="D20" s="31"/>
      <c r="E20" s="279" t="str">
        <f>+IFERROR(VLOOKUP($B20,INSUMOS_MANO_DE_OBRA,4,0),"")</f>
        <v/>
      </c>
      <c r="F20" s="279" t="str">
        <f>+IFERROR(ROUND((VLOOKUP($B20,INSUMOS_MANO_DE_OBRA,5,0)-1)*E20,0),"")</f>
        <v/>
      </c>
      <c r="G20" s="280"/>
      <c r="H20" s="31"/>
      <c r="I20" s="281" t="str">
        <f>+IF(D20=0,"",IFERROR(D20*(E20)*G20*H20,""))</f>
        <v/>
      </c>
    </row>
    <row r="21" spans="1:9" x14ac:dyDescent="0.25">
      <c r="A21" s="171">
        <v>3</v>
      </c>
      <c r="B21" s="381" t="s">
        <v>482</v>
      </c>
      <c r="C21" s="382"/>
      <c r="D21" s="382"/>
      <c r="E21" s="382"/>
      <c r="F21" s="382"/>
      <c r="G21" s="382"/>
      <c r="H21" s="382"/>
      <c r="I21" s="383"/>
    </row>
    <row r="22" spans="1:9" x14ac:dyDescent="0.25">
      <c r="A22" s="35">
        <f>IF(C22="","",A21+0.1)</f>
        <v>3.1</v>
      </c>
      <c r="B22" s="27"/>
      <c r="C22" s="28" t="s">
        <v>483</v>
      </c>
      <c r="D22" s="282"/>
      <c r="E22" s="282"/>
      <c r="F22" s="282"/>
      <c r="G22" s="283"/>
      <c r="H22" s="283"/>
      <c r="I22" s="284" t="str">
        <f>IF(SUM(I17,I9)=0,"",SUM(I17,I9))</f>
        <v/>
      </c>
    </row>
    <row r="23" spans="1:9" x14ac:dyDescent="0.25">
      <c r="A23" s="35">
        <f>IF(C23="","",A22+0.1)</f>
        <v>3.2</v>
      </c>
      <c r="B23" s="27"/>
      <c r="C23" s="28" t="s">
        <v>484</v>
      </c>
      <c r="D23" s="282"/>
      <c r="E23" s="282"/>
      <c r="F23" s="282"/>
      <c r="G23" s="283"/>
      <c r="H23" s="283"/>
      <c r="I23" s="285"/>
    </row>
    <row r="24" spans="1:9" x14ac:dyDescent="0.25">
      <c r="A24" s="35">
        <f>IF(C24="","",A23+0.1)</f>
        <v>3.3000000000000003</v>
      </c>
      <c r="B24" s="27"/>
      <c r="C24" s="28" t="s">
        <v>485</v>
      </c>
      <c r="D24" s="282"/>
      <c r="E24" s="282"/>
      <c r="F24" s="282"/>
      <c r="G24" s="283"/>
      <c r="H24" s="283"/>
      <c r="I24" s="284"/>
    </row>
    <row r="25" spans="1:9" x14ac:dyDescent="0.25">
      <c r="A25" s="171">
        <v>4</v>
      </c>
      <c r="B25" s="384" t="s">
        <v>740</v>
      </c>
      <c r="C25" s="385"/>
      <c r="D25" s="385"/>
      <c r="E25" s="385"/>
      <c r="F25" s="385"/>
      <c r="G25" s="385"/>
      <c r="H25" s="385"/>
      <c r="I25" s="286" t="str">
        <f>IFERROR(IF(SUM(I26:I29)=0,"",SUM(I26:I29)),"")</f>
        <v/>
      </c>
    </row>
    <row r="26" spans="1:9" ht="162" x14ac:dyDescent="0.25">
      <c r="A26" s="35">
        <f>IF(C26="","",A25+0.1)</f>
        <v>4.0999999999999996</v>
      </c>
      <c r="B26" s="27"/>
      <c r="C26" s="30" t="s">
        <v>741</v>
      </c>
      <c r="D26" s="31"/>
      <c r="E26" s="287"/>
      <c r="F26" s="283"/>
      <c r="G26" s="283"/>
      <c r="H26" s="31"/>
      <c r="I26" s="281" t="str">
        <f>IFERROR(IF(E26*H26*D26=0,"",E26*H26*D26),"")</f>
        <v/>
      </c>
    </row>
    <row r="27" spans="1:9" ht="24" x14ac:dyDescent="0.25">
      <c r="A27" s="35">
        <f>IF(C27="","",A26+0.1)</f>
        <v>4.1999999999999993</v>
      </c>
      <c r="B27" s="27"/>
      <c r="C27" s="30" t="s">
        <v>742</v>
      </c>
      <c r="D27" s="31"/>
      <c r="E27" s="287"/>
      <c r="F27" s="283"/>
      <c r="G27" s="283"/>
      <c r="H27" s="31"/>
      <c r="I27" s="281" t="str">
        <f>IFERROR(IF(E27*H27*D27=0,"",E27*H27*D27),"")</f>
        <v/>
      </c>
    </row>
    <row r="28" spans="1:9" x14ac:dyDescent="0.25">
      <c r="A28" s="35" t="str">
        <f>IF(C28="","",A27+0.1)</f>
        <v/>
      </c>
      <c r="B28" s="27"/>
      <c r="C28" s="30"/>
      <c r="D28" s="31"/>
      <c r="E28" s="287"/>
      <c r="F28" s="283"/>
      <c r="G28" s="283"/>
      <c r="H28" s="31"/>
      <c r="I28" s="281" t="str">
        <f>IFERROR(IF(E28*H28*D28=0,"",E28*H28*D28),"")</f>
        <v/>
      </c>
    </row>
    <row r="29" spans="1:9" x14ac:dyDescent="0.25">
      <c r="A29" s="35" t="str">
        <f>IF(C29="","",A28+0.1)</f>
        <v/>
      </c>
      <c r="B29" s="27"/>
      <c r="C29" s="30"/>
      <c r="D29" s="31"/>
      <c r="E29" s="287"/>
      <c r="F29" s="283"/>
      <c r="G29" s="283"/>
      <c r="H29" s="31"/>
      <c r="I29" s="281" t="str">
        <f>IFERROR(IF(E29*H29*D29=0,"",E29*H29*D29),"")</f>
        <v/>
      </c>
    </row>
    <row r="30" spans="1:9" x14ac:dyDescent="0.25">
      <c r="A30" s="288"/>
      <c r="B30" s="386" t="s">
        <v>486</v>
      </c>
      <c r="C30" s="387"/>
      <c r="D30" s="387"/>
      <c r="E30" s="387"/>
      <c r="F30" s="387"/>
      <c r="G30" s="387"/>
      <c r="H30" s="380"/>
      <c r="I30" s="289"/>
    </row>
    <row r="31" spans="1:9" x14ac:dyDescent="0.25">
      <c r="A31" s="19" t="s">
        <v>487</v>
      </c>
      <c r="B31" s="375" t="s">
        <v>488</v>
      </c>
      <c r="C31" s="376"/>
      <c r="D31" s="376"/>
      <c r="E31" s="376"/>
      <c r="F31" s="376"/>
      <c r="G31" s="376"/>
      <c r="H31" s="377"/>
      <c r="I31" s="278"/>
    </row>
    <row r="32" spans="1:9" x14ac:dyDescent="0.25">
      <c r="A32" s="19">
        <v>5</v>
      </c>
      <c r="B32" s="378" t="s">
        <v>489</v>
      </c>
      <c r="C32" s="379"/>
      <c r="D32" s="379"/>
      <c r="E32" s="379"/>
      <c r="F32" s="379"/>
      <c r="G32" s="379"/>
      <c r="H32" s="380"/>
      <c r="I32" s="278"/>
    </row>
    <row r="33" spans="1:16" x14ac:dyDescent="0.25">
      <c r="A33" s="35" t="str">
        <f>IF(C33="","",A32+0.1)</f>
        <v/>
      </c>
      <c r="B33" s="27" t="str">
        <f>IF(C33="","",INDEX('[8]INSUMOS GENERALES'!$A$8:$A$144,MATCH($C33,'[8]INSUMOS GENERALES'!$B$8:$B$144,0)))</f>
        <v/>
      </c>
      <c r="C33" s="30"/>
      <c r="D33" s="31"/>
      <c r="E33" s="279" t="str">
        <f>+IF(C33="","",(VLOOKUP($B33,'[8]INSUMOS GENERALES'!$A$8:$D$144,4,0)))</f>
        <v/>
      </c>
      <c r="F33" s="282"/>
      <c r="G33" s="282"/>
      <c r="H33" s="31"/>
      <c r="I33" s="281" t="str">
        <f t="shared" ref="I33:I43" si="4">+IFERROR(D33*E33*H33,"")</f>
        <v/>
      </c>
    </row>
    <row r="34" spans="1:16" x14ac:dyDescent="0.25">
      <c r="A34" s="35" t="str">
        <f>IF(C34="","",A33+0.1)</f>
        <v/>
      </c>
      <c r="B34" s="27" t="str">
        <f>IF(C34="","",INDEX('[8]INSUMOS GENERALES'!$A$8:$A$144,MATCH($C34,'[8]INSUMOS GENERALES'!$B$8:$B$144,0)))</f>
        <v/>
      </c>
      <c r="C34" s="30"/>
      <c r="D34" s="31"/>
      <c r="E34" s="279"/>
      <c r="F34" s="282"/>
      <c r="G34" s="282"/>
      <c r="H34" s="31"/>
      <c r="I34" s="281"/>
    </row>
    <row r="35" spans="1:16" x14ac:dyDescent="0.25">
      <c r="A35" s="35"/>
      <c r="B35" s="27"/>
      <c r="C35" s="28" t="s">
        <v>743</v>
      </c>
      <c r="D35" s="27">
        <v>1</v>
      </c>
      <c r="E35" s="287"/>
      <c r="F35" s="282"/>
      <c r="G35" s="282"/>
      <c r="H35" s="31">
        <f>+H10</f>
        <v>12</v>
      </c>
      <c r="I35" s="281"/>
    </row>
    <row r="36" spans="1:16" ht="36" x14ac:dyDescent="0.25">
      <c r="A36" s="35"/>
      <c r="B36" s="27" t="str">
        <f>IF(C36="","",INDEX('[8]INSUMOS GENERALES'!$A$8:$A$144,MATCH($C36,'[8]INSUMOS GENERALES'!$B$8:$B$144,0)))</f>
        <v>GE010</v>
      </c>
      <c r="C36" s="30" t="s">
        <v>744</v>
      </c>
      <c r="D36" s="31">
        <v>2</v>
      </c>
      <c r="E36" s="279"/>
      <c r="F36" s="282"/>
      <c r="G36" s="282"/>
      <c r="H36" s="31">
        <f>+H35</f>
        <v>12</v>
      </c>
      <c r="I36" s="281"/>
    </row>
    <row r="37" spans="1:16" ht="60" x14ac:dyDescent="0.25">
      <c r="A37" s="35"/>
      <c r="B37" s="27" t="str">
        <f>IF(C37="","",INDEX('[8]INSUMOS GENERALES'!$A$8:$A$144,MATCH($C37,'[8]INSUMOS GENERALES'!$B$8:$B$144,0)))</f>
        <v>GE008</v>
      </c>
      <c r="C37" s="30" t="s">
        <v>77</v>
      </c>
      <c r="D37" s="31">
        <v>3</v>
      </c>
      <c r="E37" s="279"/>
      <c r="F37" s="282"/>
      <c r="G37" s="282"/>
      <c r="H37" s="31">
        <f>+H35</f>
        <v>12</v>
      </c>
      <c r="I37" s="281"/>
    </row>
    <row r="38" spans="1:16" x14ac:dyDescent="0.25">
      <c r="A38" s="35"/>
      <c r="B38" s="27" t="str">
        <f>IF(C38="","",INDEX('[8]INSUMOS GENERALES'!$A$8:$A$144,MATCH($C38,'[8]INSUMOS GENERALES'!$B$8:$B$144,0)))</f>
        <v>GE009</v>
      </c>
      <c r="C38" s="30" t="s">
        <v>79</v>
      </c>
      <c r="D38" s="31">
        <v>1</v>
      </c>
      <c r="E38" s="279"/>
      <c r="F38" s="282"/>
      <c r="G38" s="282"/>
      <c r="H38" s="31">
        <v>12</v>
      </c>
      <c r="I38" s="281"/>
    </row>
    <row r="39" spans="1:16" x14ac:dyDescent="0.25">
      <c r="A39" s="35" t="str">
        <f t="shared" ref="A39:A45" si="5">IF(C39="","",A38+0.1)</f>
        <v/>
      </c>
      <c r="B39" s="27" t="str">
        <f>IF(C39="","",INDEX('[8]INSUMOS GENERALES'!$A$8:$A$144,MATCH($C39,'[8]INSUMOS GENERALES'!$B$8:$B$144,0)))</f>
        <v/>
      </c>
      <c r="C39" s="30"/>
      <c r="D39" s="31"/>
      <c r="E39" s="279" t="str">
        <f>+IF(C39="","",(VLOOKUP($B39,'[8]INSUMOS GENERALES'!$A$8:$D$144,4,0)))</f>
        <v/>
      </c>
      <c r="F39" s="282"/>
      <c r="G39" s="282"/>
      <c r="H39" s="31"/>
      <c r="I39" s="281"/>
    </row>
    <row r="40" spans="1:16" x14ac:dyDescent="0.25">
      <c r="A40" s="35" t="str">
        <f t="shared" si="5"/>
        <v/>
      </c>
      <c r="B40" s="290"/>
      <c r="C40" s="30"/>
      <c r="D40" s="31"/>
      <c r="E40" s="279"/>
      <c r="F40" s="282"/>
      <c r="G40" s="282"/>
      <c r="H40" s="31"/>
      <c r="I40" s="281"/>
    </row>
    <row r="41" spans="1:16" ht="72" x14ac:dyDescent="0.25">
      <c r="A41" s="35"/>
      <c r="B41" s="27"/>
      <c r="C41" s="28" t="s">
        <v>745</v>
      </c>
      <c r="D41" s="282"/>
      <c r="E41" s="282"/>
      <c r="F41" s="282"/>
      <c r="G41" s="282"/>
      <c r="H41" s="282"/>
      <c r="I41" s="281"/>
    </row>
    <row r="42" spans="1:16" x14ac:dyDescent="0.25">
      <c r="A42" s="19">
        <v>6</v>
      </c>
      <c r="B42" s="378" t="s">
        <v>746</v>
      </c>
      <c r="C42" s="379"/>
      <c r="D42" s="379"/>
      <c r="E42" s="379"/>
      <c r="F42" s="379"/>
      <c r="G42" s="379"/>
      <c r="H42" s="380"/>
      <c r="I42" s="278"/>
    </row>
    <row r="43" spans="1:16" ht="27" customHeight="1" x14ac:dyDescent="0.25">
      <c r="A43" s="35">
        <f>IF(C43="","",A42+0.1)</f>
        <v>6.1</v>
      </c>
      <c r="B43" s="27"/>
      <c r="C43" s="28" t="s">
        <v>747</v>
      </c>
      <c r="D43" s="27"/>
      <c r="E43" s="287"/>
      <c r="F43" s="282"/>
      <c r="G43" s="282"/>
      <c r="H43" s="31"/>
      <c r="I43" s="281"/>
    </row>
    <row r="44" spans="1:16" ht="24" x14ac:dyDescent="0.25">
      <c r="A44" s="35">
        <f>IF(C44="","",A43+0.1)</f>
        <v>6.1999999999999993</v>
      </c>
      <c r="B44" s="27"/>
      <c r="C44" s="28" t="s">
        <v>748</v>
      </c>
      <c r="D44" s="282"/>
      <c r="E44" s="282"/>
      <c r="F44" s="282"/>
      <c r="G44" s="282"/>
      <c r="H44" s="282"/>
      <c r="I44" s="281"/>
      <c r="O44" s="291">
        <v>184000000</v>
      </c>
      <c r="P44" s="291">
        <v>1600000</v>
      </c>
    </row>
    <row r="45" spans="1:16" x14ac:dyDescent="0.25">
      <c r="A45" s="35" t="str">
        <f t="shared" si="5"/>
        <v/>
      </c>
      <c r="B45" s="27"/>
      <c r="C45" s="30"/>
      <c r="D45" s="31"/>
      <c r="E45" s="287"/>
      <c r="F45" s="282"/>
      <c r="G45" s="282"/>
      <c r="H45" s="31"/>
      <c r="I45" s="281"/>
      <c r="O45" s="291">
        <v>850000000</v>
      </c>
      <c r="P45" s="191">
        <f>(O45*P44)/O44</f>
        <v>7391304.3478260869</v>
      </c>
    </row>
    <row r="46" spans="1:16" x14ac:dyDescent="0.25">
      <c r="A46" s="375" t="s">
        <v>490</v>
      </c>
      <c r="B46" s="376"/>
      <c r="C46" s="376"/>
      <c r="D46" s="376"/>
      <c r="E46" s="376"/>
      <c r="F46" s="376"/>
      <c r="G46" s="376"/>
      <c r="H46" s="377"/>
      <c r="I46" s="292" t="str">
        <f>IFERROR(IF(SUM(I31,I8)=0,"",ROUND(SUM(I31,I8),0)),"")</f>
        <v/>
      </c>
    </row>
    <row r="47" spans="1:16" x14ac:dyDescent="0.25">
      <c r="A47" s="375" t="s">
        <v>409</v>
      </c>
      <c r="B47" s="376"/>
      <c r="C47" s="376"/>
      <c r="D47" s="376"/>
      <c r="E47" s="376"/>
      <c r="F47" s="376"/>
      <c r="G47" s="376"/>
      <c r="H47" s="293"/>
      <c r="I47" s="292" t="str">
        <f>+IFERROR(ROUND(I46*H47,0),"")</f>
        <v/>
      </c>
    </row>
    <row r="48" spans="1:16" x14ac:dyDescent="0.25">
      <c r="A48" s="375" t="s">
        <v>491</v>
      </c>
      <c r="B48" s="376"/>
      <c r="C48" s="376"/>
      <c r="D48" s="376"/>
      <c r="E48" s="376"/>
      <c r="F48" s="376"/>
      <c r="G48" s="376"/>
      <c r="H48" s="377"/>
      <c r="I48" s="292" t="str">
        <f>IF(I46="","",SUM(I46:I47))</f>
        <v/>
      </c>
    </row>
    <row r="49" spans="1:9" x14ac:dyDescent="0.25">
      <c r="A49" s="23"/>
      <c r="B49" s="23"/>
      <c r="C49" s="23"/>
      <c r="D49" s="23"/>
      <c r="E49" s="23"/>
      <c r="F49" s="23"/>
      <c r="G49" s="22"/>
      <c r="H49" s="22"/>
      <c r="I49" s="276"/>
    </row>
    <row r="50" spans="1:9" x14ac:dyDescent="0.25">
      <c r="A50" s="23"/>
      <c r="B50" s="23"/>
      <c r="C50" s="23"/>
      <c r="D50" s="23"/>
      <c r="E50" s="23"/>
      <c r="F50" s="23"/>
      <c r="G50" s="22"/>
      <c r="H50" s="22"/>
      <c r="I50" s="276"/>
    </row>
    <row r="51" spans="1:9" x14ac:dyDescent="0.25">
      <c r="A51" s="23"/>
      <c r="B51" s="23"/>
      <c r="C51" s="23"/>
      <c r="D51" s="23"/>
      <c r="E51" s="23"/>
      <c r="F51" s="23"/>
      <c r="G51" s="22"/>
      <c r="H51" s="22"/>
      <c r="I51" s="276"/>
    </row>
    <row r="52" spans="1:9" x14ac:dyDescent="0.25">
      <c r="A52" s="23"/>
      <c r="B52" s="23"/>
      <c r="C52" s="23"/>
      <c r="D52" s="23"/>
      <c r="E52" s="23"/>
      <c r="F52" s="23"/>
      <c r="G52" s="22"/>
      <c r="H52" s="22"/>
      <c r="I52" s="276"/>
    </row>
    <row r="53" spans="1:9" ht="15.75" thickBot="1" x14ac:dyDescent="0.3">
      <c r="A53" s="294"/>
      <c r="B53" s="22"/>
      <c r="C53" s="295"/>
      <c r="D53" s="22"/>
      <c r="E53" s="294"/>
      <c r="F53" s="294"/>
      <c r="G53" s="22"/>
      <c r="H53" s="22"/>
      <c r="I53" s="296"/>
    </row>
    <row r="54" spans="1:9" x14ac:dyDescent="0.25">
      <c r="A54" s="297"/>
      <c r="B54" s="298"/>
      <c r="C54" s="299"/>
      <c r="D54" s="300"/>
      <c r="E54" s="301"/>
      <c r="F54" s="301"/>
      <c r="G54" s="298"/>
      <c r="H54" s="298"/>
      <c r="I54" s="298"/>
    </row>
    <row r="55" spans="1:9" x14ac:dyDescent="0.25">
      <c r="A55" s="297"/>
      <c r="B55" s="298"/>
      <c r="C55" s="299"/>
      <c r="D55" s="300"/>
      <c r="E55" s="301"/>
      <c r="F55" s="301"/>
      <c r="G55" s="298"/>
      <c r="H55" s="298"/>
      <c r="I55" s="298"/>
    </row>
    <row r="56" spans="1:9" x14ac:dyDescent="0.25">
      <c r="A56" s="297"/>
      <c r="B56" s="298"/>
      <c r="C56" s="299"/>
      <c r="D56" s="300"/>
      <c r="E56" s="301"/>
      <c r="F56" s="301"/>
      <c r="G56" s="298"/>
      <c r="H56" s="298"/>
      <c r="I56" s="302"/>
    </row>
    <row r="57" spans="1:9" x14ac:dyDescent="0.25">
      <c r="A57" s="23"/>
      <c r="B57" s="23"/>
      <c r="C57" s="299"/>
      <c r="D57" s="23"/>
      <c r="E57" s="23"/>
      <c r="F57" s="23"/>
      <c r="G57" s="22"/>
      <c r="H57" s="22"/>
      <c r="I57" s="276"/>
    </row>
  </sheetData>
  <protectedRanges>
    <protectedRange sqref="C10:D16 G10:G16 H11:H16 C18:D20 G18:H20 C28:C29 D26:E29 H26:H29 C33:D34 E35 C36:D40 H33:H40 E43 H43 C45:E45 H45" name="Editables"/>
  </protectedRanges>
  <mergeCells count="18">
    <mergeCell ref="B31:H31"/>
    <mergeCell ref="B32:H32"/>
    <mergeCell ref="B42:H42"/>
    <mergeCell ref="A46:H46"/>
    <mergeCell ref="A47:G47"/>
    <mergeCell ref="A48:H48"/>
    <mergeCell ref="B8:H8"/>
    <mergeCell ref="B9:H9"/>
    <mergeCell ref="B17:H17"/>
    <mergeCell ref="B21:I21"/>
    <mergeCell ref="B25:H25"/>
    <mergeCell ref="B30:H30"/>
    <mergeCell ref="A1:F1"/>
    <mergeCell ref="G1:I2"/>
    <mergeCell ref="A2:F2"/>
    <mergeCell ref="A3:F3"/>
    <mergeCell ref="G3:I3"/>
    <mergeCell ref="A5:I5"/>
  </mergeCells>
  <dataValidations count="2">
    <dataValidation type="list" allowBlank="1" showInputMessage="1" showErrorMessage="1" sqref="B43:B45" xr:uid="{5E1A66F6-60AB-493C-9BD1-44E6BBB63336}">
      <formula1>CÓDIGOS_SERVICIOS</formula1>
    </dataValidation>
    <dataValidation type="list" allowBlank="1" showInputMessage="1" showErrorMessage="1" sqref="B26:B29" xr:uid="{585C90A5-FE77-46EF-ADCB-B6ACD88EA32C}">
      <formula1>CÓDIGOS_MANO_DE_OBRA</formula1>
    </dataValidation>
  </dataValidations>
  <pageMargins left="0.7" right="0.7" top="0.75" bottom="0.75" header="0.3" footer="0.3"/>
  <pageSetup scale="70" orientation="portrait" r:id="rId1"/>
  <rowBreaks count="1" manualBreakCount="1">
    <brk id="29"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49"/>
  <sheetViews>
    <sheetView view="pageBreakPreview" topLeftCell="A114" zoomScaleNormal="60" zoomScaleSheetLayoutView="100" workbookViewId="0">
      <selection activeCell="G124" sqref="G124"/>
    </sheetView>
  </sheetViews>
  <sheetFormatPr baseColWidth="10" defaultColWidth="11.42578125" defaultRowHeight="15" x14ac:dyDescent="0.25"/>
  <cols>
    <col min="1" max="1" width="11.5703125" style="182" customWidth="1"/>
    <col min="2" max="2" width="11.5703125" style="183" customWidth="1"/>
    <col min="3" max="3" width="15.140625" style="181" customWidth="1"/>
    <col min="4" max="4" width="61.85546875" style="181" customWidth="1"/>
    <col min="5" max="5" width="17.28515625" style="182" bestFit="1" customWidth="1"/>
    <col min="6" max="6" width="19" style="182" bestFit="1" customWidth="1"/>
    <col min="7" max="7" width="18.28515625" style="184" customWidth="1"/>
    <col min="8" max="8" width="34.7109375" style="182" bestFit="1" customWidth="1"/>
    <col min="9" max="9" width="17.5703125" style="181" bestFit="1" customWidth="1"/>
    <col min="10" max="10" width="25.5703125" style="181" bestFit="1" customWidth="1"/>
    <col min="11" max="11" width="11.42578125" style="181"/>
    <col min="12" max="12" width="13.140625" style="181" bestFit="1" customWidth="1"/>
    <col min="13" max="16384" width="11.42578125" style="181"/>
  </cols>
  <sheetData>
    <row r="1" spans="1:8" ht="26.25" x14ac:dyDescent="0.25">
      <c r="A1" s="361" t="s">
        <v>0</v>
      </c>
      <c r="B1" s="362"/>
      <c r="C1" s="362"/>
      <c r="D1" s="362"/>
      <c r="E1" s="351"/>
      <c r="F1" s="352"/>
      <c r="G1" s="352"/>
      <c r="H1" s="353"/>
    </row>
    <row r="2" spans="1:8" ht="21" x14ac:dyDescent="0.25">
      <c r="A2" s="363" t="str">
        <f>'DATOS INICIALES'!B2</f>
        <v>MUNICIPIO DE DABEIBA</v>
      </c>
      <c r="B2" s="364"/>
      <c r="C2" s="364"/>
      <c r="D2" s="364"/>
      <c r="E2" s="354"/>
      <c r="F2" s="355"/>
      <c r="G2" s="355"/>
      <c r="H2" s="356"/>
    </row>
    <row r="3" spans="1:8" ht="45.6" customHeight="1" x14ac:dyDescent="0.25">
      <c r="A3" s="365" t="str">
        <f>'DATOS INICIALES'!B3</f>
        <v xml:space="preserve">CONSTRUCCIÓN DE CASA DE SALUD EN EL CORREGIMIENTO LA BALSITA DEL MUNICIPIO DE DABEIBA </v>
      </c>
      <c r="B3" s="366"/>
      <c r="C3" s="366"/>
      <c r="D3" s="366"/>
      <c r="E3" s="354"/>
      <c r="F3" s="355"/>
      <c r="G3" s="355"/>
      <c r="H3" s="356"/>
    </row>
    <row r="4" spans="1:8" x14ac:dyDescent="0.25">
      <c r="A4" s="23"/>
      <c r="B4" s="23"/>
      <c r="C4" s="22"/>
      <c r="D4" s="22"/>
      <c r="E4" s="354"/>
      <c r="F4" s="355"/>
      <c r="G4" s="355"/>
      <c r="H4" s="356"/>
    </row>
    <row r="5" spans="1:8" x14ac:dyDescent="0.25">
      <c r="A5" s="367" t="s">
        <v>43</v>
      </c>
      <c r="B5" s="368"/>
      <c r="C5" s="368"/>
      <c r="D5" s="368"/>
      <c r="E5" s="357"/>
      <c r="F5" s="358"/>
      <c r="G5" s="358"/>
      <c r="H5" s="359"/>
    </row>
    <row r="6" spans="1:8" ht="6" customHeight="1" x14ac:dyDescent="0.25"/>
    <row r="7" spans="1:8" x14ac:dyDescent="0.25">
      <c r="A7" s="360" t="s">
        <v>44</v>
      </c>
      <c r="B7" s="360" t="s">
        <v>45</v>
      </c>
      <c r="C7" s="360"/>
      <c r="D7" s="360" t="s">
        <v>46</v>
      </c>
      <c r="E7" s="360" t="s">
        <v>47</v>
      </c>
      <c r="F7" s="360" t="s">
        <v>48</v>
      </c>
      <c r="G7" s="370" t="s">
        <v>49</v>
      </c>
      <c r="H7" s="350" t="s">
        <v>50</v>
      </c>
    </row>
    <row r="8" spans="1:8" x14ac:dyDescent="0.25">
      <c r="A8" s="360"/>
      <c r="B8" s="185" t="s">
        <v>127</v>
      </c>
      <c r="C8" s="185" t="s">
        <v>128</v>
      </c>
      <c r="D8" s="360"/>
      <c r="E8" s="360"/>
      <c r="F8" s="360"/>
      <c r="G8" s="370"/>
      <c r="H8" s="350"/>
    </row>
    <row r="9" spans="1:8" ht="30" customHeight="1" x14ac:dyDescent="0.25">
      <c r="A9" s="202"/>
      <c r="B9" s="202"/>
      <c r="C9" s="202"/>
      <c r="D9" s="208" t="s">
        <v>551</v>
      </c>
      <c r="E9" s="203"/>
      <c r="F9" s="203"/>
      <c r="G9" s="203"/>
      <c r="H9" s="211">
        <f>+H10+H13+H16+H19+H24+H38+H44</f>
        <v>1154370608.2</v>
      </c>
    </row>
    <row r="10" spans="1:8" ht="23.45" customHeight="1" x14ac:dyDescent="0.25">
      <c r="A10" s="21">
        <v>1</v>
      </c>
      <c r="B10" s="21"/>
      <c r="C10" s="21"/>
      <c r="D10" s="173" t="s">
        <v>589</v>
      </c>
      <c r="E10" s="173"/>
      <c r="F10" s="173"/>
      <c r="G10" s="173"/>
      <c r="H10" s="212">
        <f>+H11+H12</f>
        <v>9911928</v>
      </c>
    </row>
    <row r="11" spans="1:8" s="190" customFormat="1" ht="27" customHeight="1" x14ac:dyDescent="0.25">
      <c r="A11" s="21" t="s">
        <v>52</v>
      </c>
      <c r="B11" s="21"/>
      <c r="C11" s="21"/>
      <c r="D11" s="174" t="s">
        <v>661</v>
      </c>
      <c r="E11" s="186" t="s">
        <v>660</v>
      </c>
      <c r="F11" s="187">
        <v>8</v>
      </c>
      <c r="G11" s="192">
        <v>699207</v>
      </c>
      <c r="H11" s="189">
        <f>F11*G11</f>
        <v>5593656</v>
      </c>
    </row>
    <row r="12" spans="1:8" s="190" customFormat="1" ht="24.75" customHeight="1" x14ac:dyDescent="0.25">
      <c r="A12" s="21" t="s">
        <v>350</v>
      </c>
      <c r="B12" s="21"/>
      <c r="C12" s="21"/>
      <c r="D12" s="174" t="s">
        <v>552</v>
      </c>
      <c r="E12" s="186" t="s">
        <v>553</v>
      </c>
      <c r="F12" s="187">
        <v>214.20000000000002</v>
      </c>
      <c r="G12" s="188">
        <v>20160</v>
      </c>
      <c r="H12" s="189">
        <f>F12*G12</f>
        <v>4318272</v>
      </c>
    </row>
    <row r="13" spans="1:8" s="190" customFormat="1" ht="29.25" customHeight="1" x14ac:dyDescent="0.25">
      <c r="A13" s="21">
        <v>2</v>
      </c>
      <c r="B13" s="21"/>
      <c r="C13" s="21"/>
      <c r="D13" s="174" t="s">
        <v>588</v>
      </c>
      <c r="E13" s="212"/>
      <c r="F13" s="212"/>
      <c r="G13" s="212"/>
      <c r="H13" s="212">
        <f>+H14+H15</f>
        <v>27698310</v>
      </c>
    </row>
    <row r="14" spans="1:8" s="190" customFormat="1" ht="27.75" customHeight="1" x14ac:dyDescent="0.25">
      <c r="A14" s="21">
        <v>2.1</v>
      </c>
      <c r="B14" s="21"/>
      <c r="C14" s="21"/>
      <c r="D14" s="174" t="s">
        <v>554</v>
      </c>
      <c r="E14" s="186" t="s">
        <v>380</v>
      </c>
      <c r="F14" s="187">
        <v>30</v>
      </c>
      <c r="G14" s="188">
        <v>105797</v>
      </c>
      <c r="H14" s="189">
        <f>F14*G14</f>
        <v>3173910</v>
      </c>
    </row>
    <row r="15" spans="1:8" s="190" customFormat="1" ht="27.75" customHeight="1" x14ac:dyDescent="0.25">
      <c r="A15" s="21">
        <v>2.2000000000000002</v>
      </c>
      <c r="B15" s="21"/>
      <c r="C15" s="21"/>
      <c r="D15" s="174" t="s">
        <v>555</v>
      </c>
      <c r="E15" s="186" t="s">
        <v>556</v>
      </c>
      <c r="F15" s="187">
        <v>160.5</v>
      </c>
      <c r="G15" s="188">
        <v>152800</v>
      </c>
      <c r="H15" s="189">
        <f>F15*G15</f>
        <v>24524400</v>
      </c>
    </row>
    <row r="16" spans="1:8" s="190" customFormat="1" ht="27.75" customHeight="1" x14ac:dyDescent="0.25">
      <c r="A16" s="21">
        <v>3</v>
      </c>
      <c r="B16" s="21"/>
      <c r="C16" s="21"/>
      <c r="D16" s="174" t="s">
        <v>587</v>
      </c>
      <c r="E16" s="212"/>
      <c r="F16" s="212"/>
      <c r="G16" s="212"/>
      <c r="H16" s="212">
        <f>+H17+H18</f>
        <v>180699661.19999999</v>
      </c>
    </row>
    <row r="17" spans="1:10" s="190" customFormat="1" ht="37.15" customHeight="1" x14ac:dyDescent="0.25">
      <c r="A17" s="21" t="s">
        <v>353</v>
      </c>
      <c r="B17" s="21"/>
      <c r="C17" s="205"/>
      <c r="D17" s="204" t="s">
        <v>557</v>
      </c>
      <c r="E17" s="186" t="s">
        <v>556</v>
      </c>
      <c r="F17" s="206">
        <v>91.320000000000007</v>
      </c>
      <c r="G17" s="188">
        <v>545630</v>
      </c>
      <c r="H17" s="189">
        <f>F17*G17</f>
        <v>49826931.600000001</v>
      </c>
    </row>
    <row r="18" spans="1:10" s="190" customFormat="1" ht="35.450000000000003" customHeight="1" x14ac:dyDescent="0.25">
      <c r="A18" s="21" t="s">
        <v>411</v>
      </c>
      <c r="B18" s="21"/>
      <c r="C18" s="21"/>
      <c r="D18" s="174" t="s">
        <v>558</v>
      </c>
      <c r="E18" s="186" t="s">
        <v>556</v>
      </c>
      <c r="F18" s="206">
        <v>2391.6799999999998</v>
      </c>
      <c r="G18" s="188">
        <v>54720</v>
      </c>
      <c r="H18" s="189">
        <f>F18*G18</f>
        <v>130872729.59999999</v>
      </c>
    </row>
    <row r="19" spans="1:10" s="190" customFormat="1" ht="27.75" customHeight="1" x14ac:dyDescent="0.25">
      <c r="A19" s="21">
        <v>4</v>
      </c>
      <c r="B19" s="21"/>
      <c r="C19" s="21"/>
      <c r="D19" s="174" t="s">
        <v>586</v>
      </c>
      <c r="E19" s="212"/>
      <c r="F19" s="212"/>
      <c r="G19" s="212"/>
      <c r="H19" s="212">
        <f>+H20+H21+H23+H22</f>
        <v>320459410.5</v>
      </c>
    </row>
    <row r="20" spans="1:10" s="190" customFormat="1" ht="27.75" customHeight="1" x14ac:dyDescent="0.25">
      <c r="A20" s="21" t="s">
        <v>355</v>
      </c>
      <c r="B20" s="21"/>
      <c r="C20" s="21"/>
      <c r="D20" s="174" t="s">
        <v>559</v>
      </c>
      <c r="E20" s="186" t="s">
        <v>556</v>
      </c>
      <c r="F20" s="187">
        <f>+I20+J20</f>
        <v>545.24999999999989</v>
      </c>
      <c r="G20" s="188">
        <v>121327</v>
      </c>
      <c r="H20" s="189">
        <f>F20*G20</f>
        <v>66153546.749999985</v>
      </c>
      <c r="I20" s="190">
        <v>395.24999999999989</v>
      </c>
      <c r="J20" s="190">
        <v>150</v>
      </c>
    </row>
    <row r="21" spans="1:10" s="190" customFormat="1" ht="27.75" customHeight="1" x14ac:dyDescent="0.25">
      <c r="A21" s="21" t="s">
        <v>356</v>
      </c>
      <c r="B21" s="21"/>
      <c r="C21" s="21"/>
      <c r="D21" s="174" t="s">
        <v>560</v>
      </c>
      <c r="E21" s="186" t="s">
        <v>556</v>
      </c>
      <c r="F21" s="187">
        <f t="shared" ref="F21:F23" si="0">+I21+J21</f>
        <v>545.24999999999989</v>
      </c>
      <c r="G21" s="188">
        <v>45522</v>
      </c>
      <c r="H21" s="189">
        <f t="shared" ref="H21:H50" si="1">F21*G21</f>
        <v>24820870.499999996</v>
      </c>
      <c r="I21" s="190">
        <v>395.24999999999989</v>
      </c>
      <c r="J21" s="190">
        <v>150</v>
      </c>
    </row>
    <row r="22" spans="1:10" s="190" customFormat="1" ht="27.75" customHeight="1" x14ac:dyDescent="0.25">
      <c r="A22" s="21" t="s">
        <v>451</v>
      </c>
      <c r="B22" s="21"/>
      <c r="C22" s="21"/>
      <c r="D22" s="174" t="s">
        <v>561</v>
      </c>
      <c r="E22" s="186" t="s">
        <v>556</v>
      </c>
      <c r="F22" s="187">
        <f t="shared" si="0"/>
        <v>1937.75</v>
      </c>
      <c r="G22" s="188">
        <v>76023</v>
      </c>
      <c r="H22" s="189">
        <f t="shared" si="1"/>
        <v>147313568.25</v>
      </c>
      <c r="I22" s="190">
        <v>1287.75</v>
      </c>
      <c r="J22" s="190">
        <v>650</v>
      </c>
    </row>
    <row r="23" spans="1:10" s="190" customFormat="1" ht="27.75" customHeight="1" x14ac:dyDescent="0.25">
      <c r="A23" s="21" t="s">
        <v>525</v>
      </c>
      <c r="B23" s="21"/>
      <c r="C23" s="21"/>
      <c r="D23" s="174" t="s">
        <v>562</v>
      </c>
      <c r="E23" s="186" t="s">
        <v>556</v>
      </c>
      <c r="F23" s="187">
        <f t="shared" si="0"/>
        <v>557</v>
      </c>
      <c r="G23" s="188">
        <v>147525</v>
      </c>
      <c r="H23" s="189">
        <f t="shared" si="1"/>
        <v>82171425</v>
      </c>
      <c r="I23" s="190">
        <v>357</v>
      </c>
      <c r="J23" s="190">
        <v>200</v>
      </c>
    </row>
    <row r="24" spans="1:10" s="190" customFormat="1" ht="27.75" customHeight="1" x14ac:dyDescent="0.25">
      <c r="A24" s="21">
        <v>5</v>
      </c>
      <c r="B24" s="21"/>
      <c r="C24" s="21"/>
      <c r="D24" s="212" t="s">
        <v>585</v>
      </c>
      <c r="E24" s="212"/>
      <c r="F24" s="212"/>
      <c r="G24" s="212"/>
      <c r="H24" s="212">
        <f>+H25+H26+H27+H28+H29+H30+H31+H32+H33+H34+H35+H36+H37</f>
        <v>235636626</v>
      </c>
    </row>
    <row r="25" spans="1:10" s="190" customFormat="1" ht="27.75" customHeight="1" x14ac:dyDescent="0.25">
      <c r="A25" s="21" t="s">
        <v>358</v>
      </c>
      <c r="B25" s="21"/>
      <c r="C25" s="21"/>
      <c r="D25" s="174" t="s">
        <v>563</v>
      </c>
      <c r="E25" s="186" t="s">
        <v>504</v>
      </c>
      <c r="F25" s="187">
        <v>138</v>
      </c>
      <c r="G25" s="188">
        <v>305583</v>
      </c>
      <c r="H25" s="189">
        <f t="shared" si="1"/>
        <v>42170454</v>
      </c>
    </row>
    <row r="26" spans="1:10" s="190" customFormat="1" ht="27.75" customHeight="1" x14ac:dyDescent="0.25">
      <c r="A26" s="21" t="s">
        <v>515</v>
      </c>
      <c r="B26" s="21"/>
      <c r="C26" s="21"/>
      <c r="D26" s="174" t="s">
        <v>564</v>
      </c>
      <c r="E26" s="186" t="s">
        <v>504</v>
      </c>
      <c r="F26" s="187">
        <v>364</v>
      </c>
      <c r="G26" s="188">
        <v>77214</v>
      </c>
      <c r="H26" s="189">
        <f t="shared" si="1"/>
        <v>28105896</v>
      </c>
    </row>
    <row r="27" spans="1:10" s="190" customFormat="1" ht="27.75" customHeight="1" x14ac:dyDescent="0.25">
      <c r="A27" s="21" t="s">
        <v>516</v>
      </c>
      <c r="B27" s="21"/>
      <c r="C27" s="21"/>
      <c r="D27" s="174" t="s">
        <v>565</v>
      </c>
      <c r="E27" s="186" t="s">
        <v>504</v>
      </c>
      <c r="F27" s="187">
        <v>2047</v>
      </c>
      <c r="G27" s="188">
        <v>63530</v>
      </c>
      <c r="H27" s="189">
        <f t="shared" si="1"/>
        <v>130045910</v>
      </c>
    </row>
    <row r="28" spans="1:10" s="190" customFormat="1" ht="27.75" customHeight="1" x14ac:dyDescent="0.25">
      <c r="A28" s="21" t="s">
        <v>517</v>
      </c>
      <c r="B28" s="21"/>
      <c r="C28" s="21"/>
      <c r="D28" s="174" t="s">
        <v>566</v>
      </c>
      <c r="E28" s="186" t="s">
        <v>494</v>
      </c>
      <c r="F28" s="187">
        <v>20</v>
      </c>
      <c r="G28" s="188">
        <v>1050000</v>
      </c>
      <c r="H28" s="189">
        <f t="shared" si="1"/>
        <v>21000000</v>
      </c>
    </row>
    <row r="29" spans="1:10" s="190" customFormat="1" ht="27.75" customHeight="1" x14ac:dyDescent="0.25">
      <c r="A29" s="21" t="s">
        <v>543</v>
      </c>
      <c r="B29" s="21"/>
      <c r="C29" s="21"/>
      <c r="D29" s="174" t="s">
        <v>567</v>
      </c>
      <c r="E29" s="186" t="s">
        <v>494</v>
      </c>
      <c r="F29" s="187">
        <v>1</v>
      </c>
      <c r="G29" s="188">
        <v>3420951</v>
      </c>
      <c r="H29" s="189">
        <f t="shared" si="1"/>
        <v>3420951</v>
      </c>
    </row>
    <row r="30" spans="1:10" s="190" customFormat="1" ht="27.75" customHeight="1" x14ac:dyDescent="0.25">
      <c r="A30" s="21" t="s">
        <v>576</v>
      </c>
      <c r="B30" s="21"/>
      <c r="C30" s="21"/>
      <c r="D30" s="174" t="s">
        <v>568</v>
      </c>
      <c r="E30" s="186" t="s">
        <v>504</v>
      </c>
      <c r="F30" s="187">
        <v>2550</v>
      </c>
      <c r="G30" s="188">
        <v>2102</v>
      </c>
      <c r="H30" s="189">
        <f t="shared" si="1"/>
        <v>5360100</v>
      </c>
    </row>
    <row r="31" spans="1:10" s="190" customFormat="1" ht="27.75" customHeight="1" x14ac:dyDescent="0.25">
      <c r="A31" s="21" t="s">
        <v>577</v>
      </c>
      <c r="B31" s="21"/>
      <c r="C31" s="21"/>
      <c r="D31" s="174" t="s">
        <v>569</v>
      </c>
      <c r="E31" s="186" t="s">
        <v>494</v>
      </c>
      <c r="F31" s="187">
        <v>8</v>
      </c>
      <c r="G31" s="188">
        <v>141054</v>
      </c>
      <c r="H31" s="189">
        <f t="shared" si="1"/>
        <v>1128432</v>
      </c>
    </row>
    <row r="32" spans="1:10" s="190" customFormat="1" ht="27.75" customHeight="1" x14ac:dyDescent="0.25">
      <c r="A32" s="21" t="s">
        <v>578</v>
      </c>
      <c r="B32" s="21"/>
      <c r="C32" s="21"/>
      <c r="D32" s="174" t="s">
        <v>570</v>
      </c>
      <c r="E32" s="186" t="s">
        <v>494</v>
      </c>
      <c r="F32" s="187">
        <v>6</v>
      </c>
      <c r="G32" s="188">
        <v>141054</v>
      </c>
      <c r="H32" s="189">
        <f t="shared" si="1"/>
        <v>846324</v>
      </c>
    </row>
    <row r="33" spans="1:8" s="190" customFormat="1" ht="27.75" customHeight="1" x14ac:dyDescent="0.25">
      <c r="A33" s="21" t="s">
        <v>579</v>
      </c>
      <c r="B33" s="21"/>
      <c r="C33" s="21"/>
      <c r="D33" s="174" t="s">
        <v>571</v>
      </c>
      <c r="E33" s="186" t="s">
        <v>494</v>
      </c>
      <c r="F33" s="187">
        <v>4</v>
      </c>
      <c r="G33" s="188">
        <v>58725</v>
      </c>
      <c r="H33" s="189">
        <f t="shared" si="1"/>
        <v>234900</v>
      </c>
    </row>
    <row r="34" spans="1:8" s="190" customFormat="1" ht="27.75" customHeight="1" x14ac:dyDescent="0.25">
      <c r="A34" s="21" t="s">
        <v>580</v>
      </c>
      <c r="B34" s="21"/>
      <c r="C34" s="21"/>
      <c r="D34" s="174" t="s">
        <v>572</v>
      </c>
      <c r="E34" s="186" t="s">
        <v>494</v>
      </c>
      <c r="F34" s="187">
        <v>2</v>
      </c>
      <c r="G34" s="188">
        <v>58725</v>
      </c>
      <c r="H34" s="189">
        <f t="shared" si="1"/>
        <v>117450</v>
      </c>
    </row>
    <row r="35" spans="1:8" s="190" customFormat="1" ht="27.75" customHeight="1" x14ac:dyDescent="0.25">
      <c r="A35" s="21" t="s">
        <v>581</v>
      </c>
      <c r="B35" s="21"/>
      <c r="C35" s="21"/>
      <c r="D35" s="174" t="s">
        <v>573</v>
      </c>
      <c r="E35" s="186" t="s">
        <v>494</v>
      </c>
      <c r="F35" s="187">
        <v>10</v>
      </c>
      <c r="G35" s="188">
        <v>112462</v>
      </c>
      <c r="H35" s="189">
        <f t="shared" si="1"/>
        <v>1124620</v>
      </c>
    </row>
    <row r="36" spans="1:8" s="190" customFormat="1" ht="27.75" customHeight="1" x14ac:dyDescent="0.25">
      <c r="A36" s="21" t="s">
        <v>582</v>
      </c>
      <c r="B36" s="21"/>
      <c r="C36" s="21"/>
      <c r="D36" s="174" t="s">
        <v>574</v>
      </c>
      <c r="E36" s="186" t="s">
        <v>494</v>
      </c>
      <c r="F36" s="187">
        <v>9</v>
      </c>
      <c r="G36" s="188">
        <v>92675</v>
      </c>
      <c r="H36" s="189">
        <f t="shared" si="1"/>
        <v>834075</v>
      </c>
    </row>
    <row r="37" spans="1:8" s="190" customFormat="1" ht="27.6" customHeight="1" x14ac:dyDescent="0.25">
      <c r="A37" s="21" t="s">
        <v>583</v>
      </c>
      <c r="B37" s="21"/>
      <c r="C37" s="21"/>
      <c r="D37" s="174" t="s">
        <v>575</v>
      </c>
      <c r="E37" s="186" t="s">
        <v>494</v>
      </c>
      <c r="F37" s="187">
        <v>6</v>
      </c>
      <c r="G37" s="188">
        <v>207919</v>
      </c>
      <c r="H37" s="189">
        <f t="shared" si="1"/>
        <v>1247514</v>
      </c>
    </row>
    <row r="38" spans="1:8" s="190" customFormat="1" ht="27.6" customHeight="1" x14ac:dyDescent="0.25">
      <c r="A38" s="21">
        <v>6</v>
      </c>
      <c r="B38" s="21"/>
      <c r="C38" s="21"/>
      <c r="D38" s="212" t="s">
        <v>584</v>
      </c>
      <c r="E38" s="212"/>
      <c r="F38" s="212"/>
      <c r="G38" s="212"/>
      <c r="H38" s="212">
        <f>+H39+H40+H41+H42+H43</f>
        <v>251839784</v>
      </c>
    </row>
    <row r="39" spans="1:8" s="190" customFormat="1" ht="81" customHeight="1" x14ac:dyDescent="0.25">
      <c r="A39" s="21" t="s">
        <v>359</v>
      </c>
      <c r="B39" s="21"/>
      <c r="C39" s="21"/>
      <c r="D39" s="174" t="s">
        <v>590</v>
      </c>
      <c r="E39" s="186" t="s">
        <v>494</v>
      </c>
      <c r="F39" s="187">
        <v>189</v>
      </c>
      <c r="G39" s="188">
        <v>498520</v>
      </c>
      <c r="H39" s="189">
        <f t="shared" si="1"/>
        <v>94220280</v>
      </c>
    </row>
    <row r="40" spans="1:8" s="190" customFormat="1" ht="78" customHeight="1" x14ac:dyDescent="0.25">
      <c r="A40" s="21" t="s">
        <v>360</v>
      </c>
      <c r="B40" s="21"/>
      <c r="C40" s="21"/>
      <c r="D40" s="174" t="s">
        <v>591</v>
      </c>
      <c r="E40" s="186" t="s">
        <v>494</v>
      </c>
      <c r="F40" s="187">
        <v>91</v>
      </c>
      <c r="G40" s="188">
        <v>457879</v>
      </c>
      <c r="H40" s="189">
        <f t="shared" si="1"/>
        <v>41666989</v>
      </c>
    </row>
    <row r="41" spans="1:8" s="190" customFormat="1" ht="75.599999999999994" customHeight="1" x14ac:dyDescent="0.25">
      <c r="A41" s="21" t="s">
        <v>509</v>
      </c>
      <c r="B41" s="21"/>
      <c r="C41" s="21"/>
      <c r="D41" s="174" t="s">
        <v>592</v>
      </c>
      <c r="E41" s="186" t="s">
        <v>494</v>
      </c>
      <c r="F41" s="187">
        <v>220</v>
      </c>
      <c r="G41" s="188">
        <v>417273</v>
      </c>
      <c r="H41" s="189">
        <f t="shared" si="1"/>
        <v>91800060</v>
      </c>
    </row>
    <row r="42" spans="1:8" s="190" customFormat="1" ht="73.900000000000006" customHeight="1" x14ac:dyDescent="0.25">
      <c r="A42" s="21" t="s">
        <v>533</v>
      </c>
      <c r="B42" s="21"/>
      <c r="C42" s="21"/>
      <c r="D42" s="174" t="s">
        <v>593</v>
      </c>
      <c r="E42" s="186" t="s">
        <v>504</v>
      </c>
      <c r="F42" s="187">
        <v>50</v>
      </c>
      <c r="G42" s="188">
        <v>303715</v>
      </c>
      <c r="H42" s="189">
        <f t="shared" si="1"/>
        <v>15185750</v>
      </c>
    </row>
    <row r="43" spans="1:8" s="190" customFormat="1" ht="73.900000000000006" customHeight="1" x14ac:dyDescent="0.25">
      <c r="A43" s="21" t="s">
        <v>534</v>
      </c>
      <c r="B43" s="21"/>
      <c r="C43" s="21"/>
      <c r="D43" s="174" t="s">
        <v>594</v>
      </c>
      <c r="E43" s="186" t="s">
        <v>494</v>
      </c>
      <c r="F43" s="187">
        <v>50</v>
      </c>
      <c r="G43" s="188">
        <v>179334.1</v>
      </c>
      <c r="H43" s="189">
        <f t="shared" si="1"/>
        <v>8966705</v>
      </c>
    </row>
    <row r="44" spans="1:8" s="190" customFormat="1" ht="27.6" customHeight="1" x14ac:dyDescent="0.25">
      <c r="A44" s="21">
        <v>7</v>
      </c>
      <c r="B44" s="21"/>
      <c r="C44" s="21"/>
      <c r="D44" s="212" t="s">
        <v>595</v>
      </c>
      <c r="E44" s="212"/>
      <c r="F44" s="212"/>
      <c r="G44" s="212"/>
      <c r="H44" s="212">
        <f>+H45+H46+H47+H48+H49+H50</f>
        <v>128124888.5</v>
      </c>
    </row>
    <row r="45" spans="1:8" s="190" customFormat="1" ht="27.6" customHeight="1" x14ac:dyDescent="0.25">
      <c r="A45" s="21" t="s">
        <v>518</v>
      </c>
      <c r="B45" s="21"/>
      <c r="C45" s="21"/>
      <c r="D45" s="174" t="s">
        <v>596</v>
      </c>
      <c r="E45" s="186" t="s">
        <v>553</v>
      </c>
      <c r="F45" s="187">
        <v>75</v>
      </c>
      <c r="G45" s="188">
        <v>196719</v>
      </c>
      <c r="H45" s="189">
        <f t="shared" si="1"/>
        <v>14753925</v>
      </c>
    </row>
    <row r="46" spans="1:8" s="190" customFormat="1" ht="27.6" customHeight="1" x14ac:dyDescent="0.25">
      <c r="A46" s="21" t="s">
        <v>519</v>
      </c>
      <c r="B46" s="21"/>
      <c r="C46" s="21"/>
      <c r="D46" s="174" t="s">
        <v>597</v>
      </c>
      <c r="E46" s="186" t="s">
        <v>380</v>
      </c>
      <c r="F46" s="187">
        <v>3.75</v>
      </c>
      <c r="G46" s="188">
        <v>716254</v>
      </c>
      <c r="H46" s="189">
        <f t="shared" si="1"/>
        <v>2685952.5</v>
      </c>
    </row>
    <row r="47" spans="1:8" s="190" customFormat="1" ht="27.6" customHeight="1" x14ac:dyDescent="0.25">
      <c r="A47" s="21" t="s">
        <v>520</v>
      </c>
      <c r="B47" s="21"/>
      <c r="C47" s="21"/>
      <c r="D47" s="174" t="s">
        <v>598</v>
      </c>
      <c r="E47" s="186" t="s">
        <v>499</v>
      </c>
      <c r="F47" s="187">
        <v>450</v>
      </c>
      <c r="G47" s="192">
        <v>7560</v>
      </c>
      <c r="H47" s="189">
        <f t="shared" si="1"/>
        <v>3402000</v>
      </c>
    </row>
    <row r="48" spans="1:8" s="190" customFormat="1" ht="55.9" customHeight="1" x14ac:dyDescent="0.25">
      <c r="A48" s="21" t="s">
        <v>521</v>
      </c>
      <c r="B48" s="21"/>
      <c r="C48" s="21"/>
      <c r="D48" s="174" t="s">
        <v>599</v>
      </c>
      <c r="E48" s="186" t="s">
        <v>494</v>
      </c>
      <c r="F48" s="187">
        <v>22</v>
      </c>
      <c r="G48" s="188">
        <v>625673</v>
      </c>
      <c r="H48" s="189">
        <f t="shared" si="1"/>
        <v>13764806</v>
      </c>
    </row>
    <row r="49" spans="1:10" s="190" customFormat="1" ht="57" customHeight="1" x14ac:dyDescent="0.25">
      <c r="A49" s="21" t="s">
        <v>522</v>
      </c>
      <c r="B49" s="21"/>
      <c r="C49" s="21"/>
      <c r="D49" s="174" t="s">
        <v>600</v>
      </c>
      <c r="E49" s="186" t="s">
        <v>504</v>
      </c>
      <c r="F49" s="187">
        <v>2550</v>
      </c>
      <c r="G49" s="188">
        <v>3253.1</v>
      </c>
      <c r="H49" s="189">
        <f t="shared" si="1"/>
        <v>8295405</v>
      </c>
    </row>
    <row r="50" spans="1:10" s="190" customFormat="1" ht="43.9" customHeight="1" x14ac:dyDescent="0.25">
      <c r="A50" s="21" t="s">
        <v>523</v>
      </c>
      <c r="B50" s="21"/>
      <c r="C50" s="21"/>
      <c r="D50" s="174" t="s">
        <v>601</v>
      </c>
      <c r="E50" s="186" t="s">
        <v>51</v>
      </c>
      <c r="F50" s="187">
        <v>675</v>
      </c>
      <c r="G50" s="188">
        <v>126256</v>
      </c>
      <c r="H50" s="189">
        <f t="shared" si="1"/>
        <v>85222800</v>
      </c>
    </row>
    <row r="51" spans="1:10" s="190" customFormat="1" ht="27.6" customHeight="1" x14ac:dyDescent="0.25">
      <c r="A51" s="202"/>
      <c r="B51" s="202"/>
      <c r="C51" s="202"/>
      <c r="D51" s="208" t="s">
        <v>602</v>
      </c>
      <c r="E51" s="203"/>
      <c r="F51" s="203"/>
      <c r="G51" s="203"/>
      <c r="H51" s="211">
        <f>+H52+H54+H57+H65+H71+H81+H92</f>
        <v>3073199327.3811097</v>
      </c>
    </row>
    <row r="52" spans="1:10" x14ac:dyDescent="0.25">
      <c r="A52" s="21">
        <v>8</v>
      </c>
      <c r="B52" s="21"/>
      <c r="C52" s="21"/>
      <c r="D52" s="173" t="s">
        <v>603</v>
      </c>
      <c r="E52" s="173"/>
      <c r="F52" s="173"/>
      <c r="G52" s="173"/>
      <c r="H52" s="212">
        <f>+H53</f>
        <v>13984140</v>
      </c>
    </row>
    <row r="53" spans="1:10" ht="27" customHeight="1" x14ac:dyDescent="0.25">
      <c r="A53" s="21" t="s">
        <v>604</v>
      </c>
      <c r="B53" s="21"/>
      <c r="C53" s="21"/>
      <c r="D53" s="173" t="s">
        <v>661</v>
      </c>
      <c r="E53" s="186" t="s">
        <v>660</v>
      </c>
      <c r="F53" s="187">
        <v>20</v>
      </c>
      <c r="G53" s="192">
        <v>699207</v>
      </c>
      <c r="H53" s="189">
        <f>F53*G53</f>
        <v>13984140</v>
      </c>
    </row>
    <row r="54" spans="1:10" x14ac:dyDescent="0.25">
      <c r="A54" s="21">
        <v>9</v>
      </c>
      <c r="B54" s="21"/>
      <c r="C54" s="21"/>
      <c r="D54" s="173" t="s">
        <v>669</v>
      </c>
      <c r="E54" s="173"/>
      <c r="F54" s="173"/>
      <c r="G54" s="173"/>
      <c r="H54" s="212">
        <f>+H55+H56</f>
        <v>57099866.959999993</v>
      </c>
    </row>
    <row r="55" spans="1:10" x14ac:dyDescent="0.25">
      <c r="A55" s="21" t="s">
        <v>479</v>
      </c>
      <c r="B55" s="21"/>
      <c r="C55" s="21"/>
      <c r="D55" s="173" t="s">
        <v>605</v>
      </c>
      <c r="E55" s="186" t="s">
        <v>381</v>
      </c>
      <c r="F55" s="187">
        <v>1657.1899999999994</v>
      </c>
      <c r="G55" s="188">
        <v>13780</v>
      </c>
      <c r="H55" s="189">
        <f t="shared" ref="H55:H97" si="2">F55*G55</f>
        <v>22836078.199999992</v>
      </c>
    </row>
    <row r="56" spans="1:10" x14ac:dyDescent="0.25">
      <c r="A56" s="21" t="s">
        <v>352</v>
      </c>
      <c r="B56" s="21"/>
      <c r="C56" s="21"/>
      <c r="D56" s="173" t="s">
        <v>606</v>
      </c>
      <c r="E56" s="186" t="s">
        <v>381</v>
      </c>
      <c r="F56" s="187">
        <v>81.23</v>
      </c>
      <c r="G56" s="188">
        <v>421812</v>
      </c>
      <c r="H56" s="189">
        <f t="shared" si="2"/>
        <v>34263788.760000005</v>
      </c>
    </row>
    <row r="57" spans="1:10" ht="45" customHeight="1" x14ac:dyDescent="0.25">
      <c r="A57" s="21">
        <v>10</v>
      </c>
      <c r="B57" s="21"/>
      <c r="C57" s="21"/>
      <c r="D57" s="173" t="s">
        <v>607</v>
      </c>
      <c r="E57" s="173"/>
      <c r="F57" s="173"/>
      <c r="G57" s="173"/>
      <c r="H57" s="212">
        <f>+H58+H59+H60+H61+H62+H64+H63</f>
        <v>687507848.74497867</v>
      </c>
      <c r="J57" s="191"/>
    </row>
    <row r="58" spans="1:10" ht="37.9" customHeight="1" x14ac:dyDescent="0.25">
      <c r="A58" s="21" t="s">
        <v>535</v>
      </c>
      <c r="B58" s="21"/>
      <c r="C58" s="21"/>
      <c r="D58" s="173" t="s">
        <v>557</v>
      </c>
      <c r="E58" s="186" t="s">
        <v>556</v>
      </c>
      <c r="F58" s="187">
        <v>180.63019285285543</v>
      </c>
      <c r="G58" s="188">
        <v>545630</v>
      </c>
      <c r="H58" s="189">
        <f t="shared" si="2"/>
        <v>98557252.126303509</v>
      </c>
    </row>
    <row r="59" spans="1:10" ht="37.5" customHeight="1" x14ac:dyDescent="0.25">
      <c r="A59" s="21" t="s">
        <v>536</v>
      </c>
      <c r="B59" s="21"/>
      <c r="C59" s="21"/>
      <c r="D59" s="173" t="s">
        <v>558</v>
      </c>
      <c r="E59" s="186" t="s">
        <v>556</v>
      </c>
      <c r="F59" s="187">
        <v>3551.0543113180602</v>
      </c>
      <c r="G59" s="188">
        <v>54720</v>
      </c>
      <c r="H59" s="189">
        <f t="shared" si="2"/>
        <v>194313691.91532424</v>
      </c>
    </row>
    <row r="60" spans="1:10" ht="37.5" customHeight="1" x14ac:dyDescent="0.25">
      <c r="A60" s="21" t="s">
        <v>537</v>
      </c>
      <c r="B60" s="21"/>
      <c r="C60" s="21"/>
      <c r="D60" s="173" t="s">
        <v>608</v>
      </c>
      <c r="E60" s="186" t="s">
        <v>556</v>
      </c>
      <c r="F60" s="187">
        <v>495.20247530975416</v>
      </c>
      <c r="G60" s="188">
        <v>70832</v>
      </c>
      <c r="H60" s="189">
        <f t="shared" si="2"/>
        <v>35076181.731140509</v>
      </c>
    </row>
    <row r="61" spans="1:10" ht="37.5" customHeight="1" x14ac:dyDescent="0.25">
      <c r="A61" s="21" t="s">
        <v>613</v>
      </c>
      <c r="B61" s="21"/>
      <c r="C61" s="21"/>
      <c r="D61" s="173" t="s">
        <v>609</v>
      </c>
      <c r="E61" s="186" t="s">
        <v>556</v>
      </c>
      <c r="F61" s="187">
        <v>8.5565520066320122</v>
      </c>
      <c r="G61" s="188">
        <v>92432</v>
      </c>
      <c r="H61" s="189">
        <f t="shared" si="2"/>
        <v>790899.2150770101</v>
      </c>
    </row>
    <row r="62" spans="1:10" ht="103.9" customHeight="1" x14ac:dyDescent="0.25">
      <c r="A62" s="21" t="s">
        <v>614</v>
      </c>
      <c r="B62" s="21"/>
      <c r="C62" s="21"/>
      <c r="D62" s="173" t="s">
        <v>610</v>
      </c>
      <c r="E62" s="186" t="s">
        <v>504</v>
      </c>
      <c r="F62" s="187">
        <v>64.53</v>
      </c>
      <c r="G62" s="188">
        <v>4235274</v>
      </c>
      <c r="H62" s="189">
        <f t="shared" si="2"/>
        <v>273302231.22000003</v>
      </c>
    </row>
    <row r="63" spans="1:10" ht="37.5" customHeight="1" x14ac:dyDescent="0.25">
      <c r="A63" s="21" t="s">
        <v>615</v>
      </c>
      <c r="B63" s="21"/>
      <c r="C63" s="21"/>
      <c r="D63" s="173" t="s">
        <v>611</v>
      </c>
      <c r="E63" s="186" t="s">
        <v>553</v>
      </c>
      <c r="F63" s="187">
        <v>1039.9320142133333</v>
      </c>
      <c r="G63" s="188">
        <v>59148</v>
      </c>
      <c r="H63" s="189">
        <f t="shared" si="2"/>
        <v>61509898.776690237</v>
      </c>
    </row>
    <row r="64" spans="1:10" x14ac:dyDescent="0.25">
      <c r="A64" s="21" t="s">
        <v>616</v>
      </c>
      <c r="B64" s="21"/>
      <c r="C64" s="21"/>
      <c r="D64" s="173" t="s">
        <v>612</v>
      </c>
      <c r="E64" s="186" t="s">
        <v>553</v>
      </c>
      <c r="F64" s="187">
        <v>259.98300355333333</v>
      </c>
      <c r="G64" s="188">
        <v>92151</v>
      </c>
      <c r="H64" s="189">
        <f t="shared" si="2"/>
        <v>23957693.760443222</v>
      </c>
    </row>
    <row r="65" spans="1:12" x14ac:dyDescent="0.25">
      <c r="A65" s="21">
        <v>11</v>
      </c>
      <c r="B65" s="21"/>
      <c r="C65" s="21"/>
      <c r="D65" s="173" t="s">
        <v>617</v>
      </c>
      <c r="E65" s="173"/>
      <c r="F65" s="173"/>
      <c r="G65" s="173"/>
      <c r="H65" s="212">
        <f>+H66+H67+H68+H70++H69</f>
        <v>442121179.34461641</v>
      </c>
    </row>
    <row r="66" spans="1:12" ht="105" x14ac:dyDescent="0.25">
      <c r="A66" s="21" t="s">
        <v>355</v>
      </c>
      <c r="B66" s="21"/>
      <c r="C66" s="21"/>
      <c r="D66" s="173" t="s">
        <v>559</v>
      </c>
      <c r="E66" s="186" t="s">
        <v>556</v>
      </c>
      <c r="F66" s="187">
        <f>574.443471802654+K66</f>
        <v>925.25658830265411</v>
      </c>
      <c r="G66" s="188">
        <v>121327</v>
      </c>
      <c r="H66" s="189">
        <f t="shared" si="2"/>
        <v>112258606.08899611</v>
      </c>
      <c r="I66" s="181" t="s">
        <v>559</v>
      </c>
      <c r="J66" s="181" t="s">
        <v>556</v>
      </c>
      <c r="K66" s="181">
        <v>350.81311650000004</v>
      </c>
      <c r="L66" s="181">
        <v>121327</v>
      </c>
    </row>
    <row r="67" spans="1:12" ht="75" x14ac:dyDescent="0.25">
      <c r="A67" s="21" t="s">
        <v>356</v>
      </c>
      <c r="B67" s="21"/>
      <c r="C67" s="21"/>
      <c r="D67" s="173" t="s">
        <v>560</v>
      </c>
      <c r="E67" s="186" t="s">
        <v>556</v>
      </c>
      <c r="F67" s="187">
        <v>2297.7738872106174</v>
      </c>
      <c r="G67" s="188">
        <v>45522</v>
      </c>
      <c r="H67" s="189">
        <f t="shared" si="2"/>
        <v>104599262.89360173</v>
      </c>
      <c r="I67" s="181" t="s">
        <v>561</v>
      </c>
      <c r="J67" s="181" t="s">
        <v>556</v>
      </c>
      <c r="K67" s="181">
        <v>523.42711650000001</v>
      </c>
      <c r="L67" s="181">
        <v>76023</v>
      </c>
    </row>
    <row r="68" spans="1:12" ht="75" x14ac:dyDescent="0.25">
      <c r="A68" s="21" t="s">
        <v>451</v>
      </c>
      <c r="B68" s="21"/>
      <c r="C68" s="21"/>
      <c r="D68" s="173" t="s">
        <v>561</v>
      </c>
      <c r="E68" s="186" t="s">
        <v>556</v>
      </c>
      <c r="F68" s="187">
        <f>910.4835004603+K67</f>
        <v>1433.9106169603001</v>
      </c>
      <c r="G68" s="188">
        <v>76023</v>
      </c>
      <c r="H68" s="189">
        <f t="shared" si="2"/>
        <v>109010186.83317289</v>
      </c>
      <c r="I68" s="191" t="s">
        <v>618</v>
      </c>
      <c r="J68" s="181" t="s">
        <v>556</v>
      </c>
      <c r="K68" s="181">
        <v>111.41999999999999</v>
      </c>
      <c r="L68" s="191">
        <v>139655.78805687497</v>
      </c>
    </row>
    <row r="69" spans="1:12" ht="52.9" customHeight="1" x14ac:dyDescent="0.25">
      <c r="A69" s="21" t="s">
        <v>525</v>
      </c>
      <c r="B69" s="21"/>
      <c r="C69" s="21"/>
      <c r="D69" s="173" t="s">
        <v>618</v>
      </c>
      <c r="E69" s="186" t="s">
        <v>556</v>
      </c>
      <c r="F69" s="187">
        <f>293.38815+K68</f>
        <v>404.80814999999996</v>
      </c>
      <c r="G69" s="188">
        <v>139655.78805687497</v>
      </c>
      <c r="H69" s="189">
        <f t="shared" si="2"/>
        <v>56533801.200095646</v>
      </c>
      <c r="I69" s="181" t="s">
        <v>562</v>
      </c>
      <c r="J69" s="181" t="s">
        <v>556</v>
      </c>
      <c r="K69" s="181">
        <v>111.41999999999999</v>
      </c>
      <c r="L69" s="181">
        <v>147525</v>
      </c>
    </row>
    <row r="70" spans="1:12" ht="20.45" customHeight="1" x14ac:dyDescent="0.25">
      <c r="A70" s="21" t="s">
        <v>526</v>
      </c>
      <c r="B70" s="21"/>
      <c r="C70" s="21"/>
      <c r="D70" s="173" t="s">
        <v>562</v>
      </c>
      <c r="E70" s="186" t="s">
        <v>556</v>
      </c>
      <c r="F70" s="187">
        <f>293.38815+K69</f>
        <v>404.80814999999996</v>
      </c>
      <c r="G70" s="188">
        <v>147525</v>
      </c>
      <c r="H70" s="189">
        <f t="shared" si="2"/>
        <v>59719322.328749992</v>
      </c>
    </row>
    <row r="71" spans="1:12" ht="24" x14ac:dyDescent="0.25">
      <c r="A71" s="21">
        <v>12</v>
      </c>
      <c r="B71" s="21"/>
      <c r="C71" s="21"/>
      <c r="D71" s="173" t="s">
        <v>619</v>
      </c>
      <c r="E71" s="173"/>
      <c r="F71" s="173"/>
      <c r="G71" s="173" t="str">
        <f t="shared" ref="G71" si="3">IF(A71=0,"",IFERROR(VLOOKUP($A71,APU,7,0),""))</f>
        <v/>
      </c>
      <c r="H71" s="212">
        <f>+H72+H73+H74+H75+H76+H77+H78+H79+H80</f>
        <v>423012918.04358214</v>
      </c>
    </row>
    <row r="72" spans="1:12" ht="41.45" customHeight="1" x14ac:dyDescent="0.25">
      <c r="A72" s="21" t="s">
        <v>629</v>
      </c>
      <c r="B72" s="21"/>
      <c r="C72" s="21"/>
      <c r="D72" s="173" t="s">
        <v>620</v>
      </c>
      <c r="E72" s="186" t="s">
        <v>381</v>
      </c>
      <c r="F72" s="187">
        <v>73.106999999999999</v>
      </c>
      <c r="G72" s="188">
        <v>1120892</v>
      </c>
      <c r="H72" s="189">
        <f t="shared" si="2"/>
        <v>81945051.444000006</v>
      </c>
    </row>
    <row r="73" spans="1:12" ht="39.6" customHeight="1" x14ac:dyDescent="0.25">
      <c r="A73" s="21" t="s">
        <v>630</v>
      </c>
      <c r="B73" s="21"/>
      <c r="C73" s="21"/>
      <c r="D73" s="173" t="s">
        <v>621</v>
      </c>
      <c r="E73" s="186" t="s">
        <v>494</v>
      </c>
      <c r="F73" s="187">
        <v>37</v>
      </c>
      <c r="G73" s="188">
        <v>1238496</v>
      </c>
      <c r="H73" s="189">
        <f t="shared" si="2"/>
        <v>45824352</v>
      </c>
    </row>
    <row r="74" spans="1:12" ht="32.450000000000003" customHeight="1" x14ac:dyDescent="0.25">
      <c r="A74" s="21" t="s">
        <v>631</v>
      </c>
      <c r="B74" s="21"/>
      <c r="C74" s="21"/>
      <c r="D74" s="173" t="s">
        <v>622</v>
      </c>
      <c r="E74" s="186" t="s">
        <v>494</v>
      </c>
      <c r="F74" s="187">
        <v>243.69</v>
      </c>
      <c r="G74" s="188">
        <v>41059</v>
      </c>
      <c r="H74" s="189">
        <f t="shared" si="2"/>
        <v>10005667.709999999</v>
      </c>
    </row>
    <row r="75" spans="1:12" ht="36.6" customHeight="1" x14ac:dyDescent="0.25">
      <c r="A75" s="21" t="s">
        <v>632</v>
      </c>
      <c r="B75" s="21"/>
      <c r="C75" s="21"/>
      <c r="D75" s="173" t="s">
        <v>623</v>
      </c>
      <c r="E75" s="186" t="s">
        <v>494</v>
      </c>
      <c r="F75" s="187">
        <v>37</v>
      </c>
      <c r="G75" s="188">
        <v>263439.47499999998</v>
      </c>
      <c r="H75" s="189">
        <f t="shared" si="2"/>
        <v>9747260.5749999993</v>
      </c>
    </row>
    <row r="76" spans="1:12" ht="78.599999999999994" customHeight="1" x14ac:dyDescent="0.25">
      <c r="A76" s="21" t="s">
        <v>633</v>
      </c>
      <c r="B76" s="21"/>
      <c r="C76" s="21"/>
      <c r="D76" s="173" t="s">
        <v>624</v>
      </c>
      <c r="E76" s="186" t="s">
        <v>494</v>
      </c>
      <c r="F76" s="187">
        <v>2</v>
      </c>
      <c r="G76" s="188">
        <v>5324898.8499388639</v>
      </c>
      <c r="H76" s="189">
        <f t="shared" si="2"/>
        <v>10649797.699877728</v>
      </c>
    </row>
    <row r="77" spans="1:12" ht="67.900000000000006" customHeight="1" x14ac:dyDescent="0.25">
      <c r="A77" s="21" t="s">
        <v>634</v>
      </c>
      <c r="B77" s="21"/>
      <c r="C77" s="21"/>
      <c r="D77" s="173" t="s">
        <v>625</v>
      </c>
      <c r="E77" s="186" t="s">
        <v>494</v>
      </c>
      <c r="F77" s="187">
        <v>500</v>
      </c>
      <c r="G77" s="188">
        <v>510403.2</v>
      </c>
      <c r="H77" s="189">
        <f t="shared" si="2"/>
        <v>255201600</v>
      </c>
    </row>
    <row r="78" spans="1:12" ht="38.450000000000003" customHeight="1" x14ac:dyDescent="0.25">
      <c r="A78" s="21" t="s">
        <v>635</v>
      </c>
      <c r="B78" s="21"/>
      <c r="C78" s="21"/>
      <c r="D78" s="173" t="s">
        <v>626</v>
      </c>
      <c r="E78" s="186" t="s">
        <v>494</v>
      </c>
      <c r="F78" s="187">
        <v>1</v>
      </c>
      <c r="G78" s="188">
        <v>4199826.7629062273</v>
      </c>
      <c r="H78" s="189">
        <f t="shared" si="2"/>
        <v>4199826.7629062273</v>
      </c>
    </row>
    <row r="79" spans="1:12" ht="40.15" customHeight="1" x14ac:dyDescent="0.25">
      <c r="A79" s="21" t="s">
        <v>636</v>
      </c>
      <c r="B79" s="21"/>
      <c r="C79" s="21"/>
      <c r="D79" s="173" t="s">
        <v>627</v>
      </c>
      <c r="E79" s="186" t="s">
        <v>494</v>
      </c>
      <c r="F79" s="187">
        <v>1</v>
      </c>
      <c r="G79" s="188">
        <v>2061935.2835919415</v>
      </c>
      <c r="H79" s="189">
        <f t="shared" si="2"/>
        <v>2061935.2835919415</v>
      </c>
    </row>
    <row r="80" spans="1:12" ht="40.15" customHeight="1" x14ac:dyDescent="0.25">
      <c r="A80" s="21" t="s">
        <v>637</v>
      </c>
      <c r="B80" s="21"/>
      <c r="C80" s="21"/>
      <c r="D80" s="173" t="s">
        <v>628</v>
      </c>
      <c r="E80" s="186" t="s">
        <v>494</v>
      </c>
      <c r="F80" s="187">
        <v>1</v>
      </c>
      <c r="G80" s="188">
        <v>3377426.5682062269</v>
      </c>
      <c r="H80" s="189">
        <f t="shared" si="2"/>
        <v>3377426.5682062269</v>
      </c>
    </row>
    <row r="81" spans="1:8" x14ac:dyDescent="0.25">
      <c r="A81" s="21">
        <v>13</v>
      </c>
      <c r="B81" s="21"/>
      <c r="C81" s="21"/>
      <c r="D81" s="173" t="s">
        <v>638</v>
      </c>
      <c r="E81" s="173"/>
      <c r="F81" s="173"/>
      <c r="G81" s="173" t="str">
        <f t="shared" ref="G81" si="4">IF(A81=0,"",IFERROR(VLOOKUP($A81,APU,7,0),""))</f>
        <v/>
      </c>
      <c r="H81" s="212">
        <f>+H82+H83+H84+H85+H86+H87+H88+H89+H90+H91</f>
        <v>1371530388.9570532</v>
      </c>
    </row>
    <row r="82" spans="1:8" ht="67.900000000000006" customHeight="1" x14ac:dyDescent="0.25">
      <c r="A82" s="21">
        <v>13.1</v>
      </c>
      <c r="B82" s="21"/>
      <c r="C82" s="21"/>
      <c r="D82" s="173" t="s">
        <v>639</v>
      </c>
      <c r="E82" s="186" t="s">
        <v>381</v>
      </c>
      <c r="F82" s="187">
        <v>56.78</v>
      </c>
      <c r="G82" s="188">
        <v>136877.52321956522</v>
      </c>
      <c r="H82" s="189">
        <f t="shared" si="2"/>
        <v>7771905.7684069136</v>
      </c>
    </row>
    <row r="83" spans="1:8" ht="56.45" customHeight="1" x14ac:dyDescent="0.25">
      <c r="A83" s="21">
        <v>13.2</v>
      </c>
      <c r="B83" s="21"/>
      <c r="C83" s="21"/>
      <c r="D83" s="173" t="s">
        <v>640</v>
      </c>
      <c r="E83" s="186" t="s">
        <v>381</v>
      </c>
      <c r="F83" s="187">
        <v>372.23</v>
      </c>
      <c r="G83" s="188">
        <v>191392.57730530304</v>
      </c>
      <c r="H83" s="189">
        <f t="shared" si="2"/>
        <v>71242059.050352961</v>
      </c>
    </row>
    <row r="84" spans="1:8" ht="53.45" customHeight="1" x14ac:dyDescent="0.25">
      <c r="A84" s="21">
        <v>13.3</v>
      </c>
      <c r="B84" s="21"/>
      <c r="C84" s="21"/>
      <c r="D84" s="173" t="s">
        <v>641</v>
      </c>
      <c r="E84" s="186" t="s">
        <v>381</v>
      </c>
      <c r="F84" s="187">
        <v>258.48</v>
      </c>
      <c r="G84" s="188">
        <v>280535.23971666669</v>
      </c>
      <c r="H84" s="189">
        <f t="shared" si="2"/>
        <v>72512748.761964008</v>
      </c>
    </row>
    <row r="85" spans="1:8" ht="59.45" customHeight="1" x14ac:dyDescent="0.25">
      <c r="A85" s="21">
        <v>13.4</v>
      </c>
      <c r="B85" s="21"/>
      <c r="C85" s="21"/>
      <c r="D85" s="173" t="s">
        <v>642</v>
      </c>
      <c r="E85" s="186" t="s">
        <v>381</v>
      </c>
      <c r="F85" s="187">
        <v>326.66000000000003</v>
      </c>
      <c r="G85" s="188">
        <v>353051.60170250002</v>
      </c>
      <c r="H85" s="189">
        <f t="shared" si="2"/>
        <v>115327836.21213867</v>
      </c>
    </row>
    <row r="86" spans="1:8" ht="51.6" customHeight="1" x14ac:dyDescent="0.25">
      <c r="A86" s="21">
        <v>13.5</v>
      </c>
      <c r="B86" s="21"/>
      <c r="C86" s="21"/>
      <c r="D86" s="173" t="s">
        <v>643</v>
      </c>
      <c r="E86" s="186" t="s">
        <v>381</v>
      </c>
      <c r="F86" s="187">
        <v>329.77000000000004</v>
      </c>
      <c r="G86" s="188">
        <v>470191.44038859656</v>
      </c>
      <c r="H86" s="189">
        <f t="shared" si="2"/>
        <v>155055031.29694751</v>
      </c>
    </row>
    <row r="87" spans="1:8" ht="60" customHeight="1" x14ac:dyDescent="0.25">
      <c r="A87" s="21">
        <v>13.6</v>
      </c>
      <c r="B87" s="21"/>
      <c r="C87" s="21"/>
      <c r="D87" s="173" t="s">
        <v>644</v>
      </c>
      <c r="E87" s="186" t="s">
        <v>381</v>
      </c>
      <c r="F87" s="187">
        <v>18.16</v>
      </c>
      <c r="G87" s="188">
        <v>591158.75744722213</v>
      </c>
      <c r="H87" s="189">
        <f t="shared" si="2"/>
        <v>10735443.035241554</v>
      </c>
    </row>
    <row r="88" spans="1:8" ht="54" customHeight="1" x14ac:dyDescent="0.25">
      <c r="A88" s="21">
        <v>13.7</v>
      </c>
      <c r="B88" s="21"/>
      <c r="C88" s="21"/>
      <c r="D88" s="173" t="s">
        <v>645</v>
      </c>
      <c r="E88" s="186" t="s">
        <v>381</v>
      </c>
      <c r="F88" s="187">
        <v>263.70999999999998</v>
      </c>
      <c r="G88" s="188">
        <v>820777.72154978628</v>
      </c>
      <c r="H88" s="189">
        <f t="shared" si="2"/>
        <v>216447292.94989413</v>
      </c>
    </row>
    <row r="89" spans="1:8" ht="54.6" customHeight="1" x14ac:dyDescent="0.25">
      <c r="A89" s="21">
        <v>13.8</v>
      </c>
      <c r="B89" s="21"/>
      <c r="C89" s="21"/>
      <c r="D89" s="173" t="s">
        <v>646</v>
      </c>
      <c r="E89" s="186" t="s">
        <v>381</v>
      </c>
      <c r="F89" s="187">
        <v>359.34</v>
      </c>
      <c r="G89" s="188">
        <v>1205807.9574472222</v>
      </c>
      <c r="H89" s="189">
        <f t="shared" si="2"/>
        <v>433295031.42908478</v>
      </c>
    </row>
    <row r="90" spans="1:8" ht="55.9" customHeight="1" x14ac:dyDescent="0.25">
      <c r="A90" s="21">
        <v>13.9</v>
      </c>
      <c r="B90" s="21"/>
      <c r="C90" s="21"/>
      <c r="D90" s="173" t="s">
        <v>647</v>
      </c>
      <c r="E90" s="186" t="s">
        <v>504</v>
      </c>
      <c r="F90" s="187">
        <v>2000</v>
      </c>
      <c r="G90" s="188">
        <v>75778.561476511299</v>
      </c>
      <c r="H90" s="189">
        <f t="shared" si="2"/>
        <v>151557122.9530226</v>
      </c>
    </row>
    <row r="91" spans="1:8" ht="37.9" customHeight="1" x14ac:dyDescent="0.25">
      <c r="A91" s="21" t="s">
        <v>649</v>
      </c>
      <c r="B91" s="21"/>
      <c r="C91" s="21"/>
      <c r="D91" s="173" t="s">
        <v>648</v>
      </c>
      <c r="E91" s="186" t="s">
        <v>494</v>
      </c>
      <c r="F91" s="187">
        <v>500</v>
      </c>
      <c r="G91" s="188">
        <v>275171.83499999996</v>
      </c>
      <c r="H91" s="189">
        <f t="shared" si="2"/>
        <v>137585917.49999997</v>
      </c>
    </row>
    <row r="92" spans="1:8" x14ac:dyDescent="0.25">
      <c r="A92" s="21">
        <v>14</v>
      </c>
      <c r="B92" s="21"/>
      <c r="C92" s="21"/>
      <c r="D92" s="173" t="s">
        <v>650</v>
      </c>
      <c r="E92" s="173"/>
      <c r="F92" s="173"/>
      <c r="G92" s="173"/>
      <c r="H92" s="209">
        <f>+H93+H94+H95+H96+H97</f>
        <v>77942985.330879226</v>
      </c>
    </row>
    <row r="93" spans="1:8" ht="58.15" customHeight="1" x14ac:dyDescent="0.25">
      <c r="A93" s="21" t="s">
        <v>655</v>
      </c>
      <c r="B93" s="21"/>
      <c r="C93" s="21"/>
      <c r="D93" s="173" t="s">
        <v>596</v>
      </c>
      <c r="E93" s="186" t="s">
        <v>553</v>
      </c>
      <c r="F93" s="187">
        <v>120</v>
      </c>
      <c r="G93" s="188">
        <v>196719</v>
      </c>
      <c r="H93" s="189">
        <f t="shared" si="2"/>
        <v>23606280</v>
      </c>
    </row>
    <row r="94" spans="1:8" ht="42.6" customHeight="1" x14ac:dyDescent="0.25">
      <c r="A94" s="21" t="s">
        <v>656</v>
      </c>
      <c r="B94" s="21"/>
      <c r="C94" s="21"/>
      <c r="D94" s="173" t="s">
        <v>651</v>
      </c>
      <c r="E94" s="186" t="s">
        <v>381</v>
      </c>
      <c r="F94" s="187">
        <v>56.78</v>
      </c>
      <c r="G94" s="188">
        <v>48777</v>
      </c>
      <c r="H94" s="189">
        <f t="shared" si="2"/>
        <v>2769558.06</v>
      </c>
    </row>
    <row r="95" spans="1:8" ht="36" customHeight="1" x14ac:dyDescent="0.25">
      <c r="A95" s="21" t="s">
        <v>657</v>
      </c>
      <c r="B95" s="21"/>
      <c r="C95" s="21"/>
      <c r="D95" s="173" t="s">
        <v>652</v>
      </c>
      <c r="E95" s="186" t="s">
        <v>553</v>
      </c>
      <c r="F95" s="187">
        <v>113.39</v>
      </c>
      <c r="G95" s="188">
        <v>38516</v>
      </c>
      <c r="H95" s="189">
        <f t="shared" si="2"/>
        <v>4367329.24</v>
      </c>
    </row>
    <row r="96" spans="1:8" ht="43.9" customHeight="1" x14ac:dyDescent="0.25">
      <c r="A96" s="21" t="s">
        <v>658</v>
      </c>
      <c r="B96" s="21"/>
      <c r="C96" s="21"/>
      <c r="D96" s="173" t="s">
        <v>653</v>
      </c>
      <c r="E96" s="186" t="s">
        <v>494</v>
      </c>
      <c r="F96" s="187">
        <v>30</v>
      </c>
      <c r="G96" s="188">
        <v>1161290.9906036875</v>
      </c>
      <c r="H96" s="189">
        <f t="shared" si="2"/>
        <v>34838729.718110621</v>
      </c>
    </row>
    <row r="97" spans="1:9" ht="54" customHeight="1" x14ac:dyDescent="0.25">
      <c r="A97" s="21" t="s">
        <v>659</v>
      </c>
      <c r="B97" s="21"/>
      <c r="C97" s="21"/>
      <c r="D97" s="173" t="s">
        <v>654</v>
      </c>
      <c r="E97" s="186" t="s">
        <v>504</v>
      </c>
      <c r="F97" s="187">
        <v>120</v>
      </c>
      <c r="G97" s="188">
        <v>103009.06927307173</v>
      </c>
      <c r="H97" s="189">
        <f t="shared" si="2"/>
        <v>12361088.312768606</v>
      </c>
    </row>
    <row r="98" spans="1:9" ht="26.25" x14ac:dyDescent="0.25">
      <c r="A98" s="213"/>
      <c r="B98" s="213"/>
      <c r="C98" s="213"/>
      <c r="D98" s="213" t="s">
        <v>663</v>
      </c>
      <c r="E98" s="213"/>
      <c r="F98" s="213"/>
      <c r="G98" s="213"/>
      <c r="H98" s="213">
        <f>+H99+H104+H107+H109+H112</f>
        <v>1658080930</v>
      </c>
    </row>
    <row r="99" spans="1:9" x14ac:dyDescent="0.25">
      <c r="A99" s="21">
        <v>15</v>
      </c>
      <c r="B99" s="21"/>
      <c r="C99" s="21"/>
      <c r="D99" s="173" t="s">
        <v>664</v>
      </c>
      <c r="E99" s="173"/>
      <c r="F99" s="173"/>
      <c r="G99" s="173"/>
      <c r="H99" s="212">
        <f>+H100+H101+H102+H103</f>
        <v>224223601</v>
      </c>
    </row>
    <row r="100" spans="1:9" ht="51.6" customHeight="1" x14ac:dyDescent="0.25">
      <c r="A100" s="21" t="s">
        <v>671</v>
      </c>
      <c r="B100" s="21"/>
      <c r="C100" s="21"/>
      <c r="D100" s="173" t="s">
        <v>665</v>
      </c>
      <c r="E100" s="186" t="s">
        <v>129</v>
      </c>
      <c r="F100" s="187">
        <v>601</v>
      </c>
      <c r="G100" s="188">
        <v>182272</v>
      </c>
      <c r="H100" s="189">
        <f t="shared" ref="H100:H113" si="5">F100*G100</f>
        <v>109545472</v>
      </c>
    </row>
    <row r="101" spans="1:9" ht="48.6" customHeight="1" x14ac:dyDescent="0.25">
      <c r="A101" s="21" t="s">
        <v>672</v>
      </c>
      <c r="B101" s="21"/>
      <c r="C101" s="21"/>
      <c r="D101" s="173" t="s">
        <v>666</v>
      </c>
      <c r="E101" s="186" t="s">
        <v>130</v>
      </c>
      <c r="F101" s="187">
        <v>4755</v>
      </c>
      <c r="G101" s="188">
        <v>5113</v>
      </c>
      <c r="H101" s="189">
        <f t="shared" si="5"/>
        <v>24312315</v>
      </c>
    </row>
    <row r="102" spans="1:9" ht="60.6" customHeight="1" x14ac:dyDescent="0.25">
      <c r="A102" s="21" t="s">
        <v>673</v>
      </c>
      <c r="B102" s="21"/>
      <c r="C102" s="21"/>
      <c r="D102" s="173" t="s">
        <v>667</v>
      </c>
      <c r="E102" s="186" t="s">
        <v>122</v>
      </c>
      <c r="F102" s="187">
        <v>20</v>
      </c>
      <c r="G102" s="188">
        <v>699207</v>
      </c>
      <c r="H102" s="189">
        <f t="shared" si="5"/>
        <v>13984140</v>
      </c>
    </row>
    <row r="103" spans="1:9" ht="45.6" customHeight="1" x14ac:dyDescent="0.25">
      <c r="A103" s="21" t="s">
        <v>686</v>
      </c>
      <c r="B103" s="21"/>
      <c r="C103" s="21"/>
      <c r="D103" s="173" t="s">
        <v>668</v>
      </c>
      <c r="E103" s="186" t="s">
        <v>130</v>
      </c>
      <c r="F103" s="187">
        <v>2021</v>
      </c>
      <c r="G103" s="188">
        <v>37794</v>
      </c>
      <c r="H103" s="189">
        <f t="shared" si="5"/>
        <v>76381674</v>
      </c>
    </row>
    <row r="104" spans="1:9" x14ac:dyDescent="0.25">
      <c r="A104" s="21">
        <v>16</v>
      </c>
      <c r="B104" s="21"/>
      <c r="C104" s="21"/>
      <c r="D104" s="173" t="s">
        <v>670</v>
      </c>
      <c r="E104" s="173"/>
      <c r="F104" s="173"/>
      <c r="G104" s="173"/>
      <c r="H104" s="212">
        <f>+H105+H106</f>
        <v>16495797</v>
      </c>
    </row>
    <row r="105" spans="1:9" ht="24" x14ac:dyDescent="0.25">
      <c r="A105" s="21" t="s">
        <v>678</v>
      </c>
      <c r="B105" s="21"/>
      <c r="C105" s="21"/>
      <c r="D105" s="173" t="s">
        <v>675</v>
      </c>
      <c r="E105" s="186" t="s">
        <v>129</v>
      </c>
      <c r="F105" s="187">
        <v>95</v>
      </c>
      <c r="G105" s="192">
        <v>55461</v>
      </c>
      <c r="H105" s="189">
        <f t="shared" si="5"/>
        <v>5268795</v>
      </c>
    </row>
    <row r="106" spans="1:9" ht="41.45" customHeight="1" x14ac:dyDescent="0.25">
      <c r="A106" s="21" t="s">
        <v>679</v>
      </c>
      <c r="B106" s="21"/>
      <c r="C106" s="21"/>
      <c r="D106" s="173" t="s">
        <v>676</v>
      </c>
      <c r="E106" s="186" t="s">
        <v>129</v>
      </c>
      <c r="F106" s="187">
        <v>571</v>
      </c>
      <c r="G106" s="188">
        <v>19662</v>
      </c>
      <c r="H106" s="189">
        <f t="shared" si="5"/>
        <v>11227002</v>
      </c>
    </row>
    <row r="107" spans="1:9" ht="26.45" customHeight="1" x14ac:dyDescent="0.25">
      <c r="A107" s="175">
        <v>17</v>
      </c>
      <c r="B107" s="175"/>
      <c r="C107" s="175"/>
      <c r="D107" s="173" t="s">
        <v>677</v>
      </c>
      <c r="E107" s="176"/>
      <c r="F107" s="176"/>
      <c r="G107" s="176"/>
      <c r="H107" s="214">
        <f>+H108</f>
        <v>66249108</v>
      </c>
    </row>
    <row r="108" spans="1:9" ht="53.45" customHeight="1" x14ac:dyDescent="0.25">
      <c r="A108" s="21" t="s">
        <v>687</v>
      </c>
      <c r="B108" s="21"/>
      <c r="C108" s="21"/>
      <c r="D108" s="173" t="s">
        <v>680</v>
      </c>
      <c r="E108" s="173" t="s">
        <v>129</v>
      </c>
      <c r="F108" s="215">
        <v>713</v>
      </c>
      <c r="G108" s="216">
        <v>92916</v>
      </c>
      <c r="H108" s="189">
        <f t="shared" si="5"/>
        <v>66249108</v>
      </c>
      <c r="I108" s="210"/>
    </row>
    <row r="109" spans="1:9" ht="24" customHeight="1" x14ac:dyDescent="0.25">
      <c r="A109" s="21">
        <v>18</v>
      </c>
      <c r="B109" s="21"/>
      <c r="C109" s="21"/>
      <c r="D109" s="173" t="s">
        <v>681</v>
      </c>
      <c r="E109" s="173"/>
      <c r="F109" s="173"/>
      <c r="G109" s="173"/>
      <c r="H109" s="217">
        <f>+H110+H111</f>
        <v>1287767184</v>
      </c>
    </row>
    <row r="110" spans="1:9" ht="36" x14ac:dyDescent="0.25">
      <c r="A110" s="21" t="s">
        <v>688</v>
      </c>
      <c r="B110" s="21"/>
      <c r="C110" s="21"/>
      <c r="D110" s="173" t="s">
        <v>682</v>
      </c>
      <c r="E110" s="173" t="s">
        <v>446</v>
      </c>
      <c r="F110" s="179">
        <v>1434</v>
      </c>
      <c r="G110" s="188">
        <v>120779</v>
      </c>
      <c r="H110" s="189">
        <f t="shared" si="5"/>
        <v>173197086</v>
      </c>
    </row>
    <row r="111" spans="1:9" ht="92.45" customHeight="1" x14ac:dyDescent="0.25">
      <c r="A111" s="21" t="s">
        <v>689</v>
      </c>
      <c r="B111" s="21"/>
      <c r="C111" s="21"/>
      <c r="D111" s="173" t="s">
        <v>683</v>
      </c>
      <c r="E111" s="173" t="s">
        <v>129</v>
      </c>
      <c r="F111" s="179">
        <v>951</v>
      </c>
      <c r="G111" s="188">
        <v>1171998</v>
      </c>
      <c r="H111" s="189">
        <f t="shared" si="5"/>
        <v>1114570098</v>
      </c>
    </row>
    <row r="112" spans="1:9" ht="25.5" customHeight="1" x14ac:dyDescent="0.25">
      <c r="A112" s="21">
        <v>19</v>
      </c>
      <c r="B112" s="21"/>
      <c r="C112" s="21"/>
      <c r="D112" s="173" t="s">
        <v>684</v>
      </c>
      <c r="E112" s="173"/>
      <c r="F112" s="173"/>
      <c r="G112" s="173"/>
      <c r="H112" s="217">
        <f>+H113</f>
        <v>63345240</v>
      </c>
    </row>
    <row r="113" spans="1:10" ht="33" customHeight="1" x14ac:dyDescent="0.25">
      <c r="A113" s="21" t="s">
        <v>690</v>
      </c>
      <c r="B113" s="21"/>
      <c r="C113" s="21"/>
      <c r="D113" s="173" t="s">
        <v>685</v>
      </c>
      <c r="E113" s="173" t="s">
        <v>132</v>
      </c>
      <c r="F113" s="179">
        <v>8379</v>
      </c>
      <c r="G113" s="188">
        <v>7560</v>
      </c>
      <c r="H113" s="189">
        <f t="shared" si="5"/>
        <v>63345240</v>
      </c>
    </row>
    <row r="114" spans="1:10" ht="33" customHeight="1" x14ac:dyDescent="0.25">
      <c r="A114" s="213"/>
      <c r="B114" s="213"/>
      <c r="C114" s="213"/>
      <c r="D114" s="213" t="s">
        <v>663</v>
      </c>
      <c r="E114" s="213"/>
      <c r="F114" s="213"/>
      <c r="G114" s="213"/>
      <c r="H114" s="213">
        <f>+H115</f>
        <v>226290000</v>
      </c>
    </row>
    <row r="115" spans="1:10" ht="29.25" customHeight="1" x14ac:dyDescent="0.25">
      <c r="A115" s="21">
        <v>20</v>
      </c>
      <c r="B115" s="21"/>
      <c r="C115" s="21"/>
      <c r="D115" s="173" t="s">
        <v>696</v>
      </c>
      <c r="E115" s="173"/>
      <c r="F115" s="173"/>
      <c r="G115" s="173"/>
      <c r="H115" s="217">
        <f>+H116+H117+H118</f>
        <v>226290000</v>
      </c>
    </row>
    <row r="116" spans="1:10" ht="36" x14ac:dyDescent="0.25">
      <c r="A116" s="177" t="s">
        <v>691</v>
      </c>
      <c r="B116" s="177"/>
      <c r="C116" s="177"/>
      <c r="D116" s="178" t="s">
        <v>693</v>
      </c>
      <c r="E116" s="178" t="s">
        <v>506</v>
      </c>
      <c r="F116" s="180">
        <f>+(713+3622+1600)*10</f>
        <v>59350</v>
      </c>
      <c r="G116" s="188">
        <v>2200</v>
      </c>
      <c r="H116" s="189">
        <f t="shared" ref="H116:H118" si="6">F116*G116</f>
        <v>130570000</v>
      </c>
    </row>
    <row r="117" spans="1:10" ht="48" x14ac:dyDescent="0.25">
      <c r="A117" s="177" t="s">
        <v>692</v>
      </c>
      <c r="B117" s="177"/>
      <c r="C117" s="177"/>
      <c r="D117" s="178" t="s">
        <v>694</v>
      </c>
      <c r="E117" s="178" t="s">
        <v>506</v>
      </c>
      <c r="F117" s="180">
        <f>+(91+2400+4235+666)*5</f>
        <v>36960</v>
      </c>
      <c r="G117" s="188">
        <v>2000</v>
      </c>
      <c r="H117" s="189">
        <f t="shared" si="6"/>
        <v>73920000</v>
      </c>
    </row>
    <row r="118" spans="1:10" ht="36" x14ac:dyDescent="0.25">
      <c r="A118" s="177"/>
      <c r="B118" s="177"/>
      <c r="C118" s="177"/>
      <c r="D118" s="178" t="s">
        <v>695</v>
      </c>
      <c r="E118" s="178" t="s">
        <v>506</v>
      </c>
      <c r="F118" s="180">
        <f>+(190+81+601)*5</f>
        <v>4360</v>
      </c>
      <c r="G118" s="188">
        <v>5000</v>
      </c>
      <c r="H118" s="189">
        <f t="shared" si="6"/>
        <v>21800000</v>
      </c>
    </row>
    <row r="119" spans="1:10" ht="19.899999999999999" customHeight="1" x14ac:dyDescent="0.25">
      <c r="A119" s="369" t="s">
        <v>382</v>
      </c>
      <c r="B119" s="369"/>
      <c r="C119" s="369"/>
      <c r="D119" s="369"/>
      <c r="E119" s="369"/>
      <c r="F119" s="369"/>
      <c r="G119" s="369"/>
      <c r="H119" s="345">
        <f>+H51+H9+H114+H98</f>
        <v>6111940865.58111</v>
      </c>
      <c r="I119" s="197"/>
    </row>
    <row r="120" spans="1:10" x14ac:dyDescent="0.25">
      <c r="A120" s="369" t="s">
        <v>383</v>
      </c>
      <c r="B120" s="369"/>
      <c r="C120" s="369"/>
      <c r="D120" s="369"/>
      <c r="E120" s="369"/>
      <c r="F120" s="369"/>
      <c r="G120" s="193">
        <f ca="1">'AIU CALCULADO'!I45</f>
        <v>0.2165</v>
      </c>
      <c r="H120" s="272">
        <f ca="1">IFERROR($H$119*G120,"")</f>
        <v>1323235197.3983102</v>
      </c>
      <c r="I120" s="197"/>
    </row>
    <row r="121" spans="1:10" x14ac:dyDescent="0.25">
      <c r="A121" s="369" t="s">
        <v>662</v>
      </c>
      <c r="B121" s="369"/>
      <c r="C121" s="369"/>
      <c r="D121" s="369"/>
      <c r="E121" s="369"/>
      <c r="F121" s="369"/>
      <c r="G121" s="193">
        <v>0</v>
      </c>
      <c r="H121" s="272">
        <f>+H119*G121</f>
        <v>0</v>
      </c>
      <c r="I121" s="197"/>
    </row>
    <row r="122" spans="1:10" x14ac:dyDescent="0.25">
      <c r="A122" s="369" t="s">
        <v>377</v>
      </c>
      <c r="B122" s="369"/>
      <c r="C122" s="369"/>
      <c r="D122" s="369"/>
      <c r="E122" s="369"/>
      <c r="F122" s="369"/>
      <c r="G122" s="194">
        <f>AIU!I35</f>
        <v>0.05</v>
      </c>
      <c r="H122" s="272">
        <f>IFERROR($H$119*G122,"")</f>
        <v>305597043.27905554</v>
      </c>
      <c r="I122" s="198"/>
    </row>
    <row r="123" spans="1:10" x14ac:dyDescent="0.25">
      <c r="A123" s="369" t="s">
        <v>697</v>
      </c>
      <c r="B123" s="369"/>
      <c r="C123" s="369"/>
      <c r="D123" s="369"/>
      <c r="E123" s="369"/>
      <c r="F123" s="369"/>
      <c r="G123" s="193"/>
      <c r="H123" s="272">
        <f>+PGIO!F40</f>
        <v>21335000</v>
      </c>
      <c r="I123" s="198"/>
    </row>
    <row r="124" spans="1:10" x14ac:dyDescent="0.25">
      <c r="A124" s="369" t="s">
        <v>731</v>
      </c>
      <c r="B124" s="369"/>
      <c r="C124" s="369"/>
      <c r="D124" s="369"/>
      <c r="E124" s="369"/>
      <c r="F124" s="369"/>
      <c r="G124" s="193">
        <f>+H124/H119</f>
        <v>1.1456072880924833E-2</v>
      </c>
      <c r="H124" s="272">
        <f>+'PMT '!F37</f>
        <v>70018840</v>
      </c>
      <c r="I124" s="198"/>
    </row>
    <row r="125" spans="1:10" x14ac:dyDescent="0.25">
      <c r="A125" s="371" t="s">
        <v>384</v>
      </c>
      <c r="B125" s="372"/>
      <c r="C125" s="372"/>
      <c r="D125" s="372"/>
      <c r="E125" s="372"/>
      <c r="F125" s="373"/>
      <c r="G125" s="193"/>
      <c r="H125" s="272">
        <f ca="1">+H124+H122+H123+H120+H119</f>
        <v>7832126946.2584763</v>
      </c>
      <c r="I125" s="198"/>
    </row>
    <row r="126" spans="1:10" x14ac:dyDescent="0.25">
      <c r="A126" s="369" t="s">
        <v>732</v>
      </c>
      <c r="B126" s="369"/>
      <c r="C126" s="369"/>
      <c r="D126" s="369"/>
      <c r="E126" s="369"/>
      <c r="F126" s="369"/>
      <c r="G126" s="343">
        <f ca="1">+H126/H125</f>
        <v>9.8040331351730736E-2</v>
      </c>
      <c r="H126" s="272">
        <f>+INTERV!I48</f>
        <v>767864321</v>
      </c>
      <c r="I126" s="198"/>
    </row>
    <row r="127" spans="1:10" x14ac:dyDescent="0.25">
      <c r="A127" s="369" t="s">
        <v>783</v>
      </c>
      <c r="B127" s="369"/>
      <c r="C127" s="369"/>
      <c r="D127" s="369"/>
      <c r="E127" s="369"/>
      <c r="F127" s="369"/>
      <c r="G127" s="369"/>
      <c r="H127" s="344">
        <f ca="1">+H126+H125</f>
        <v>8599991267.2584763</v>
      </c>
      <c r="I127" s="199"/>
      <c r="J127" s="198"/>
    </row>
    <row r="128" spans="1:10" x14ac:dyDescent="0.25">
      <c r="A128" s="349" t="s">
        <v>782</v>
      </c>
      <c r="B128" s="349"/>
      <c r="C128" s="349"/>
      <c r="D128" s="349"/>
      <c r="E128" s="349"/>
      <c r="F128" s="349"/>
      <c r="G128" s="346">
        <v>2.4E-2</v>
      </c>
      <c r="H128" s="347">
        <f ca="1">+H127*G128</f>
        <v>206399790.41420344</v>
      </c>
      <c r="I128" s="198"/>
    </row>
    <row r="129" spans="1:10" x14ac:dyDescent="0.25">
      <c r="A129" s="349" t="s">
        <v>385</v>
      </c>
      <c r="B129" s="349"/>
      <c r="C129" s="349"/>
      <c r="D129" s="349"/>
      <c r="E129" s="349"/>
      <c r="F129" s="349"/>
      <c r="G129" s="349"/>
      <c r="H129" s="348">
        <f ca="1">+H127+H128</f>
        <v>8806391057.6726799</v>
      </c>
      <c r="I129" s="197"/>
      <c r="J129" s="198"/>
    </row>
    <row r="130" spans="1:10" x14ac:dyDescent="0.25">
      <c r="F130" s="200"/>
      <c r="H130" s="273"/>
    </row>
    <row r="131" spans="1:10" x14ac:dyDescent="0.25">
      <c r="D131" s="105"/>
      <c r="F131" s="200"/>
      <c r="J131" s="198"/>
    </row>
    <row r="132" spans="1:10" x14ac:dyDescent="0.25">
      <c r="D132" s="123"/>
      <c r="F132" s="201"/>
      <c r="J132" s="198"/>
    </row>
    <row r="133" spans="1:10" x14ac:dyDescent="0.25">
      <c r="D133" s="105"/>
      <c r="J133" s="207"/>
    </row>
    <row r="134" spans="1:10" x14ac:dyDescent="0.25">
      <c r="D134" s="105"/>
    </row>
    <row r="137" spans="1:10" x14ac:dyDescent="0.25">
      <c r="H137" s="184"/>
    </row>
    <row r="138" spans="1:10" x14ac:dyDescent="0.25">
      <c r="H138" s="195"/>
    </row>
    <row r="140" spans="1:10" x14ac:dyDescent="0.25">
      <c r="H140" s="184"/>
    </row>
    <row r="141" spans="1:10" x14ac:dyDescent="0.25">
      <c r="H141" s="195"/>
    </row>
    <row r="144" spans="1:10" x14ac:dyDescent="0.25">
      <c r="G144" s="188"/>
      <c r="H144" s="189"/>
    </row>
    <row r="145" spans="5:8" x14ac:dyDescent="0.25">
      <c r="G145" s="196"/>
      <c r="H145" s="189"/>
    </row>
    <row r="146" spans="5:8" x14ac:dyDescent="0.25">
      <c r="G146" s="188"/>
      <c r="H146" s="189"/>
    </row>
    <row r="149" spans="5:8" x14ac:dyDescent="0.25">
      <c r="E149" s="184"/>
      <c r="F149" s="184"/>
      <c r="H149" s="184"/>
    </row>
  </sheetData>
  <protectedRanges>
    <protectedRange sqref="A9:D118" name="Rango1"/>
  </protectedRanges>
  <mergeCells count="23">
    <mergeCell ref="A126:F126"/>
    <mergeCell ref="A125:F125"/>
    <mergeCell ref="A122:F122"/>
    <mergeCell ref="G7:G8"/>
    <mergeCell ref="A121:F121"/>
    <mergeCell ref="A123:F123"/>
    <mergeCell ref="A124:F124"/>
    <mergeCell ref="A128:F128"/>
    <mergeCell ref="A129:G129"/>
    <mergeCell ref="H7:H8"/>
    <mergeCell ref="E1:H5"/>
    <mergeCell ref="E7:E8"/>
    <mergeCell ref="F7:F8"/>
    <mergeCell ref="A1:D1"/>
    <mergeCell ref="A2:D2"/>
    <mergeCell ref="A3:D3"/>
    <mergeCell ref="A5:D5"/>
    <mergeCell ref="B7:C7"/>
    <mergeCell ref="D7:D8"/>
    <mergeCell ref="A7:A8"/>
    <mergeCell ref="A127:G127"/>
    <mergeCell ref="A119:G119"/>
    <mergeCell ref="A120:F120"/>
  </mergeCells>
  <phoneticPr fontId="30" type="noConversion"/>
  <conditionalFormatting sqref="A9:D23 A25:D37 A39:D43 A45:D97 A107:H107 A108:G109 H109 A110:F111 A112:H112 A113:F113 A115:H115 A116:F118">
    <cfRule type="cellIs" dxfId="45" priority="98" operator="notEqual">
      <formula>0</formula>
    </cfRule>
  </conditionalFormatting>
  <conditionalFormatting sqref="A100:D103">
    <cfRule type="cellIs" dxfId="44" priority="75" operator="notEqual">
      <formula>0</formula>
    </cfRule>
  </conditionalFormatting>
  <conditionalFormatting sqref="A100:D113 D107:H107 A45:D97 A9:D23 A25:D37 A39:D43 E108:G109 H109 E110:F111 E112:H112 E113:F113 E115:H115 A115:D118 E116:F118">
    <cfRule type="expression" dxfId="43" priority="56">
      <formula>AND($A9&lt;&gt;0,$D9&lt;&gt;0,$E9=0)</formula>
    </cfRule>
  </conditionalFormatting>
  <conditionalFormatting sqref="A105:D106">
    <cfRule type="cellIs" dxfId="42" priority="57" operator="notEqual">
      <formula>0</formula>
    </cfRule>
  </conditionalFormatting>
  <conditionalFormatting sqref="A104:E104">
    <cfRule type="cellIs" dxfId="41" priority="65" operator="notEqual">
      <formula>0</formula>
    </cfRule>
  </conditionalFormatting>
  <conditionalFormatting sqref="A24:H24">
    <cfRule type="expression" dxfId="40" priority="27">
      <formula>AND($A24&lt;&gt;0,$D24&lt;&gt;0,$E24=0)</formula>
    </cfRule>
    <cfRule type="cellIs" dxfId="39" priority="28" operator="notEqual">
      <formula>0</formula>
    </cfRule>
  </conditionalFormatting>
  <conditionalFormatting sqref="A38:H38">
    <cfRule type="expression" dxfId="38" priority="25">
      <formula>AND($A38&lt;&gt;0,$D38&lt;&gt;0,$E38=0)</formula>
    </cfRule>
    <cfRule type="cellIs" dxfId="37" priority="26" operator="notEqual">
      <formula>0</formula>
    </cfRule>
  </conditionalFormatting>
  <conditionalFormatting sqref="A44:H44">
    <cfRule type="expression" dxfId="36" priority="23">
      <formula>AND($A44&lt;&gt;0,$D44&lt;&gt;0,$E44=0)</formula>
    </cfRule>
    <cfRule type="cellIs" dxfId="35" priority="24" operator="notEqual">
      <formula>0</formula>
    </cfRule>
  </conditionalFormatting>
  <conditionalFormatting sqref="A98:H99">
    <cfRule type="expression" dxfId="34" priority="5">
      <formula>AND($A98&lt;&gt;0,$D98&lt;&gt;0,$E98=0)</formula>
    </cfRule>
    <cfRule type="cellIs" dxfId="33" priority="6" operator="notEqual">
      <formula>0</formula>
    </cfRule>
  </conditionalFormatting>
  <conditionalFormatting sqref="A114:H114">
    <cfRule type="expression" dxfId="32" priority="1">
      <formula>AND($A114&lt;&gt;0,$D114&lt;&gt;0,$E114=0)</formula>
    </cfRule>
    <cfRule type="cellIs" dxfId="31" priority="2" operator="notEqual">
      <formula>0</formula>
    </cfRule>
  </conditionalFormatting>
  <conditionalFormatting sqref="B9:C97 B99:C113 B115:C118">
    <cfRule type="expression" dxfId="30" priority="67">
      <formula>$A9&lt;&gt;0</formula>
    </cfRule>
  </conditionalFormatting>
  <conditionalFormatting sqref="C9">
    <cfRule type="expression" dxfId="29" priority="99">
      <formula>$E$9&lt;&gt;0</formula>
    </cfRule>
  </conditionalFormatting>
  <conditionalFormatting sqref="C51">
    <cfRule type="expression" dxfId="28" priority="22">
      <formula>$E$9&lt;&gt;0</formula>
    </cfRule>
  </conditionalFormatting>
  <conditionalFormatting sqref="D107">
    <cfRule type="cellIs" dxfId="27" priority="3" operator="notEqual">
      <formula>0</formula>
    </cfRule>
    <cfRule type="expression" dxfId="26" priority="39">
      <formula>$A107&lt;&gt;0</formula>
    </cfRule>
  </conditionalFormatting>
  <conditionalFormatting sqref="E9:H10">
    <cfRule type="cellIs" dxfId="25" priority="38" operator="notEqual">
      <formula>0</formula>
    </cfRule>
    <cfRule type="expression" dxfId="24" priority="37">
      <formula>AND($A9&lt;&gt;0,$D9&lt;&gt;0,$E9=0)</formula>
    </cfRule>
  </conditionalFormatting>
  <conditionalFormatting sqref="E13:H13">
    <cfRule type="cellIs" dxfId="23" priority="34" operator="notEqual">
      <formula>0</formula>
    </cfRule>
    <cfRule type="expression" dxfId="22" priority="33">
      <formula>AND($A13&lt;&gt;0,$D13&lt;&gt;0,$E13=0)</formula>
    </cfRule>
  </conditionalFormatting>
  <conditionalFormatting sqref="E16:H16">
    <cfRule type="expression" dxfId="21" priority="31">
      <formula>AND($A16&lt;&gt;0,$D16&lt;&gt;0,$E16=0)</formula>
    </cfRule>
    <cfRule type="cellIs" dxfId="20" priority="32" operator="notEqual">
      <formula>0</formula>
    </cfRule>
  </conditionalFormatting>
  <conditionalFormatting sqref="E19:H19">
    <cfRule type="cellIs" dxfId="19" priority="30" operator="notEqual">
      <formula>0</formula>
    </cfRule>
    <cfRule type="expression" dxfId="18" priority="29">
      <formula>AND($A19&lt;&gt;0,$D19&lt;&gt;0,$E19=0)</formula>
    </cfRule>
  </conditionalFormatting>
  <conditionalFormatting sqref="E51:H52">
    <cfRule type="expression" dxfId="17" priority="10">
      <formula>AND($A51&lt;&gt;0,$D51&lt;&gt;0,$E51=0)</formula>
    </cfRule>
    <cfRule type="cellIs" dxfId="16" priority="11" operator="notEqual">
      <formula>0</formula>
    </cfRule>
  </conditionalFormatting>
  <conditionalFormatting sqref="E54:H54">
    <cfRule type="cellIs" dxfId="15" priority="17" operator="notEqual">
      <formula>0</formula>
    </cfRule>
    <cfRule type="expression" dxfId="14" priority="16">
      <formula>AND($A54&lt;&gt;0,$D54&lt;&gt;0,$E54=0)</formula>
    </cfRule>
  </conditionalFormatting>
  <conditionalFormatting sqref="E57:H57">
    <cfRule type="cellIs" dxfId="13" priority="15" operator="notEqual">
      <formula>0</formula>
    </cfRule>
    <cfRule type="expression" dxfId="12" priority="14">
      <formula>AND($A57&lt;&gt;0,$D57&lt;&gt;0,$E57=0)</formula>
    </cfRule>
  </conditionalFormatting>
  <conditionalFormatting sqref="E65:H65">
    <cfRule type="expression" dxfId="11" priority="82">
      <formula>AND($A65&lt;&gt;0,$D65&lt;&gt;0,$E65=0)</formula>
    </cfRule>
    <cfRule type="cellIs" dxfId="10" priority="83" operator="notEqual">
      <formula>0</formula>
    </cfRule>
  </conditionalFormatting>
  <conditionalFormatting sqref="E71:H71">
    <cfRule type="cellIs" dxfId="9" priority="81" operator="notEqual">
      <formula>0</formula>
    </cfRule>
    <cfRule type="expression" dxfId="8" priority="80">
      <formula>AND($A71&lt;&gt;0,$D71&lt;&gt;0,$E71=0)</formula>
    </cfRule>
  </conditionalFormatting>
  <conditionalFormatting sqref="E81:H81">
    <cfRule type="cellIs" dxfId="7" priority="19" operator="notEqual">
      <formula>0</formula>
    </cfRule>
    <cfRule type="expression" dxfId="6" priority="18">
      <formula>AND($A81&lt;&gt;0,$D81&lt;&gt;0,$E81=0)</formula>
    </cfRule>
  </conditionalFormatting>
  <conditionalFormatting sqref="E92:H92">
    <cfRule type="cellIs" dxfId="5" priority="13" operator="notEqual">
      <formula>0</formula>
    </cfRule>
    <cfRule type="expression" dxfId="4" priority="12">
      <formula>AND($A92&lt;&gt;0,$D92&lt;&gt;0,$E92=0)</formula>
    </cfRule>
  </conditionalFormatting>
  <conditionalFormatting sqref="E104:H104">
    <cfRule type="expression" dxfId="3" priority="52">
      <formula>AND($A104&lt;&gt;0,$D104&lt;&gt;0,$E104=0)</formula>
    </cfRule>
  </conditionalFormatting>
  <conditionalFormatting sqref="F104:H104">
    <cfRule type="cellIs" dxfId="2" priority="53" operator="notEqual">
      <formula>0</formula>
    </cfRule>
  </conditionalFormatting>
  <pageMargins left="0.70866141732283472" right="0.70866141732283472" top="0.74803149606299213" bottom="0.74803149606299213" header="0.31496062992125984" footer="0.31496062992125984"/>
  <pageSetup scale="41" orientation="portrait" horizontalDpi="4294967292" r:id="rId1"/>
  <rowBreaks count="1" manualBreakCount="1">
    <brk id="103" max="8"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865AC2-24CB-4CBE-9D01-C71936005007}">
  <dimension ref="A1:P57"/>
  <sheetViews>
    <sheetView view="pageBreakPreview" topLeftCell="A2" zoomScale="80" zoomScaleNormal="80" zoomScaleSheetLayoutView="80" workbookViewId="0">
      <selection activeCell="C26" sqref="C26"/>
    </sheetView>
  </sheetViews>
  <sheetFormatPr baseColWidth="10" defaultColWidth="11.5703125" defaultRowHeight="15" x14ac:dyDescent="0.25"/>
  <cols>
    <col min="1" max="2" width="11.5703125" style="181"/>
    <col min="3" max="3" width="34" style="181" customWidth="1"/>
    <col min="4" max="8" width="11.5703125" style="181"/>
    <col min="9" max="9" width="15.85546875" style="181" bestFit="1" customWidth="1"/>
    <col min="10" max="14" width="11.5703125" style="181"/>
    <col min="15" max="15" width="16.28515625" style="181" bestFit="1" customWidth="1"/>
    <col min="16" max="16" width="14.28515625" style="181" bestFit="1" customWidth="1"/>
    <col min="17" max="16384" width="11.5703125" style="181"/>
  </cols>
  <sheetData>
    <row r="1" spans="1:9" ht="26.25" x14ac:dyDescent="0.25">
      <c r="A1" s="388" t="s">
        <v>0</v>
      </c>
      <c r="B1" s="388"/>
      <c r="C1" s="388"/>
      <c r="D1" s="388"/>
      <c r="E1" s="388"/>
      <c r="F1" s="388"/>
      <c r="G1" s="389" t="s">
        <v>53</v>
      </c>
      <c r="H1" s="389"/>
      <c r="I1" s="389"/>
    </row>
    <row r="2" spans="1:9" ht="35.450000000000003" customHeight="1" x14ac:dyDescent="0.25">
      <c r="A2" s="390" t="str">
        <f>+IF('[8]DATOS INICIALES'!$B$7="","",'[8]DATOS INICIALES'!$B$7)</f>
        <v>MUNICIPIO DE DABEIBA</v>
      </c>
      <c r="B2" s="390"/>
      <c r="C2" s="390"/>
      <c r="D2" s="390"/>
      <c r="E2" s="390"/>
      <c r="F2" s="390"/>
      <c r="G2" s="389"/>
      <c r="H2" s="389"/>
      <c r="I2" s="389"/>
    </row>
    <row r="3" spans="1:9" ht="44.45" customHeight="1" x14ac:dyDescent="0.25">
      <c r="A3" s="391"/>
      <c r="B3" s="391"/>
      <c r="C3" s="391"/>
      <c r="D3" s="391"/>
      <c r="E3" s="391"/>
      <c r="F3" s="391"/>
      <c r="G3" s="392" t="s">
        <v>733</v>
      </c>
      <c r="H3" s="392"/>
      <c r="I3" s="392"/>
    </row>
    <row r="4" spans="1:9" ht="21" x14ac:dyDescent="0.25">
      <c r="A4" s="23"/>
      <c r="B4" s="22"/>
      <c r="C4" s="22"/>
      <c r="D4" s="22"/>
      <c r="E4" s="22"/>
      <c r="F4" s="22"/>
      <c r="G4" s="274"/>
      <c r="H4" s="274"/>
      <c r="I4" s="275"/>
    </row>
    <row r="5" spans="1:9" x14ac:dyDescent="0.25">
      <c r="A5" s="393" t="s">
        <v>454</v>
      </c>
      <c r="B5" s="393"/>
      <c r="C5" s="393"/>
      <c r="D5" s="393"/>
      <c r="E5" s="393"/>
      <c r="F5" s="393"/>
      <c r="G5" s="393"/>
      <c r="H5" s="393"/>
      <c r="I5" s="393"/>
    </row>
    <row r="6" spans="1:9" x14ac:dyDescent="0.25">
      <c r="A6" s="23"/>
      <c r="B6" s="23"/>
      <c r="C6" s="23"/>
      <c r="D6" s="23"/>
      <c r="E6" s="23"/>
      <c r="F6" s="23"/>
      <c r="G6" s="22"/>
      <c r="H6" s="22"/>
      <c r="I6" s="276"/>
    </row>
    <row r="7" spans="1:9" ht="24" x14ac:dyDescent="0.25">
      <c r="A7" s="185" t="s">
        <v>44</v>
      </c>
      <c r="B7" s="185" t="s">
        <v>54</v>
      </c>
      <c r="C7" s="185" t="s">
        <v>46</v>
      </c>
      <c r="D7" s="185" t="s">
        <v>342</v>
      </c>
      <c r="E7" s="185" t="s">
        <v>343</v>
      </c>
      <c r="F7" s="185" t="s">
        <v>734</v>
      </c>
      <c r="G7" s="185" t="s">
        <v>345</v>
      </c>
      <c r="H7" s="185" t="s">
        <v>346</v>
      </c>
      <c r="I7" s="277" t="s">
        <v>347</v>
      </c>
    </row>
    <row r="8" spans="1:9" x14ac:dyDescent="0.25">
      <c r="A8" s="19" t="s">
        <v>455</v>
      </c>
      <c r="B8" s="375" t="s">
        <v>456</v>
      </c>
      <c r="C8" s="376"/>
      <c r="D8" s="376"/>
      <c r="E8" s="376"/>
      <c r="F8" s="376"/>
      <c r="G8" s="376"/>
      <c r="H8" s="377"/>
      <c r="I8" s="278">
        <f>I24</f>
        <v>617180080.32000005</v>
      </c>
    </row>
    <row r="9" spans="1:9" x14ac:dyDescent="0.25">
      <c r="A9" s="171">
        <v>1</v>
      </c>
      <c r="B9" s="381" t="s">
        <v>348</v>
      </c>
      <c r="C9" s="382"/>
      <c r="D9" s="382"/>
      <c r="E9" s="382"/>
      <c r="F9" s="382"/>
      <c r="G9" s="382"/>
      <c r="H9" s="383"/>
      <c r="I9" s="278">
        <f>IFERROR(IF(SUM(I10:I16)=0,"",SUM(I10:I16)),"")</f>
        <v>260413536</v>
      </c>
    </row>
    <row r="10" spans="1:9" x14ac:dyDescent="0.25">
      <c r="A10" s="35">
        <f t="shared" ref="A10:A16" si="0">IF(C10="","",A9+0.1)</f>
        <v>1.1000000000000001</v>
      </c>
      <c r="B10" s="27" t="str">
        <f>IF(C10="","",INDEX(CÓDIGOS_MANO_DE_OBRA,MATCH($C10,'[8]INSUMOS MANO DE OBRA'!$B$8:$B$63,0)))</f>
        <v>MO001</v>
      </c>
      <c r="C10" s="30" t="s">
        <v>735</v>
      </c>
      <c r="D10" s="31">
        <v>1</v>
      </c>
      <c r="E10" s="279">
        <v>7353801</v>
      </c>
      <c r="F10" s="279">
        <v>3676901</v>
      </c>
      <c r="G10" s="280">
        <v>0.5</v>
      </c>
      <c r="H10" s="27">
        <v>12</v>
      </c>
      <c r="I10" s="281">
        <f>(E10+F10)*G10*H10</f>
        <v>66184212</v>
      </c>
    </row>
    <row r="11" spans="1:9" ht="24" x14ac:dyDescent="0.25">
      <c r="A11" s="35">
        <f t="shared" si="0"/>
        <v>1.2000000000000002</v>
      </c>
      <c r="B11" s="27" t="str">
        <f>IF(C11="","",INDEX(CÓDIGOS_MANO_DE_OBRA,MATCH($C11,'[8]INSUMOS MANO DE OBRA'!$B$8:$B$63,0)))</f>
        <v>MO002</v>
      </c>
      <c r="C11" s="30" t="s">
        <v>736</v>
      </c>
      <c r="D11" s="31">
        <v>1</v>
      </c>
      <c r="E11" s="279">
        <v>4377263</v>
      </c>
      <c r="F11" s="279">
        <v>2232404</v>
      </c>
      <c r="G11" s="280">
        <v>1</v>
      </c>
      <c r="H11" s="31">
        <v>12</v>
      </c>
      <c r="I11" s="281">
        <f>(E11+F11)*G11*H11</f>
        <v>79316004</v>
      </c>
    </row>
    <row r="12" spans="1:9" x14ac:dyDescent="0.25">
      <c r="A12" s="35">
        <f t="shared" si="0"/>
        <v>1.3000000000000003</v>
      </c>
      <c r="B12" s="27" t="str">
        <f>IF(C12="","",INDEX(CÓDIGOS_MANO_DE_OBRA,MATCH($C12,'[8]INSUMOS MANO DE OBRA'!$B$8:$B$63,0)))</f>
        <v>MO006</v>
      </c>
      <c r="C12" s="30" t="s">
        <v>737</v>
      </c>
      <c r="D12" s="31">
        <v>1</v>
      </c>
      <c r="E12" s="279">
        <v>3075000</v>
      </c>
      <c r="F12" s="279">
        <v>1934750</v>
      </c>
      <c r="G12" s="280">
        <v>1</v>
      </c>
      <c r="H12" s="31">
        <v>12</v>
      </c>
      <c r="I12" s="281">
        <f t="shared" ref="I12:I13" si="1">(E12+F12)*G12*H12</f>
        <v>60117000</v>
      </c>
    </row>
    <row r="13" spans="1:9" x14ac:dyDescent="0.25">
      <c r="A13" s="35">
        <f t="shared" si="0"/>
        <v>1.4000000000000004</v>
      </c>
      <c r="B13" s="27" t="s">
        <v>168</v>
      </c>
      <c r="C13" s="30" t="s">
        <v>738</v>
      </c>
      <c r="D13" s="31">
        <v>1</v>
      </c>
      <c r="E13" s="279">
        <v>3501810</v>
      </c>
      <c r="F13" s="279">
        <v>2206140</v>
      </c>
      <c r="G13" s="280">
        <v>0.8</v>
      </c>
      <c r="H13" s="31">
        <v>12</v>
      </c>
      <c r="I13" s="281">
        <f t="shared" si="1"/>
        <v>54796320</v>
      </c>
    </row>
    <row r="14" spans="1:9" x14ac:dyDescent="0.25">
      <c r="A14" s="35" t="str">
        <f t="shared" si="0"/>
        <v/>
      </c>
      <c r="B14" s="27" t="str">
        <f>IF(C14="","",INDEX(CÓDIGOS_MANO_DE_OBRA,MATCH($C14,'[8]INSUMOS MANO DE OBRA'!$B$8:$B$63,0)))</f>
        <v/>
      </c>
      <c r="C14" s="30"/>
      <c r="D14" s="31"/>
      <c r="E14" s="279" t="str">
        <f t="shared" ref="E14:E16" si="2">+IFERROR(VLOOKUP($B14,INSUMOS_MANO_DE_OBRA,4,0),"")</f>
        <v/>
      </c>
      <c r="F14" s="279" t="str">
        <f t="shared" ref="F14:F16" si="3">+IFERROR(ROUND((VLOOKUP($B14,INSUMOS_MANO_DE_OBRA,5,0)-1)*E14,0),"")</f>
        <v/>
      </c>
      <c r="G14" s="280"/>
      <c r="H14" s="31"/>
      <c r="I14" s="281" t="str">
        <f t="shared" ref="I14:I16" si="4">+IF(D14=0,"",IFERROR(D14*(E14)*G14*H14,""))</f>
        <v/>
      </c>
    </row>
    <row r="15" spans="1:9" x14ac:dyDescent="0.25">
      <c r="A15" s="35" t="str">
        <f t="shared" si="0"/>
        <v/>
      </c>
      <c r="B15" s="27" t="str">
        <f>IF(C15="","",INDEX(CÓDIGOS_MANO_DE_OBRA,MATCH($C15,'[8]INSUMOS MANO DE OBRA'!$B$8:$B$63,0)))</f>
        <v/>
      </c>
      <c r="C15" s="30"/>
      <c r="D15" s="31"/>
      <c r="E15" s="279" t="str">
        <f t="shared" si="2"/>
        <v/>
      </c>
      <c r="F15" s="279" t="str">
        <f t="shared" si="3"/>
        <v/>
      </c>
      <c r="G15" s="280"/>
      <c r="H15" s="31"/>
      <c r="I15" s="281" t="str">
        <f t="shared" si="4"/>
        <v/>
      </c>
    </row>
    <row r="16" spans="1:9" x14ac:dyDescent="0.25">
      <c r="A16" s="35" t="str">
        <f t="shared" si="0"/>
        <v/>
      </c>
      <c r="B16" s="27" t="str">
        <f>IF(C16="","",INDEX(CÓDIGOS_MANO_DE_OBRA,MATCH($C16,'[8]INSUMOS MANO DE OBRA'!$B$8:$B$63,0)))</f>
        <v/>
      </c>
      <c r="C16" s="30"/>
      <c r="D16" s="31"/>
      <c r="E16" s="279" t="str">
        <f t="shared" si="2"/>
        <v/>
      </c>
      <c r="F16" s="279" t="str">
        <f t="shared" si="3"/>
        <v/>
      </c>
      <c r="G16" s="280"/>
      <c r="H16" s="31"/>
      <c r="I16" s="281" t="str">
        <f t="shared" si="4"/>
        <v/>
      </c>
    </row>
    <row r="17" spans="1:9" x14ac:dyDescent="0.25">
      <c r="A17" s="171">
        <v>2</v>
      </c>
      <c r="B17" s="384" t="s">
        <v>739</v>
      </c>
      <c r="C17" s="384"/>
      <c r="D17" s="384"/>
      <c r="E17" s="384"/>
      <c r="F17" s="384"/>
      <c r="G17" s="384"/>
      <c r="H17" s="384"/>
      <c r="I17" s="278" t="str">
        <f>IFERROR(IF(SUM(I18:I20)=0,"",SUM(I18:I20)),"")</f>
        <v/>
      </c>
    </row>
    <row r="18" spans="1:9" x14ac:dyDescent="0.25">
      <c r="A18" s="35" t="str">
        <f>IF(C18="","",A17+0.1)</f>
        <v/>
      </c>
      <c r="B18" s="27" t="str">
        <f>IF(C18="","",INDEX(CÓDIGOS_MANO_DE_OBRA,MATCH($C18,'[8]INSUMOS MANO DE OBRA'!$B$8:$B$63,0)))</f>
        <v/>
      </c>
      <c r="C18" s="30"/>
      <c r="D18" s="31"/>
      <c r="E18" s="279" t="str">
        <f>+IFERROR(VLOOKUP($B18,INSUMOS_MANO_DE_OBRA,4,0),"")</f>
        <v/>
      </c>
      <c r="F18" s="279" t="str">
        <f>+IFERROR(ROUND((VLOOKUP($B18,INSUMOS_MANO_DE_OBRA,5,0)-1)*E18,0),"")</f>
        <v/>
      </c>
      <c r="G18" s="280"/>
      <c r="H18" s="31"/>
      <c r="I18" s="281" t="str">
        <f>+IF(D18=0,"",IFERROR(D18*(E18)*G18*H18,""))</f>
        <v/>
      </c>
    </row>
    <row r="19" spans="1:9" x14ac:dyDescent="0.25">
      <c r="A19" s="35" t="str">
        <f>IF(C19="","",A18+0.1)</f>
        <v/>
      </c>
      <c r="B19" s="27" t="str">
        <f>IF(C19="","",INDEX(CÓDIGOS_MANO_DE_OBRA,MATCH($C19,'[8]INSUMOS MANO DE OBRA'!$B$8:$B$63,0)))</f>
        <v/>
      </c>
      <c r="C19" s="30"/>
      <c r="D19" s="31"/>
      <c r="E19" s="279" t="str">
        <f>+IFERROR(VLOOKUP($B19,INSUMOS_MANO_DE_OBRA,4,0),"")</f>
        <v/>
      </c>
      <c r="F19" s="279" t="str">
        <f>+IFERROR(ROUND((VLOOKUP($B19,INSUMOS_MANO_DE_OBRA,5,0)-1)*E19,0),"")</f>
        <v/>
      </c>
      <c r="G19" s="280"/>
      <c r="H19" s="31"/>
      <c r="I19" s="281" t="str">
        <f>+IF(D19=0,"",IFERROR(D19*(E19)*G19*H19,""))</f>
        <v/>
      </c>
    </row>
    <row r="20" spans="1:9" x14ac:dyDescent="0.25">
      <c r="A20" s="35" t="str">
        <f>IF(C20="","",A19+0.1)</f>
        <v/>
      </c>
      <c r="B20" s="27" t="str">
        <f>IF(C20="","",INDEX(CÓDIGOS_MANO_DE_OBRA,MATCH($C20,'[8]INSUMOS MANO DE OBRA'!$B$8:$B$63,0)))</f>
        <v/>
      </c>
      <c r="C20" s="30"/>
      <c r="D20" s="31"/>
      <c r="E20" s="279" t="str">
        <f>+IFERROR(VLOOKUP($B20,INSUMOS_MANO_DE_OBRA,4,0),"")</f>
        <v/>
      </c>
      <c r="F20" s="279" t="str">
        <f>+IFERROR(ROUND((VLOOKUP($B20,INSUMOS_MANO_DE_OBRA,5,0)-1)*E20,0),"")</f>
        <v/>
      </c>
      <c r="G20" s="280"/>
      <c r="H20" s="31"/>
      <c r="I20" s="281" t="str">
        <f>+IF(D20=0,"",IFERROR(D20*(E20)*G20*H20,""))</f>
        <v/>
      </c>
    </row>
    <row r="21" spans="1:9" x14ac:dyDescent="0.25">
      <c r="A21" s="171">
        <v>3</v>
      </c>
      <c r="B21" s="381" t="s">
        <v>482</v>
      </c>
      <c r="C21" s="382"/>
      <c r="D21" s="382"/>
      <c r="E21" s="382"/>
      <c r="F21" s="382"/>
      <c r="G21" s="382"/>
      <c r="H21" s="382"/>
      <c r="I21" s="383"/>
    </row>
    <row r="22" spans="1:9" x14ac:dyDescent="0.25">
      <c r="A22" s="35">
        <f>IF(C22="","",A21+0.1)</f>
        <v>3.1</v>
      </c>
      <c r="B22" s="27"/>
      <c r="C22" s="28" t="s">
        <v>483</v>
      </c>
      <c r="D22" s="282"/>
      <c r="E22" s="282"/>
      <c r="F22" s="282"/>
      <c r="G22" s="283"/>
      <c r="H22" s="283"/>
      <c r="I22" s="284">
        <f>IF(SUM(I17,I9)=0,"",SUM(I17,I9))</f>
        <v>260413536</v>
      </c>
    </row>
    <row r="23" spans="1:9" x14ac:dyDescent="0.25">
      <c r="A23" s="35">
        <f>IF(C23="","",A22+0.1)</f>
        <v>3.2</v>
      </c>
      <c r="B23" s="27"/>
      <c r="C23" s="28" t="s">
        <v>484</v>
      </c>
      <c r="D23" s="282"/>
      <c r="E23" s="282"/>
      <c r="F23" s="282"/>
      <c r="G23" s="283"/>
      <c r="H23" s="283"/>
      <c r="I23" s="285">
        <f>[10]FM!G34</f>
        <v>2.37</v>
      </c>
    </row>
    <row r="24" spans="1:9" x14ac:dyDescent="0.25">
      <c r="A24" s="35">
        <f>IF(C24="","",A23+0.1)</f>
        <v>3.3000000000000003</v>
      </c>
      <c r="B24" s="27"/>
      <c r="C24" s="28" t="s">
        <v>485</v>
      </c>
      <c r="D24" s="282"/>
      <c r="E24" s="282"/>
      <c r="F24" s="282"/>
      <c r="G24" s="283"/>
      <c r="H24" s="283"/>
      <c r="I24" s="284">
        <f>I22*I23</f>
        <v>617180080.32000005</v>
      </c>
    </row>
    <row r="25" spans="1:9" x14ac:dyDescent="0.25">
      <c r="A25" s="171">
        <v>4</v>
      </c>
      <c r="B25" s="384" t="s">
        <v>740</v>
      </c>
      <c r="C25" s="385"/>
      <c r="D25" s="385"/>
      <c r="E25" s="385"/>
      <c r="F25" s="385"/>
      <c r="G25" s="385"/>
      <c r="H25" s="385"/>
      <c r="I25" s="286" t="str">
        <f>IFERROR(IF(SUM(I26:I29)=0,"",SUM(I26:I29)),"")</f>
        <v/>
      </c>
    </row>
    <row r="26" spans="1:9" ht="162" x14ac:dyDescent="0.25">
      <c r="A26" s="35">
        <f>IF(C26="","",A25+0.1)</f>
        <v>4.0999999999999996</v>
      </c>
      <c r="B26" s="27"/>
      <c r="C26" s="30" t="s">
        <v>741</v>
      </c>
      <c r="D26" s="31"/>
      <c r="E26" s="287"/>
      <c r="F26" s="283"/>
      <c r="G26" s="283"/>
      <c r="H26" s="31"/>
      <c r="I26" s="281" t="str">
        <f>IFERROR(IF(E26*H26*D26=0,"",E26*H26*D26),"")</f>
        <v/>
      </c>
    </row>
    <row r="27" spans="1:9" ht="24" x14ac:dyDescent="0.25">
      <c r="A27" s="35">
        <f>IF(C27="","",A26+0.1)</f>
        <v>4.1999999999999993</v>
      </c>
      <c r="B27" s="27"/>
      <c r="C27" s="30" t="s">
        <v>742</v>
      </c>
      <c r="D27" s="31"/>
      <c r="E27" s="287"/>
      <c r="F27" s="283"/>
      <c r="G27" s="283"/>
      <c r="H27" s="31"/>
      <c r="I27" s="281" t="str">
        <f>IFERROR(IF(E27*H27*D27=0,"",E27*H27*D27),"")</f>
        <v/>
      </c>
    </row>
    <row r="28" spans="1:9" x14ac:dyDescent="0.25">
      <c r="A28" s="35" t="str">
        <f>IF(C28="","",A27+0.1)</f>
        <v/>
      </c>
      <c r="B28" s="27"/>
      <c r="C28" s="30"/>
      <c r="D28" s="31"/>
      <c r="E28" s="287"/>
      <c r="F28" s="283"/>
      <c r="G28" s="283"/>
      <c r="H28" s="31"/>
      <c r="I28" s="281" t="str">
        <f>IFERROR(IF(E28*H28*D28=0,"",E28*H28*D28),"")</f>
        <v/>
      </c>
    </row>
    <row r="29" spans="1:9" x14ac:dyDescent="0.25">
      <c r="A29" s="35" t="str">
        <f>IF(C29="","",A28+0.1)</f>
        <v/>
      </c>
      <c r="B29" s="27"/>
      <c r="C29" s="30"/>
      <c r="D29" s="31"/>
      <c r="E29" s="287"/>
      <c r="F29" s="283"/>
      <c r="G29" s="283"/>
      <c r="H29" s="31"/>
      <c r="I29" s="281" t="str">
        <f>IFERROR(IF(E29*H29*D29=0,"",E29*H29*D29),"")</f>
        <v/>
      </c>
    </row>
    <row r="30" spans="1:9" x14ac:dyDescent="0.25">
      <c r="A30" s="288"/>
      <c r="B30" s="386" t="s">
        <v>486</v>
      </c>
      <c r="C30" s="387"/>
      <c r="D30" s="387"/>
      <c r="E30" s="387"/>
      <c r="F30" s="387"/>
      <c r="G30" s="387"/>
      <c r="H30" s="380"/>
      <c r="I30" s="289">
        <f>SUM(I25,I24)</f>
        <v>617180080.32000005</v>
      </c>
    </row>
    <row r="31" spans="1:9" x14ac:dyDescent="0.25">
      <c r="A31" s="19" t="s">
        <v>487</v>
      </c>
      <c r="B31" s="375" t="s">
        <v>488</v>
      </c>
      <c r="C31" s="376"/>
      <c r="D31" s="376"/>
      <c r="E31" s="376"/>
      <c r="F31" s="376"/>
      <c r="G31" s="376"/>
      <c r="H31" s="377"/>
      <c r="I31" s="278">
        <f>+I32+I42</f>
        <v>28084054.397741001</v>
      </c>
    </row>
    <row r="32" spans="1:9" x14ac:dyDescent="0.25">
      <c r="A32" s="19">
        <v>5</v>
      </c>
      <c r="B32" s="378" t="s">
        <v>489</v>
      </c>
      <c r="C32" s="379"/>
      <c r="D32" s="379"/>
      <c r="E32" s="379"/>
      <c r="F32" s="379"/>
      <c r="G32" s="379"/>
      <c r="H32" s="380"/>
      <c r="I32" s="278">
        <f>IF(SUM(I33:I41)=0,0,SUM(I33:I41))</f>
        <v>21260000</v>
      </c>
    </row>
    <row r="33" spans="1:16" x14ac:dyDescent="0.25">
      <c r="A33" s="35" t="str">
        <f>IF(C33="","",A32+0.1)</f>
        <v/>
      </c>
      <c r="B33" s="27" t="str">
        <f>IF(C33="","",INDEX('[8]INSUMOS GENERALES'!$A$8:$A$144,MATCH($C33,'[8]INSUMOS GENERALES'!$B$8:$B$144,0)))</f>
        <v/>
      </c>
      <c r="C33" s="30"/>
      <c r="D33" s="31"/>
      <c r="E33" s="279" t="str">
        <f>+IF(C33="","",(VLOOKUP($B33,'[8]INSUMOS GENERALES'!$A$8:$D$144,4,0)))</f>
        <v/>
      </c>
      <c r="F33" s="282"/>
      <c r="G33" s="282"/>
      <c r="H33" s="31"/>
      <c r="I33" s="281" t="str">
        <f t="shared" ref="I33:I43" si="5">+IFERROR(D33*E33*H33,"")</f>
        <v/>
      </c>
    </row>
    <row r="34" spans="1:16" x14ac:dyDescent="0.25">
      <c r="A34" s="35" t="str">
        <f>IF(C34="","",A33+0.1)</f>
        <v/>
      </c>
      <c r="B34" s="27" t="str">
        <f>IF(C34="","",INDEX('[8]INSUMOS GENERALES'!$A$8:$A$144,MATCH($C34,'[8]INSUMOS GENERALES'!$B$8:$B$144,0)))</f>
        <v/>
      </c>
      <c r="C34" s="30"/>
      <c r="D34" s="31"/>
      <c r="E34" s="279" t="str">
        <f>+IF(C34="","",(VLOOKUP($B34,'[8]INSUMOS GENERALES'!$A$8:$D$144,4,0)))</f>
        <v/>
      </c>
      <c r="F34" s="282"/>
      <c r="G34" s="282"/>
      <c r="H34" s="31"/>
      <c r="I34" s="281" t="str">
        <f t="shared" si="5"/>
        <v/>
      </c>
    </row>
    <row r="35" spans="1:16" x14ac:dyDescent="0.25">
      <c r="A35" s="35"/>
      <c r="B35" s="27"/>
      <c r="C35" s="28" t="s">
        <v>743</v>
      </c>
      <c r="D35" s="27">
        <v>1</v>
      </c>
      <c r="E35" s="287">
        <v>200000</v>
      </c>
      <c r="F35" s="282"/>
      <c r="G35" s="282"/>
      <c r="H35" s="31">
        <f>+H10</f>
        <v>12</v>
      </c>
      <c r="I35" s="281">
        <f>+IFERROR(D35*E35*H35,"")</f>
        <v>2400000</v>
      </c>
    </row>
    <row r="36" spans="1:16" ht="36" x14ac:dyDescent="0.25">
      <c r="A36" s="35"/>
      <c r="B36" s="27" t="str">
        <f>IF(C36="","",INDEX('[8]INSUMOS GENERALES'!$A$8:$A$144,MATCH($C36,'[8]INSUMOS GENERALES'!$B$8:$B$144,0)))</f>
        <v>GE010</v>
      </c>
      <c r="C36" s="30" t="s">
        <v>744</v>
      </c>
      <c r="D36" s="31">
        <v>2</v>
      </c>
      <c r="E36" s="279">
        <v>60000</v>
      </c>
      <c r="F36" s="282"/>
      <c r="G36" s="282"/>
      <c r="H36" s="31">
        <f>+H35</f>
        <v>12</v>
      </c>
      <c r="I36" s="281">
        <f t="shared" si="5"/>
        <v>1440000</v>
      </c>
    </row>
    <row r="37" spans="1:16" ht="60" x14ac:dyDescent="0.25">
      <c r="A37" s="35"/>
      <c r="B37" s="27" t="str">
        <f>IF(C37="","",INDEX('[8]INSUMOS GENERALES'!$A$8:$A$144,MATCH($C37,'[8]INSUMOS GENERALES'!$B$8:$B$144,0)))</f>
        <v>GE008</v>
      </c>
      <c r="C37" s="30" t="s">
        <v>77</v>
      </c>
      <c r="D37" s="31">
        <v>3</v>
      </c>
      <c r="E37" s="279">
        <v>200000</v>
      </c>
      <c r="F37" s="282"/>
      <c r="G37" s="282"/>
      <c r="H37" s="31">
        <f>+H35</f>
        <v>12</v>
      </c>
      <c r="I37" s="281">
        <f t="shared" si="5"/>
        <v>7200000</v>
      </c>
    </row>
    <row r="38" spans="1:16" x14ac:dyDescent="0.25">
      <c r="A38" s="35"/>
      <c r="B38" s="27" t="str">
        <f>IF(C38="","",INDEX('[8]INSUMOS GENERALES'!$A$8:$A$144,MATCH($C38,'[8]INSUMOS GENERALES'!$B$8:$B$144,0)))</f>
        <v>GE009</v>
      </c>
      <c r="C38" s="30" t="s">
        <v>79</v>
      </c>
      <c r="D38" s="31">
        <v>1</v>
      </c>
      <c r="E38" s="279">
        <v>60000</v>
      </c>
      <c r="F38" s="282"/>
      <c r="G38" s="282"/>
      <c r="H38" s="31">
        <v>12</v>
      </c>
      <c r="I38" s="281">
        <f t="shared" si="5"/>
        <v>720000</v>
      </c>
    </row>
    <row r="39" spans="1:16" x14ac:dyDescent="0.25">
      <c r="A39" s="35" t="str">
        <f t="shared" ref="A39:A45" si="6">IF(C39="","",A38+0.1)</f>
        <v/>
      </c>
      <c r="B39" s="27" t="str">
        <f>IF(C39="","",INDEX('[8]INSUMOS GENERALES'!$A$8:$A$144,MATCH($C39,'[8]INSUMOS GENERALES'!$B$8:$B$144,0)))</f>
        <v/>
      </c>
      <c r="C39" s="30"/>
      <c r="D39" s="31"/>
      <c r="E39" s="279" t="str">
        <f>+IF(C39="","",(VLOOKUP($B39,'[8]INSUMOS GENERALES'!$A$8:$D$144,4,0)))</f>
        <v/>
      </c>
      <c r="F39" s="282"/>
      <c r="G39" s="282"/>
      <c r="H39" s="31"/>
      <c r="I39" s="281" t="str">
        <f t="shared" si="5"/>
        <v/>
      </c>
    </row>
    <row r="40" spans="1:16" x14ac:dyDescent="0.25">
      <c r="A40" s="35" t="str">
        <f t="shared" si="6"/>
        <v/>
      </c>
      <c r="B40" s="290"/>
      <c r="C40" s="30"/>
      <c r="D40" s="31"/>
      <c r="E40" s="279"/>
      <c r="F40" s="282"/>
      <c r="G40" s="282"/>
      <c r="H40" s="31"/>
      <c r="I40" s="281">
        <f t="shared" si="5"/>
        <v>0</v>
      </c>
    </row>
    <row r="41" spans="1:16" ht="72" x14ac:dyDescent="0.25">
      <c r="A41" s="35"/>
      <c r="B41" s="27"/>
      <c r="C41" s="28" t="s">
        <v>745</v>
      </c>
      <c r="D41" s="282"/>
      <c r="E41" s="282"/>
      <c r="F41" s="282"/>
      <c r="G41" s="282"/>
      <c r="H41" s="282"/>
      <c r="I41" s="281">
        <v>9500000</v>
      </c>
    </row>
    <row r="42" spans="1:16" x14ac:dyDescent="0.25">
      <c r="A42" s="19">
        <v>6</v>
      </c>
      <c r="B42" s="378" t="s">
        <v>746</v>
      </c>
      <c r="C42" s="379"/>
      <c r="D42" s="379"/>
      <c r="E42" s="379"/>
      <c r="F42" s="379"/>
      <c r="G42" s="379"/>
      <c r="H42" s="380"/>
      <c r="I42" s="278">
        <f>IF(SUM(I43:I45)=0,0,SUM(I43:I45))</f>
        <v>6824054.3977410011</v>
      </c>
    </row>
    <row r="43" spans="1:16" ht="27" customHeight="1" x14ac:dyDescent="0.25">
      <c r="A43" s="35">
        <f>IF(C43="","",A42+0.1)</f>
        <v>6.1</v>
      </c>
      <c r="B43" s="27"/>
      <c r="C43" s="28" t="s">
        <v>747</v>
      </c>
      <c r="D43" s="27"/>
      <c r="E43" s="287"/>
      <c r="F43" s="282"/>
      <c r="G43" s="282"/>
      <c r="H43" s="31"/>
      <c r="I43" s="281">
        <f t="shared" si="5"/>
        <v>0</v>
      </c>
    </row>
    <row r="44" spans="1:16" ht="24" x14ac:dyDescent="0.25">
      <c r="A44" s="35">
        <f>IF(C44="","",A43+0.1)</f>
        <v>6.1999999999999993</v>
      </c>
      <c r="B44" s="27"/>
      <c r="C44" s="28" t="s">
        <v>748</v>
      </c>
      <c r="D44" s="282"/>
      <c r="E44" s="282"/>
      <c r="F44" s="282"/>
      <c r="G44" s="282"/>
      <c r="H44" s="282"/>
      <c r="I44" s="281">
        <f>[10]POLIZAS!G22</f>
        <v>6824054.3977410011</v>
      </c>
      <c r="O44" s="291">
        <v>184000000</v>
      </c>
      <c r="P44" s="291">
        <v>1600000</v>
      </c>
    </row>
    <row r="45" spans="1:16" x14ac:dyDescent="0.25">
      <c r="A45" s="35" t="str">
        <f t="shared" si="6"/>
        <v/>
      </c>
      <c r="B45" s="27"/>
      <c r="C45" s="30"/>
      <c r="D45" s="31"/>
      <c r="E45" s="287"/>
      <c r="F45" s="282"/>
      <c r="G45" s="282"/>
      <c r="H45" s="31"/>
      <c r="I45" s="281">
        <f>+IFERROR(D45*E45*H45,"")</f>
        <v>0</v>
      </c>
      <c r="O45" s="291">
        <v>850000000</v>
      </c>
      <c r="P45" s="191">
        <f>(O45*P44)/O44</f>
        <v>7391304.3478260869</v>
      </c>
    </row>
    <row r="46" spans="1:16" x14ac:dyDescent="0.25">
      <c r="A46" s="375" t="s">
        <v>490</v>
      </c>
      <c r="B46" s="376"/>
      <c r="C46" s="376"/>
      <c r="D46" s="376"/>
      <c r="E46" s="376"/>
      <c r="F46" s="376"/>
      <c r="G46" s="376"/>
      <c r="H46" s="377"/>
      <c r="I46" s="292">
        <f>IFERROR(IF(SUM(I31,I8)=0,"",ROUND(SUM(I31,I8),0)),"")</f>
        <v>645264135</v>
      </c>
    </row>
    <row r="47" spans="1:16" x14ac:dyDescent="0.25">
      <c r="A47" s="375" t="s">
        <v>409</v>
      </c>
      <c r="B47" s="376"/>
      <c r="C47" s="376"/>
      <c r="D47" s="376"/>
      <c r="E47" s="376"/>
      <c r="F47" s="376"/>
      <c r="G47" s="376"/>
      <c r="H47" s="293">
        <v>0.19</v>
      </c>
      <c r="I47" s="292">
        <f>+IFERROR(ROUND(I46*H47,0),"")</f>
        <v>122600186</v>
      </c>
    </row>
    <row r="48" spans="1:16" x14ac:dyDescent="0.25">
      <c r="A48" s="375" t="s">
        <v>491</v>
      </c>
      <c r="B48" s="376"/>
      <c r="C48" s="376"/>
      <c r="D48" s="376"/>
      <c r="E48" s="376"/>
      <c r="F48" s="376"/>
      <c r="G48" s="376"/>
      <c r="H48" s="377"/>
      <c r="I48" s="292">
        <f>IF(I46="","",SUM(I46:I47))</f>
        <v>767864321</v>
      </c>
    </row>
    <row r="49" spans="1:9" x14ac:dyDescent="0.25">
      <c r="A49" s="23"/>
      <c r="B49" s="23"/>
      <c r="C49" s="23"/>
      <c r="D49" s="23"/>
      <c r="E49" s="23"/>
      <c r="F49" s="23"/>
      <c r="G49" s="22"/>
      <c r="H49" s="22"/>
      <c r="I49" s="276"/>
    </row>
    <row r="50" spans="1:9" x14ac:dyDescent="0.25">
      <c r="A50" s="23"/>
      <c r="B50" s="23"/>
      <c r="C50" s="23"/>
      <c r="D50" s="23"/>
      <c r="E50" s="23"/>
      <c r="F50" s="23"/>
      <c r="G50" s="22"/>
      <c r="H50" s="22"/>
      <c r="I50" s="276"/>
    </row>
    <row r="51" spans="1:9" x14ac:dyDescent="0.25">
      <c r="A51" s="23"/>
      <c r="B51" s="23"/>
      <c r="C51" s="23"/>
      <c r="D51" s="23"/>
      <c r="E51" s="23"/>
      <c r="F51" s="23"/>
      <c r="G51" s="22"/>
      <c r="H51" s="22"/>
      <c r="I51" s="276"/>
    </row>
    <row r="52" spans="1:9" x14ac:dyDescent="0.25">
      <c r="A52" s="23"/>
      <c r="B52" s="23"/>
      <c r="C52" s="23"/>
      <c r="D52" s="23"/>
      <c r="E52" s="23"/>
      <c r="F52" s="23"/>
      <c r="G52" s="22"/>
      <c r="H52" s="22"/>
      <c r="I52" s="276"/>
    </row>
    <row r="53" spans="1:9" ht="15.75" thickBot="1" x14ac:dyDescent="0.3">
      <c r="A53" s="294"/>
      <c r="B53" s="22"/>
      <c r="C53" s="295"/>
      <c r="D53" s="22"/>
      <c r="E53" s="294"/>
      <c r="F53" s="294"/>
      <c r="G53" s="22"/>
      <c r="H53" s="22"/>
      <c r="I53" s="296"/>
    </row>
    <row r="54" spans="1:9" x14ac:dyDescent="0.25">
      <c r="A54" s="297"/>
      <c r="B54" s="298"/>
      <c r="C54" s="299" t="str">
        <f>+IF('[8]DATOS INICIALES'!$B$9="","",'[8]DATOS INICIALES'!$B$9)</f>
        <v xml:space="preserve">MARLON ASDRUBAL PEREZ HERRERA </v>
      </c>
      <c r="D54" s="300"/>
      <c r="E54" s="301"/>
      <c r="F54" s="301"/>
      <c r="G54" s="298"/>
      <c r="H54" s="298"/>
      <c r="I54" s="298"/>
    </row>
    <row r="55" spans="1:9" x14ac:dyDescent="0.25">
      <c r="A55" s="297"/>
      <c r="B55" s="298"/>
      <c r="C55" s="299" t="str">
        <f>+IF('[8]DATOS INICIALES'!$B$10="","",'[8]DATOS INICIALES'!$B$10)</f>
        <v>INGENIERO BANCO DE PROYECTOS</v>
      </c>
      <c r="D55" s="300"/>
      <c r="E55" s="301"/>
      <c r="F55" s="301"/>
      <c r="G55" s="298"/>
      <c r="H55" s="298"/>
      <c r="I55" s="298"/>
    </row>
    <row r="56" spans="1:9" ht="24" x14ac:dyDescent="0.25">
      <c r="A56" s="297"/>
      <c r="B56" s="298"/>
      <c r="C56" s="299" t="str">
        <f>+IF('[8]DATOS INICIALES'!$B$11="","",'[8]DATOS INICIALES'!$B$11)</f>
        <v>BANCO DE PROYECTOS - SECRETARIA DE PLANEACIÓN</v>
      </c>
      <c r="D56" s="300"/>
      <c r="E56" s="301"/>
      <c r="F56" s="301"/>
      <c r="G56" s="298"/>
      <c r="H56" s="298">
        <f>7831</f>
        <v>7831</v>
      </c>
      <c r="I56" s="302">
        <f>768/7831</f>
        <v>9.8071766057974713E-2</v>
      </c>
    </row>
    <row r="57" spans="1:9" x14ac:dyDescent="0.25">
      <c r="A57" s="23"/>
      <c r="B57" s="23"/>
      <c r="C57" s="299" t="str">
        <f>+IF('[8]DATOS INICIALES'!$B$12="","","M.P. "&amp;'[8]DATOS INICIALES'!$B$12)</f>
        <v>M.P. MAT No. 05202.354756ANT</v>
      </c>
      <c r="D57" s="23"/>
      <c r="E57" s="23"/>
      <c r="F57" s="23"/>
      <c r="G57" s="22"/>
      <c r="H57" s="22"/>
      <c r="I57" s="276"/>
    </row>
  </sheetData>
  <protectedRanges>
    <protectedRange sqref="C10:D16 G10:G16 H11:H16 C18:D20 G18:H20 C28:C29 D26:E29 H26:H29 C33:D34 E35 C36:D40 H33:H40 E43 H43 C45:E45 H45" name="Editables"/>
  </protectedRanges>
  <mergeCells count="18">
    <mergeCell ref="A5:I5"/>
    <mergeCell ref="A1:F1"/>
    <mergeCell ref="G1:I2"/>
    <mergeCell ref="A2:F2"/>
    <mergeCell ref="A3:F3"/>
    <mergeCell ref="G3:I3"/>
    <mergeCell ref="A48:H48"/>
    <mergeCell ref="B8:H8"/>
    <mergeCell ref="B9:H9"/>
    <mergeCell ref="B17:H17"/>
    <mergeCell ref="B21:I21"/>
    <mergeCell ref="B25:H25"/>
    <mergeCell ref="B30:H30"/>
    <mergeCell ref="B31:H31"/>
    <mergeCell ref="B32:H32"/>
    <mergeCell ref="B42:H42"/>
    <mergeCell ref="A46:H46"/>
    <mergeCell ref="A47:G47"/>
  </mergeCells>
  <dataValidations count="2">
    <dataValidation type="list" allowBlank="1" showInputMessage="1" showErrorMessage="1" sqref="B26:B29" xr:uid="{90DFF601-E488-48DC-AD3B-141CE6E36DA4}">
      <formula1>CÓDIGOS_MANO_DE_OBRA</formula1>
    </dataValidation>
    <dataValidation type="list" allowBlank="1" showInputMessage="1" showErrorMessage="1" sqref="B43:B45" xr:uid="{191031CF-6860-4793-A5EE-C5ACA8285412}">
      <formula1>CÓDIGOS_SERVICIOS</formula1>
    </dataValidation>
  </dataValidations>
  <pageMargins left="0.7" right="0.7" top="0.75" bottom="0.75" header="0.3" footer="0.3"/>
  <pageSetup scale="70" orientation="portrait" r:id="rId1"/>
  <rowBreaks count="1" manualBreakCount="1">
    <brk id="29"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7E5BEE-0C06-4DF0-82C9-DC58E0C3153A}">
  <dimension ref="A1:G41"/>
  <sheetViews>
    <sheetView view="pageBreakPreview" zoomScale="70" zoomScaleNormal="60" zoomScaleSheetLayoutView="70" workbookViewId="0">
      <selection activeCell="F38" sqref="F38"/>
    </sheetView>
  </sheetViews>
  <sheetFormatPr baseColWidth="10" defaultRowHeight="15" x14ac:dyDescent="0.25"/>
  <cols>
    <col min="2" max="2" width="58.42578125" bestFit="1" customWidth="1"/>
  </cols>
  <sheetData>
    <row r="1" spans="1:7" ht="26.25" x14ac:dyDescent="0.25">
      <c r="A1" s="396" t="s">
        <v>0</v>
      </c>
      <c r="B1" s="396"/>
      <c r="C1" s="397"/>
      <c r="D1" s="397"/>
      <c r="E1" s="397"/>
      <c r="F1" s="397"/>
      <c r="G1" s="397"/>
    </row>
    <row r="2" spans="1:7" ht="21" customHeight="1" x14ac:dyDescent="0.25">
      <c r="A2" s="390" t="str">
        <f>+IF('[11]DATOS INICIALES'!$B$7="","",'[11]DATOS INICIALES'!$B$7)</f>
        <v>MUNICIPIO DE DABEIBA</v>
      </c>
      <c r="B2" s="390"/>
      <c r="C2" s="397"/>
      <c r="D2" s="397"/>
      <c r="E2" s="397"/>
      <c r="F2" s="397"/>
      <c r="G2" s="397"/>
    </row>
    <row r="3" spans="1:7" ht="15.6" customHeight="1" x14ac:dyDescent="0.25">
      <c r="A3" s="391" t="str">
        <f>+"PROYECTO: "&amp;'[11]DATOS INICIALES'!$B$8</f>
        <v>PROYECTO: MEJORAMIENTO DE LA RED VIAL TERCIARIA EN LA VEREDA EL PITAL DEL MUNICIPIO DE DABEIBA, DEPARTAMENTO DE ANTIOQUIA”</v>
      </c>
      <c r="B3" s="391"/>
      <c r="C3" s="398" t="s">
        <v>733</v>
      </c>
      <c r="D3" s="398"/>
      <c r="E3" s="398"/>
      <c r="F3" s="398"/>
      <c r="G3" s="398"/>
    </row>
    <row r="4" spans="1:7" x14ac:dyDescent="0.25">
      <c r="A4" s="17"/>
      <c r="B4" s="4"/>
      <c r="C4" s="4"/>
      <c r="D4" s="4"/>
      <c r="E4" s="4"/>
      <c r="F4" s="4"/>
      <c r="G4" s="4"/>
    </row>
    <row r="5" spans="1:7" x14ac:dyDescent="0.25">
      <c r="A5" s="399" t="s">
        <v>458</v>
      </c>
      <c r="B5" s="399"/>
      <c r="C5" s="399"/>
      <c r="D5" s="399"/>
      <c r="E5" s="399"/>
      <c r="F5" s="399"/>
      <c r="G5" s="399"/>
    </row>
    <row r="6" spans="1:7" x14ac:dyDescent="0.25">
      <c r="A6" s="17"/>
      <c r="B6" s="17"/>
      <c r="C6" s="17"/>
      <c r="D6" s="17"/>
      <c r="E6" s="17"/>
      <c r="F6" s="17"/>
      <c r="G6" s="303"/>
    </row>
    <row r="7" spans="1:7" x14ac:dyDescent="0.25">
      <c r="A7" s="79">
        <v>1</v>
      </c>
      <c r="B7" s="162" t="s">
        <v>457</v>
      </c>
      <c r="C7" s="162"/>
      <c r="D7" s="162"/>
      <c r="E7" s="162"/>
      <c r="F7" s="162"/>
      <c r="G7" s="163">
        <f>SUM(G8)</f>
        <v>1</v>
      </c>
    </row>
    <row r="8" spans="1:7" x14ac:dyDescent="0.25">
      <c r="A8" s="153">
        <v>1.1000000000000001</v>
      </c>
      <c r="B8" s="55" t="s">
        <v>457</v>
      </c>
      <c r="C8" s="39"/>
      <c r="D8" s="39"/>
      <c r="E8" s="39"/>
      <c r="F8" s="39"/>
      <c r="G8" s="164">
        <v>1</v>
      </c>
    </row>
    <row r="9" spans="1:7" x14ac:dyDescent="0.25">
      <c r="A9" s="79">
        <v>2</v>
      </c>
      <c r="B9" s="162" t="s">
        <v>459</v>
      </c>
      <c r="C9" s="162"/>
      <c r="D9" s="162"/>
      <c r="E9" s="162"/>
      <c r="F9" s="162"/>
      <c r="G9" s="163">
        <f>SUM(G10:G22)</f>
        <v>0.5959000000000001</v>
      </c>
    </row>
    <row r="10" spans="1:7" x14ac:dyDescent="0.25">
      <c r="A10" s="153">
        <v>2.1</v>
      </c>
      <c r="B10" s="55" t="s">
        <v>460</v>
      </c>
      <c r="C10" s="39" t="str">
        <f>+IFERROR(VLOOKUP(#REF!,INSUMOS_MANO_DE_OBRA,4,0),"")</f>
        <v/>
      </c>
      <c r="D10" s="39"/>
      <c r="E10" s="39"/>
      <c r="F10" s="39" t="str">
        <f>+IFERROR(ROUND((VLOOKUP(#REF!,INSUMOS_MANO_DE_OBRA,5,0)-1)*C10,0),"")</f>
        <v/>
      </c>
      <c r="G10" s="164">
        <v>8.3299999999999999E-2</v>
      </c>
    </row>
    <row r="11" spans="1:7" x14ac:dyDescent="0.25">
      <c r="A11" s="153">
        <v>2.2000000000000002</v>
      </c>
      <c r="B11" s="55" t="s">
        <v>461</v>
      </c>
      <c r="C11" s="39"/>
      <c r="D11" s="39"/>
      <c r="E11" s="39"/>
      <c r="F11" s="39"/>
      <c r="G11" s="164">
        <v>8.3299999999999999E-2</v>
      </c>
    </row>
    <row r="12" spans="1:7" x14ac:dyDescent="0.25">
      <c r="A12" s="153">
        <v>2.2999999999999998</v>
      </c>
      <c r="B12" s="55" t="s">
        <v>462</v>
      </c>
      <c r="C12" s="39"/>
      <c r="D12" s="39"/>
      <c r="E12" s="39"/>
      <c r="F12" s="39"/>
      <c r="G12" s="164">
        <v>0.01</v>
      </c>
    </row>
    <row r="13" spans="1:7" x14ac:dyDescent="0.25">
      <c r="A13" s="153">
        <v>2.4</v>
      </c>
      <c r="B13" s="55" t="s">
        <v>463</v>
      </c>
      <c r="C13" s="39"/>
      <c r="D13" s="39"/>
      <c r="E13" s="39"/>
      <c r="F13" s="39"/>
      <c r="G13" s="164">
        <v>4.1700000000000001E-2</v>
      </c>
    </row>
    <row r="14" spans="1:7" x14ac:dyDescent="0.25">
      <c r="A14" s="153">
        <v>2.5</v>
      </c>
      <c r="B14" s="55" t="s">
        <v>464</v>
      </c>
      <c r="C14" s="39"/>
      <c r="D14" s="39"/>
      <c r="E14" s="39"/>
      <c r="F14" s="39"/>
      <c r="G14" s="164">
        <f>+IF('[11]DATOS INICIALES'!$B$17="SI",0,8.5%)</f>
        <v>8.5000000000000006E-2</v>
      </c>
    </row>
    <row r="15" spans="1:7" x14ac:dyDescent="0.25">
      <c r="A15" s="153">
        <v>2.6</v>
      </c>
      <c r="B15" s="55" t="s">
        <v>465</v>
      </c>
      <c r="C15" s="39"/>
      <c r="D15" s="39"/>
      <c r="E15" s="39"/>
      <c r="F15" s="39"/>
      <c r="G15" s="164">
        <v>0.12</v>
      </c>
    </row>
    <row r="16" spans="1:7" x14ac:dyDescent="0.25">
      <c r="A16" s="153">
        <v>2.7</v>
      </c>
      <c r="B16" s="55" t="s">
        <v>466</v>
      </c>
      <c r="C16" s="39"/>
      <c r="D16" s="39"/>
      <c r="E16" s="39"/>
      <c r="F16" s="39"/>
      <c r="G16" s="164">
        <f>+IF('[11]DATOS INICIALES'!$B$17="SI",0,2%)</f>
        <v>0.02</v>
      </c>
    </row>
    <row r="17" spans="1:7" x14ac:dyDescent="0.25">
      <c r="A17" s="153">
        <v>2.8</v>
      </c>
      <c r="B17" s="55" t="s">
        <v>467</v>
      </c>
      <c r="C17" s="39"/>
      <c r="D17" s="39"/>
      <c r="E17" s="39"/>
      <c r="F17" s="39"/>
      <c r="G17" s="164">
        <f>+IF('[11]DATOS INICIALES'!$B$17="SI",0,3%)</f>
        <v>0.03</v>
      </c>
    </row>
    <row r="18" spans="1:7" x14ac:dyDescent="0.25">
      <c r="A18" s="153">
        <v>2.9</v>
      </c>
      <c r="B18" s="55" t="s">
        <v>468</v>
      </c>
      <c r="C18" s="39"/>
      <c r="D18" s="39"/>
      <c r="E18" s="39"/>
      <c r="F18" s="39"/>
      <c r="G18" s="164">
        <v>0.04</v>
      </c>
    </row>
    <row r="19" spans="1:7" x14ac:dyDescent="0.25">
      <c r="A19" s="172">
        <v>2.1</v>
      </c>
      <c r="B19" s="55" t="s">
        <v>469</v>
      </c>
      <c r="C19" s="39"/>
      <c r="D19" s="39"/>
      <c r="E19" s="39"/>
      <c r="F19" s="39"/>
      <c r="G19" s="164">
        <v>6.9599999999999995E-2</v>
      </c>
    </row>
    <row r="20" spans="1:7" x14ac:dyDescent="0.25">
      <c r="A20" s="172">
        <v>2.11</v>
      </c>
      <c r="B20" s="55" t="s">
        <v>470</v>
      </c>
      <c r="C20" s="39"/>
      <c r="D20" s="39"/>
      <c r="E20" s="39"/>
      <c r="F20" s="39"/>
      <c r="G20" s="304">
        <v>5.0000000000000001E-3</v>
      </c>
    </row>
    <row r="21" spans="1:7" x14ac:dyDescent="0.25">
      <c r="A21" s="172">
        <v>2.12</v>
      </c>
      <c r="B21" s="55" t="s">
        <v>471</v>
      </c>
      <c r="C21" s="39"/>
      <c r="D21" s="39"/>
      <c r="E21" s="39"/>
      <c r="F21" s="39"/>
      <c r="G21" s="304">
        <v>5.0000000000000001E-3</v>
      </c>
    </row>
    <row r="22" spans="1:7" x14ac:dyDescent="0.25">
      <c r="A22" s="172">
        <v>2.13</v>
      </c>
      <c r="B22" s="55" t="s">
        <v>472</v>
      </c>
      <c r="C22" s="39"/>
      <c r="D22" s="39"/>
      <c r="E22" s="39"/>
      <c r="F22" s="39"/>
      <c r="G22" s="304">
        <v>3.0000000000000001E-3</v>
      </c>
    </row>
    <row r="23" spans="1:7" ht="36" x14ac:dyDescent="0.25">
      <c r="A23" s="79">
        <v>3</v>
      </c>
      <c r="B23" s="162" t="s">
        <v>473</v>
      </c>
      <c r="C23" s="305" t="s">
        <v>749</v>
      </c>
      <c r="D23" s="305" t="s">
        <v>750</v>
      </c>
      <c r="E23" s="305" t="s">
        <v>751</v>
      </c>
      <c r="F23" s="305" t="s">
        <v>752</v>
      </c>
      <c r="G23" s="163">
        <f>SUM(G24:G28)</f>
        <v>0.34783676225357302</v>
      </c>
    </row>
    <row r="24" spans="1:7" ht="84" x14ac:dyDescent="0.25">
      <c r="A24" s="153">
        <v>3.1</v>
      </c>
      <c r="B24" s="30" t="s">
        <v>753</v>
      </c>
      <c r="C24" s="32">
        <v>800000</v>
      </c>
      <c r="D24" s="306">
        <v>1</v>
      </c>
      <c r="E24" s="166">
        <v>12</v>
      </c>
      <c r="F24" s="39">
        <f>+IFERROR(C24*D24*E24,"")</f>
        <v>9600000</v>
      </c>
      <c r="G24" s="164">
        <f>+IFERROR(F24/[11]INTERVENTORÍA!$I$22,"")</f>
        <v>0.13640657343277374</v>
      </c>
    </row>
    <row r="25" spans="1:7" ht="24" x14ac:dyDescent="0.25">
      <c r="A25" s="153">
        <v>3.2</v>
      </c>
      <c r="B25" s="30" t="s">
        <v>474</v>
      </c>
      <c r="C25" s="32">
        <v>200000</v>
      </c>
      <c r="D25" s="306">
        <v>0.2</v>
      </c>
      <c r="E25" s="166">
        <v>12</v>
      </c>
      <c r="F25" s="39">
        <f>+IFERROR(C25*D25*E25,"")</f>
        <v>480000</v>
      </c>
      <c r="G25" s="164">
        <f>+IFERROR(F25/[11]INTERVENTORÍA!$I$22,"")</f>
        <v>6.8203286716386861E-3</v>
      </c>
    </row>
    <row r="26" spans="1:7" ht="24" x14ac:dyDescent="0.25">
      <c r="A26" s="153">
        <v>3.3</v>
      </c>
      <c r="B26" s="30" t="s">
        <v>475</v>
      </c>
      <c r="C26" s="32">
        <v>1000000</v>
      </c>
      <c r="D26" s="29">
        <v>0.2</v>
      </c>
      <c r="E26" s="166">
        <v>12</v>
      </c>
      <c r="F26" s="39">
        <f>+IFERROR(C26*D26*E26,"")</f>
        <v>2400000</v>
      </c>
      <c r="G26" s="164">
        <f>+IFERROR(F26/[11]INTERVENTORÍA!$I$22,"")</f>
        <v>3.4101643358193434E-2</v>
      </c>
    </row>
    <row r="27" spans="1:7" ht="36" x14ac:dyDescent="0.25">
      <c r="A27" s="153">
        <v>3.4</v>
      </c>
      <c r="B27" s="30" t="s">
        <v>476</v>
      </c>
      <c r="C27" s="32">
        <v>3000000</v>
      </c>
      <c r="D27" s="29">
        <v>0.2</v>
      </c>
      <c r="E27" s="166">
        <v>12</v>
      </c>
      <c r="F27" s="39">
        <f>+IFERROR(C27*D27*E27,"")</f>
        <v>7200000</v>
      </c>
      <c r="G27" s="164">
        <f>+IFERROR(F27/[11]INTERVENTORÍA!$I$22,"")</f>
        <v>0.10230493007458029</v>
      </c>
    </row>
    <row r="28" spans="1:7" x14ac:dyDescent="0.25">
      <c r="A28" s="153">
        <v>3.5</v>
      </c>
      <c r="B28" s="30" t="s">
        <v>477</v>
      </c>
      <c r="C28" s="32">
        <v>2000000</v>
      </c>
      <c r="D28" s="29">
        <v>0.2</v>
      </c>
      <c r="E28" s="166">
        <v>12</v>
      </c>
      <c r="F28" s="39">
        <f>+IFERROR(C28*D28*E28,"")</f>
        <v>4800000</v>
      </c>
      <c r="G28" s="164">
        <f>+IFERROR(F28/[11]INTERVENTORÍA!$I$22,"")</f>
        <v>6.8203286716386868E-2</v>
      </c>
    </row>
    <row r="29" spans="1:7" x14ac:dyDescent="0.25">
      <c r="A29" s="79">
        <v>4</v>
      </c>
      <c r="B29" s="162" t="s">
        <v>478</v>
      </c>
      <c r="C29" s="305"/>
      <c r="D29" s="305"/>
      <c r="E29" s="305"/>
      <c r="F29" s="305"/>
      <c r="G29" s="163">
        <f>SUM(G30:G30)</f>
        <v>0.25180000000000002</v>
      </c>
    </row>
    <row r="30" spans="1:7" x14ac:dyDescent="0.25">
      <c r="A30" s="153">
        <v>4.2</v>
      </c>
      <c r="B30" s="55" t="s">
        <v>754</v>
      </c>
      <c r="C30" s="170"/>
      <c r="D30" s="170"/>
      <c r="E30" s="170"/>
      <c r="F30" s="170"/>
      <c r="G30" s="164">
        <f>'[10]TASAS INTERV'!D22</f>
        <v>0.25180000000000002</v>
      </c>
    </row>
    <row r="31" spans="1:7" x14ac:dyDescent="0.25">
      <c r="A31" s="79">
        <v>5</v>
      </c>
      <c r="B31" s="162" t="s">
        <v>480</v>
      </c>
      <c r="C31" s="165"/>
      <c r="D31" s="165"/>
      <c r="E31" s="165"/>
      <c r="F31" s="165"/>
      <c r="G31" s="163">
        <f>SUM(G32)</f>
        <v>0.17564294098028582</v>
      </c>
    </row>
    <row r="32" spans="1:7" x14ac:dyDescent="0.25">
      <c r="A32" s="153">
        <v>5.0999999999999996</v>
      </c>
      <c r="B32" s="55" t="s">
        <v>480</v>
      </c>
      <c r="C32" s="39"/>
      <c r="D32" s="39"/>
      <c r="E32" s="39"/>
      <c r="F32" s="306">
        <v>0.08</v>
      </c>
      <c r="G32" s="167">
        <f>+IFERROR(F32*(G29+G23+G9+G7),"")</f>
        <v>0.17564294098028582</v>
      </c>
    </row>
    <row r="33" spans="1:7" x14ac:dyDescent="0.25">
      <c r="A33" s="394" t="s">
        <v>57</v>
      </c>
      <c r="B33" s="395"/>
      <c r="C33" s="395"/>
      <c r="D33" s="395"/>
      <c r="E33" s="395"/>
      <c r="F33" s="395"/>
      <c r="G33" s="168">
        <f>IFERROR(SUM(G31,G29,G23,G9,G7),"")</f>
        <v>2.3711797032338588</v>
      </c>
    </row>
    <row r="34" spans="1:7" x14ac:dyDescent="0.25">
      <c r="A34" s="394" t="s">
        <v>481</v>
      </c>
      <c r="B34" s="395"/>
      <c r="C34" s="395"/>
      <c r="D34" s="395"/>
      <c r="E34" s="395"/>
      <c r="F34" s="395"/>
      <c r="G34" s="169">
        <f>+IFERROR(ROUND(G33,2),"")</f>
        <v>2.37</v>
      </c>
    </row>
    <row r="35" spans="1:7" x14ac:dyDescent="0.25">
      <c r="A35" s="17"/>
      <c r="B35" s="17"/>
      <c r="C35" s="17"/>
      <c r="D35" s="17"/>
      <c r="E35" s="17"/>
      <c r="F35" s="17"/>
      <c r="G35" s="303"/>
    </row>
    <row r="36" spans="1:7" x14ac:dyDescent="0.25">
      <c r="A36" s="17"/>
      <c r="B36" s="17"/>
      <c r="C36" s="17"/>
      <c r="D36" s="17"/>
      <c r="E36" s="17"/>
      <c r="F36" s="17"/>
      <c r="G36" s="303"/>
    </row>
    <row r="37" spans="1:7" ht="15.75" thickBot="1" x14ac:dyDescent="0.3">
      <c r="A37" s="17"/>
      <c r="B37" s="307"/>
      <c r="C37" s="17"/>
      <c r="D37" s="17"/>
      <c r="E37" s="17"/>
      <c r="F37" s="17"/>
      <c r="G37" s="303"/>
    </row>
    <row r="38" spans="1:7" x14ac:dyDescent="0.25">
      <c r="A38" s="308"/>
      <c r="B38" s="309" t="str">
        <f>+IF('[11]DATOS INICIALES'!$B$9="","",'[11]DATOS INICIALES'!$B$9)</f>
        <v xml:space="preserve">MARLON ASDRUBAL PEREZ HERRERA </v>
      </c>
      <c r="C38" s="308"/>
      <c r="D38" s="308"/>
      <c r="E38" s="308"/>
      <c r="F38" s="308"/>
      <c r="G38" s="4"/>
    </row>
    <row r="39" spans="1:7" x14ac:dyDescent="0.25">
      <c r="A39" s="297"/>
      <c r="B39" s="309" t="str">
        <f>+IF('[11]DATOS INICIALES'!$B$10="","",'[11]DATOS INICIALES'!$B$10)</f>
        <v>INGENIERO BANCO DE PROYECTOS</v>
      </c>
      <c r="C39" s="310"/>
      <c r="D39" s="310"/>
      <c r="E39" s="310"/>
      <c r="F39" s="310"/>
      <c r="G39" s="86"/>
    </row>
    <row r="40" spans="1:7" x14ac:dyDescent="0.25">
      <c r="A40" s="297"/>
      <c r="B40" s="309" t="str">
        <f>+IF('[11]DATOS INICIALES'!$B$11="","",'[11]DATOS INICIALES'!$B$11)</f>
        <v>BANCO DE PROYECTOS - SECRETARIA DE PLANEACIÓN</v>
      </c>
      <c r="C40" s="310"/>
      <c r="D40" s="310"/>
      <c r="E40" s="310"/>
      <c r="F40" s="310"/>
      <c r="G40" s="86"/>
    </row>
    <row r="41" spans="1:7" x14ac:dyDescent="0.25">
      <c r="A41" s="297"/>
      <c r="B41" s="309" t="str">
        <f>+IF('[11]DATOS INICIALES'!$B$12="","","M.P. "&amp;'[11]DATOS INICIALES'!$B$12)</f>
        <v>M.P. MAT No. 05202.354756ANT</v>
      </c>
      <c r="C41" s="310"/>
      <c r="D41" s="310"/>
      <c r="E41" s="310"/>
      <c r="F41" s="310"/>
      <c r="G41" s="86"/>
    </row>
  </sheetData>
  <protectedRanges>
    <protectedRange sqref="C24:D28" name="CD3_1"/>
    <protectedRange sqref="G20:G22 F32" name="Rango1_1"/>
  </protectedRanges>
  <mergeCells count="8">
    <mergeCell ref="A33:F33"/>
    <mergeCell ref="A34:F34"/>
    <mergeCell ref="A1:B1"/>
    <mergeCell ref="C1:G2"/>
    <mergeCell ref="A2:B2"/>
    <mergeCell ref="A3:B3"/>
    <mergeCell ref="C3:G3"/>
    <mergeCell ref="A5:G5"/>
  </mergeCells>
  <pageMargins left="0.7" right="0.7" top="0.75" bottom="0.75" header="0.3" footer="0.3"/>
  <pageSetup scale="7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7B6F3B-E1C8-4D6E-9343-0A8AD1CD5CAD}">
  <dimension ref="A1:G22"/>
  <sheetViews>
    <sheetView topLeftCell="A4" workbookViewId="0">
      <selection activeCell="G21" sqref="G21"/>
    </sheetView>
  </sheetViews>
  <sheetFormatPr baseColWidth="10" defaultRowHeight="15" x14ac:dyDescent="0.25"/>
  <cols>
    <col min="1" max="1" width="22.42578125" customWidth="1"/>
    <col min="2" max="2" width="53.28515625" customWidth="1"/>
    <col min="3" max="3" width="15.42578125" customWidth="1"/>
    <col min="4" max="4" width="15.28515625" customWidth="1"/>
  </cols>
  <sheetData>
    <row r="1" spans="1:7" ht="18.75" x14ac:dyDescent="0.25">
      <c r="A1" s="412" t="s">
        <v>0</v>
      </c>
      <c r="B1" s="413"/>
      <c r="C1" s="413"/>
      <c r="D1" s="413"/>
      <c r="E1" s="413"/>
      <c r="F1" s="414" t="s">
        <v>53</v>
      </c>
      <c r="G1" s="415"/>
    </row>
    <row r="2" spans="1:7" ht="15.75" x14ac:dyDescent="0.25">
      <c r="A2" s="418" t="str">
        <f>+IF('[11]DATOS INICIALES'!$B$7="","",'[11]DATOS INICIALES'!$B$7)</f>
        <v>MUNICIPIO DE DABEIBA</v>
      </c>
      <c r="B2" s="419"/>
      <c r="C2" s="419"/>
      <c r="D2" s="419"/>
      <c r="E2" s="419"/>
      <c r="F2" s="416"/>
      <c r="G2" s="417"/>
    </row>
    <row r="3" spans="1:7" x14ac:dyDescent="0.25">
      <c r="A3" s="420" t="str">
        <f>+"PROYECTO: "&amp;'[11]DATOS INICIALES'!$B$8</f>
        <v>PROYECTO: MEJORAMIENTO DE LA RED VIAL TERCIARIA EN LA VEREDA EL PITAL DEL MUNICIPIO DE DABEIBA, DEPARTAMENTO DE ANTIOQUIA”</v>
      </c>
      <c r="B3" s="421"/>
      <c r="C3" s="421"/>
      <c r="D3" s="421"/>
      <c r="E3" s="421"/>
      <c r="F3" s="422" t="s">
        <v>733</v>
      </c>
      <c r="G3" s="422"/>
    </row>
    <row r="4" spans="1:7" x14ac:dyDescent="0.25">
      <c r="A4" s="22"/>
      <c r="B4" s="22"/>
      <c r="C4" s="22"/>
      <c r="D4" s="22"/>
      <c r="E4" s="22"/>
      <c r="F4" s="22"/>
      <c r="G4" s="22"/>
    </row>
    <row r="5" spans="1:7" x14ac:dyDescent="0.25">
      <c r="A5" s="423" t="s">
        <v>780</v>
      </c>
      <c r="B5" s="423"/>
      <c r="C5" s="423"/>
      <c r="D5" s="423"/>
      <c r="E5" s="423"/>
      <c r="F5" s="423"/>
      <c r="G5" s="423"/>
    </row>
    <row r="6" spans="1:7" x14ac:dyDescent="0.25">
      <c r="A6" s="23"/>
      <c r="B6" s="23"/>
      <c r="C6" s="23"/>
      <c r="D6" s="23"/>
      <c r="E6" s="4"/>
      <c r="F6" s="4"/>
      <c r="G6" s="24"/>
    </row>
    <row r="7" spans="1:7" ht="25.5" x14ac:dyDescent="0.25">
      <c r="A7" s="124" t="s">
        <v>387</v>
      </c>
      <c r="B7" s="125">
        <f>[10]INTERV!I48</f>
        <v>767864321</v>
      </c>
      <c r="C7" s="407">
        <f>+IFERROR(B7/'[11]DATOS INICIALES'!$B$14,"")</f>
        <v>539.41996557780124</v>
      </c>
      <c r="D7" s="408"/>
      <c r="E7" s="4"/>
      <c r="F7" s="4"/>
      <c r="G7" s="24"/>
    </row>
    <row r="8" spans="1:7" x14ac:dyDescent="0.25">
      <c r="A8" s="124" t="s">
        <v>388</v>
      </c>
      <c r="B8" s="126">
        <v>12</v>
      </c>
      <c r="C8" s="409">
        <f>+IFERROR(B8*30,"")</f>
        <v>360</v>
      </c>
      <c r="D8" s="409"/>
      <c r="E8" s="4"/>
      <c r="F8" s="4"/>
      <c r="G8" s="24"/>
    </row>
    <row r="9" spans="1:7" x14ac:dyDescent="0.25">
      <c r="A9" s="124" t="s">
        <v>389</v>
      </c>
      <c r="B9" s="127">
        <v>0</v>
      </c>
      <c r="C9" s="410">
        <f>+IFERROR(B9*B7,"")</f>
        <v>0</v>
      </c>
      <c r="D9" s="410"/>
      <c r="E9" s="4"/>
      <c r="F9" s="4"/>
      <c r="G9" s="24"/>
    </row>
    <row r="10" spans="1:7" x14ac:dyDescent="0.25">
      <c r="A10" s="337"/>
      <c r="B10" s="294"/>
      <c r="C10" s="294"/>
      <c r="D10" s="23"/>
      <c r="E10" s="4"/>
      <c r="F10" s="4"/>
      <c r="G10" s="24"/>
    </row>
    <row r="11" spans="1:7" x14ac:dyDescent="0.25">
      <c r="A11" s="401" t="s">
        <v>390</v>
      </c>
      <c r="B11" s="401" t="s">
        <v>391</v>
      </c>
      <c r="C11" s="401"/>
      <c r="D11" s="401"/>
      <c r="E11" s="401" t="s">
        <v>392</v>
      </c>
      <c r="F11" s="401" t="s">
        <v>393</v>
      </c>
      <c r="G11" s="402" t="s">
        <v>394</v>
      </c>
    </row>
    <row r="12" spans="1:7" x14ac:dyDescent="0.25">
      <c r="A12" s="401"/>
      <c r="B12" s="36" t="s">
        <v>65</v>
      </c>
      <c r="C12" s="36" t="s">
        <v>395</v>
      </c>
      <c r="D12" s="36" t="s">
        <v>396</v>
      </c>
      <c r="E12" s="411"/>
      <c r="F12" s="401"/>
      <c r="G12" s="402"/>
    </row>
    <row r="13" spans="1:7" x14ac:dyDescent="0.25">
      <c r="A13" s="128" t="s">
        <v>397</v>
      </c>
      <c r="B13" s="131">
        <v>0.2</v>
      </c>
      <c r="C13" s="125">
        <f>+$B$7</f>
        <v>767864321</v>
      </c>
      <c r="D13" s="125">
        <f>+IFERROR(B13*C13,"")</f>
        <v>153572864.20000002</v>
      </c>
      <c r="E13" s="338">
        <f>+IFERROR($C$8+180,"")</f>
        <v>540</v>
      </c>
      <c r="F13" s="132">
        <v>3.0000000000000001E-3</v>
      </c>
      <c r="G13" s="339">
        <f>+IFERROR(F13*D13*E13/360,"")</f>
        <v>691077.88890000014</v>
      </c>
    </row>
    <row r="14" spans="1:7" ht="38.25" x14ac:dyDescent="0.25">
      <c r="A14" s="128" t="s">
        <v>398</v>
      </c>
      <c r="B14" s="131"/>
      <c r="C14" s="125">
        <f>+$C$9</f>
        <v>0</v>
      </c>
      <c r="D14" s="125">
        <f>+IFERROR(B14*C14,"")</f>
        <v>0</v>
      </c>
      <c r="E14" s="338">
        <f>+IFERROR($C$8+180,"")</f>
        <v>540</v>
      </c>
      <c r="F14" s="132">
        <v>3.0000000000000001E-3</v>
      </c>
      <c r="G14" s="339">
        <f>+IFERROR(F14*D14*E14/360,"")</f>
        <v>0</v>
      </c>
    </row>
    <row r="15" spans="1:7" ht="25.5" x14ac:dyDescent="0.25">
      <c r="A15" s="128" t="s">
        <v>399</v>
      </c>
      <c r="B15" s="131">
        <v>0.2</v>
      </c>
      <c r="C15" s="125">
        <f>+$B$7</f>
        <v>767864321</v>
      </c>
      <c r="D15" s="125">
        <f>+IFERROR(B15*C15,"")</f>
        <v>153572864.20000002</v>
      </c>
      <c r="E15" s="338">
        <f>+IFERROR($C$8+1080,"")</f>
        <v>1440</v>
      </c>
      <c r="F15" s="132">
        <v>2.5000000000000001E-3</v>
      </c>
      <c r="G15" s="339">
        <f>+IFERROR(F15*D15*E15/360,"")</f>
        <v>1535728.6420000005</v>
      </c>
    </row>
    <row r="16" spans="1:7" x14ac:dyDescent="0.25">
      <c r="A16" s="128" t="s">
        <v>401</v>
      </c>
      <c r="B16" s="131">
        <v>0.2</v>
      </c>
      <c r="C16" s="125">
        <f>+$B$7</f>
        <v>767864321</v>
      </c>
      <c r="D16" s="125">
        <f>+IFERROR(B16*C16,"")</f>
        <v>153572864.20000002</v>
      </c>
      <c r="E16" s="338">
        <f>+IF($B$7="","",1800)</f>
        <v>1800</v>
      </c>
      <c r="F16" s="132">
        <v>3.0000000000000001E-3</v>
      </c>
      <c r="G16" s="339">
        <f>+IFERROR(F16*D16*E16/360,"")</f>
        <v>2303592.9630000005</v>
      </c>
    </row>
    <row r="17" spans="1:7" ht="25.5" x14ac:dyDescent="0.25">
      <c r="A17" s="129" t="s">
        <v>402</v>
      </c>
      <c r="B17" s="133" t="s">
        <v>403</v>
      </c>
      <c r="C17" s="403" t="s">
        <v>404</v>
      </c>
      <c r="D17" s="404"/>
      <c r="E17" s="134" t="s">
        <v>405</v>
      </c>
      <c r="F17" s="133" t="s">
        <v>406</v>
      </c>
      <c r="G17" s="135" t="s">
        <v>394</v>
      </c>
    </row>
    <row r="18" spans="1:7" x14ac:dyDescent="0.25">
      <c r="A18" s="130">
        <f>+IF('[11]DATOS INICIALES'!$B$29="NO","",IF(B7="","",IF(C7&lt;=1500,200,IF(C7&lt;=2500,300,IF(C7&lt;=5000,400,IF(C7&lt;=10000,500,"5%"))))))</f>
        <v>200</v>
      </c>
      <c r="B18" s="340">
        <f>+'[11]DATOS INICIALES'!$B$14</f>
        <v>1423500</v>
      </c>
      <c r="C18" s="405">
        <f>+IFERROR(IF(C7&gt;10000,C7+5%,A18*B18),"")</f>
        <v>284700000</v>
      </c>
      <c r="D18" s="406"/>
      <c r="E18" s="341">
        <f>+$B$8</f>
        <v>12</v>
      </c>
      <c r="F18" s="342">
        <v>3.0000000000000001E-3</v>
      </c>
      <c r="G18" s="339">
        <f>+IFERROR(F18*E18*C18/12,"")</f>
        <v>854100.00000000012</v>
      </c>
    </row>
    <row r="19" spans="1:7" x14ac:dyDescent="0.25">
      <c r="A19" s="400" t="s">
        <v>407</v>
      </c>
      <c r="B19" s="400"/>
      <c r="C19" s="400"/>
      <c r="D19" s="400"/>
      <c r="E19" s="400"/>
      <c r="F19" s="400"/>
      <c r="G19" s="339">
        <f>IF(SUM(G13:G16,G18)=0,"",SUM(G13:G16,G18))</f>
        <v>5384499.493900001</v>
      </c>
    </row>
    <row r="20" spans="1:7" x14ac:dyDescent="0.25">
      <c r="A20" s="400" t="s">
        <v>408</v>
      </c>
      <c r="B20" s="400"/>
      <c r="C20" s="400"/>
      <c r="D20" s="400"/>
      <c r="E20" s="400"/>
      <c r="F20" s="400"/>
      <c r="G20" s="339">
        <v>350000</v>
      </c>
    </row>
    <row r="21" spans="1:7" x14ac:dyDescent="0.25">
      <c r="A21" s="400" t="s">
        <v>781</v>
      </c>
      <c r="B21" s="400"/>
      <c r="C21" s="400"/>
      <c r="D21" s="400"/>
      <c r="E21" s="400"/>
      <c r="F21" s="400"/>
      <c r="G21" s="339">
        <f>+IFERROR((G19+G20)*0.19,"")</f>
        <v>1089554.9038410003</v>
      </c>
    </row>
    <row r="22" spans="1:7" x14ac:dyDescent="0.25">
      <c r="A22" s="400" t="s">
        <v>410</v>
      </c>
      <c r="B22" s="400"/>
      <c r="C22" s="400"/>
      <c r="D22" s="400"/>
      <c r="E22" s="400"/>
      <c r="F22" s="400"/>
      <c r="G22" s="339">
        <f>IF(G19="",0,SUM(G19:G21))</f>
        <v>6824054.3977410011</v>
      </c>
    </row>
  </sheetData>
  <protectedRanges>
    <protectedRange sqref="B9 B13:B16" name="Rango1"/>
  </protectedRanges>
  <mergeCells count="20">
    <mergeCell ref="A5:G5"/>
    <mergeCell ref="A1:E1"/>
    <mergeCell ref="F1:G2"/>
    <mergeCell ref="A2:E2"/>
    <mergeCell ref="A3:E3"/>
    <mergeCell ref="F3:G3"/>
    <mergeCell ref="C7:D7"/>
    <mergeCell ref="C8:D8"/>
    <mergeCell ref="C9:D9"/>
    <mergeCell ref="A11:A12"/>
    <mergeCell ref="B11:D11"/>
    <mergeCell ref="A21:F21"/>
    <mergeCell ref="A22:F22"/>
    <mergeCell ref="F11:F12"/>
    <mergeCell ref="G11:G12"/>
    <mergeCell ref="C17:D17"/>
    <mergeCell ref="C18:D18"/>
    <mergeCell ref="A19:F19"/>
    <mergeCell ref="A20:F20"/>
    <mergeCell ref="E11:E12"/>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F9C72C-C2C3-435B-8021-6A64009D8C5C}">
  <dimension ref="A1:F22"/>
  <sheetViews>
    <sheetView view="pageBreakPreview" topLeftCell="A4" zoomScale="60" zoomScaleNormal="100" workbookViewId="0">
      <selection activeCell="C9" sqref="C9"/>
    </sheetView>
  </sheetViews>
  <sheetFormatPr baseColWidth="10" defaultRowHeight="15" x14ac:dyDescent="0.25"/>
  <cols>
    <col min="1" max="1" width="39" customWidth="1"/>
    <col min="2" max="2" width="41.7109375" customWidth="1"/>
    <col min="3" max="3" width="32" customWidth="1"/>
    <col min="4" max="4" width="19.5703125" customWidth="1"/>
  </cols>
  <sheetData>
    <row r="1" spans="1:6" ht="84" customHeight="1" thickBot="1" x14ac:dyDescent="0.3">
      <c r="A1" s="428" t="s">
        <v>0</v>
      </c>
      <c r="B1" s="429"/>
      <c r="C1" s="430"/>
      <c r="D1" s="431"/>
      <c r="E1" s="311"/>
      <c r="F1" s="311"/>
    </row>
    <row r="2" spans="1:6" x14ac:dyDescent="0.25">
      <c r="A2" s="399" t="s">
        <v>755</v>
      </c>
      <c r="B2" s="399"/>
      <c r="C2" s="399"/>
      <c r="D2" s="399"/>
      <c r="E2" s="399"/>
      <c r="F2" s="399"/>
    </row>
    <row r="3" spans="1:6" x14ac:dyDescent="0.25">
      <c r="A3" s="311"/>
      <c r="B3" s="311"/>
      <c r="C3" s="311"/>
      <c r="D3" s="311"/>
      <c r="E3" s="311"/>
      <c r="F3" s="311"/>
    </row>
    <row r="4" spans="1:6" ht="16.5" x14ac:dyDescent="0.25">
      <c r="A4" s="432"/>
      <c r="B4" s="432"/>
      <c r="C4" s="432"/>
      <c r="D4" s="432"/>
      <c r="E4" s="432"/>
      <c r="F4" s="311"/>
    </row>
    <row r="5" spans="1:6" ht="16.5" x14ac:dyDescent="0.25">
      <c r="A5" s="433"/>
      <c r="B5" s="433"/>
      <c r="C5" s="433"/>
      <c r="D5" s="433"/>
      <c r="E5" s="433"/>
      <c r="F5" s="433"/>
    </row>
    <row r="6" spans="1:6" x14ac:dyDescent="0.25">
      <c r="A6" s="312" t="s">
        <v>756</v>
      </c>
      <c r="B6" s="313">
        <f>[10]INTERV!I46</f>
        <v>645264135</v>
      </c>
      <c r="C6" s="434" t="s">
        <v>757</v>
      </c>
      <c r="D6" s="435"/>
      <c r="E6" s="314"/>
      <c r="F6" s="315"/>
    </row>
    <row r="7" spans="1:6" ht="99" customHeight="1" x14ac:dyDescent="0.25">
      <c r="A7" s="316" t="s">
        <v>758</v>
      </c>
      <c r="B7" s="317">
        <f ca="1">IFERROR(ROUND($B$6-$C$19,0),0)</f>
        <v>644104746</v>
      </c>
      <c r="C7" s="318" t="s">
        <v>759</v>
      </c>
      <c r="D7" s="319">
        <v>0</v>
      </c>
      <c r="E7" s="320" t="s">
        <v>760</v>
      </c>
      <c r="F7" s="315"/>
    </row>
    <row r="8" spans="1:6" ht="57" customHeight="1" x14ac:dyDescent="0.25">
      <c r="A8" s="321" t="s">
        <v>761</v>
      </c>
      <c r="B8" s="317">
        <f ca="1">IFERROR(ROUND($B$6-$B$9-$C$19,0),0)</f>
        <v>579694272</v>
      </c>
      <c r="C8" s="322" t="s">
        <v>762</v>
      </c>
      <c r="D8" s="323">
        <f>IFERROR(D7/[11]PRESUPUESTO!I63,0)</f>
        <v>0</v>
      </c>
      <c r="E8" s="320" t="s">
        <v>763</v>
      </c>
      <c r="F8" s="315"/>
    </row>
    <row r="9" spans="1:6" ht="60" customHeight="1" x14ac:dyDescent="0.25">
      <c r="A9" s="321" t="s">
        <v>764</v>
      </c>
      <c r="B9" s="317">
        <f ca="1">+SUM($C$13:$C$18)</f>
        <v>64410474.600000001</v>
      </c>
      <c r="C9" s="324"/>
      <c r="D9" s="325"/>
      <c r="E9" s="326"/>
      <c r="F9" s="315"/>
    </row>
    <row r="10" spans="1:6" ht="38.25" x14ac:dyDescent="0.25">
      <c r="A10" s="321" t="s">
        <v>765</v>
      </c>
      <c r="B10" s="317">
        <f ca="1">B7*D8</f>
        <v>0</v>
      </c>
      <c r="C10" s="324"/>
      <c r="D10" s="325"/>
      <c r="E10" s="326"/>
      <c r="F10" s="315"/>
    </row>
    <row r="11" spans="1:6" x14ac:dyDescent="0.25">
      <c r="A11" s="315"/>
      <c r="B11" s="315"/>
      <c r="C11" s="324"/>
      <c r="D11" s="325"/>
      <c r="E11" s="314"/>
      <c r="F11" s="315"/>
    </row>
    <row r="12" spans="1:6" ht="30" x14ac:dyDescent="0.25">
      <c r="A12" s="327" t="s">
        <v>766</v>
      </c>
      <c r="B12" s="327" t="s">
        <v>767</v>
      </c>
      <c r="C12" s="327" t="s">
        <v>752</v>
      </c>
      <c r="D12" s="327" t="s">
        <v>768</v>
      </c>
      <c r="E12" s="328"/>
      <c r="F12" s="329"/>
    </row>
    <row r="13" spans="1:6" x14ac:dyDescent="0.25">
      <c r="A13" s="330" t="s">
        <v>769</v>
      </c>
      <c r="B13" s="331">
        <v>0.01</v>
      </c>
      <c r="C13" s="332">
        <f ca="1">IFERROR($B$7*B13,0)</f>
        <v>6441047.46</v>
      </c>
      <c r="D13" s="333">
        <f ca="1">IFERROR(C13/[10]INTERV!I22,0)</f>
        <v>2.4733919591645191E-2</v>
      </c>
      <c r="E13" s="424" t="s">
        <v>770</v>
      </c>
      <c r="F13" s="329"/>
    </row>
    <row r="14" spans="1:6" x14ac:dyDescent="0.25">
      <c r="A14" s="330" t="s">
        <v>771</v>
      </c>
      <c r="B14" s="331">
        <v>0.01</v>
      </c>
      <c r="C14" s="332">
        <f ca="1">IFERROR($B$7*B14,0)</f>
        <v>6441047.46</v>
      </c>
      <c r="D14" s="333">
        <f ca="1">IFERROR(C14/[10]INTERV!I22,0)</f>
        <v>2.4733919591645191E-2</v>
      </c>
      <c r="E14" s="424"/>
      <c r="F14" s="329"/>
    </row>
    <row r="15" spans="1:6" x14ac:dyDescent="0.25">
      <c r="A15" s="330" t="s">
        <v>772</v>
      </c>
      <c r="B15" s="331">
        <v>0.02</v>
      </c>
      <c r="C15" s="332">
        <f ca="1">IFERROR($B$7*B15,0)</f>
        <v>12882094.92</v>
      </c>
      <c r="D15" s="333">
        <f ca="1">IFERROR(C15/[10]INTERV!I22,0)</f>
        <v>4.9467839183290382E-2</v>
      </c>
      <c r="E15" s="424"/>
      <c r="F15" s="329"/>
    </row>
    <row r="16" spans="1:6" x14ac:dyDescent="0.25">
      <c r="A16" s="330" t="s">
        <v>773</v>
      </c>
      <c r="B16" s="331">
        <v>0.04</v>
      </c>
      <c r="C16" s="332">
        <f ca="1">IFERROR($B$7*B16,0)</f>
        <v>25764189.84</v>
      </c>
      <c r="D16" s="333">
        <f ca="1">IFERROR(C16/[10]INTERV!I22,0)</f>
        <v>9.8935678366580765E-2</v>
      </c>
      <c r="E16" s="424"/>
      <c r="F16" s="329"/>
    </row>
    <row r="17" spans="1:6" x14ac:dyDescent="0.25">
      <c r="A17" s="330" t="s">
        <v>774</v>
      </c>
      <c r="B17" s="331">
        <v>0.02</v>
      </c>
      <c r="C17" s="332">
        <f ca="1">IFERROR($B$7*B17,0)</f>
        <v>12882094.92</v>
      </c>
      <c r="D17" s="333">
        <f ca="1">IFERROR(C17/[10]INTERV!I22,0)</f>
        <v>4.9467839183290382E-2</v>
      </c>
      <c r="E17" s="424"/>
      <c r="F17" s="334"/>
    </row>
    <row r="18" spans="1:6" x14ac:dyDescent="0.25">
      <c r="A18" s="330"/>
      <c r="B18" s="331"/>
      <c r="C18" s="332">
        <f ca="1">IFERROR($B$10*B18,0)</f>
        <v>0</v>
      </c>
      <c r="D18" s="333">
        <f ca="1">IFERROR(C18/[11]INTERVENTORÍA!$I$22,0)</f>
        <v>0</v>
      </c>
      <c r="E18" s="424" t="s">
        <v>775</v>
      </c>
      <c r="F18" s="425"/>
    </row>
    <row r="19" spans="1:6" ht="37.15" customHeight="1" x14ac:dyDescent="0.25">
      <c r="A19" s="330" t="s">
        <v>776</v>
      </c>
      <c r="B19" s="331">
        <v>2E-3</v>
      </c>
      <c r="C19" s="332">
        <f ca="1">IFERROR($B$8*B19,0)</f>
        <v>1159388.544</v>
      </c>
      <c r="D19" s="333">
        <f ca="1">IFERROR(C19/[10]INTERV!I22,0)</f>
        <v>4.4521055311041897E-3</v>
      </c>
      <c r="E19" s="320" t="s">
        <v>777</v>
      </c>
      <c r="F19" s="311"/>
    </row>
    <row r="20" spans="1:6" x14ac:dyDescent="0.25">
      <c r="A20" s="426" t="s">
        <v>778</v>
      </c>
      <c r="B20" s="427"/>
      <c r="C20" s="332">
        <f ca="1">+SUM(C13:C19)</f>
        <v>65569863.144000001</v>
      </c>
      <c r="D20" s="333">
        <f ca="1">+SUM(D13:D19)</f>
        <v>0.25179130144755613</v>
      </c>
      <c r="E20" s="311"/>
      <c r="F20" s="311"/>
    </row>
    <row r="21" spans="1:6" x14ac:dyDescent="0.25">
      <c r="A21" s="311"/>
      <c r="B21" s="311"/>
      <c r="C21" s="311"/>
      <c r="D21" s="311"/>
      <c r="E21" s="311"/>
      <c r="F21" s="311"/>
    </row>
    <row r="22" spans="1:6" x14ac:dyDescent="0.25">
      <c r="A22" s="311"/>
      <c r="B22" s="311"/>
      <c r="C22" s="335" t="s">
        <v>779</v>
      </c>
      <c r="D22" s="336">
        <f ca="1">+IFERROR(ROUND($D$20,4),"")</f>
        <v>0.25180000000000002</v>
      </c>
      <c r="E22" s="311"/>
      <c r="F22" s="311"/>
    </row>
  </sheetData>
  <protectedRanges>
    <protectedRange sqref="A13:B19" name="Tasas"/>
  </protectedRanges>
  <mergeCells count="9">
    <mergeCell ref="E13:E17"/>
    <mergeCell ref="E18:F18"/>
    <mergeCell ref="A20:B20"/>
    <mergeCell ref="A1:B1"/>
    <mergeCell ref="C1:D1"/>
    <mergeCell ref="A2:F2"/>
    <mergeCell ref="A4:E4"/>
    <mergeCell ref="A5:F5"/>
    <mergeCell ref="C6:D6"/>
  </mergeCells>
  <conditionalFormatting sqref="E5">
    <cfRule type="cellIs" dxfId="1" priority="1" stopIfTrue="1" operator="equal">
      <formula>0</formula>
    </cfRule>
  </conditionalFormatting>
  <pageMargins left="0.7" right="0.7" top="0.75" bottom="0.75" header="0.3" footer="0.3"/>
  <pageSetup scale="4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DB3745-4B87-44DC-AE66-AADDC722ECCA}">
  <dimension ref="A1:AG47"/>
  <sheetViews>
    <sheetView view="pageBreakPreview" topLeftCell="A31" zoomScale="90" zoomScaleNormal="100" zoomScaleSheetLayoutView="90" workbookViewId="0">
      <selection activeCell="A35" sqref="A35:D44"/>
    </sheetView>
  </sheetViews>
  <sheetFormatPr baseColWidth="10" defaultColWidth="11.42578125" defaultRowHeight="12.75" x14ac:dyDescent="0.2"/>
  <cols>
    <col min="1" max="1" width="60.28515625" style="218" customWidth="1"/>
    <col min="2" max="2" width="13.7109375" style="218" customWidth="1"/>
    <col min="3" max="3" width="6" style="218" bestFit="1" customWidth="1"/>
    <col min="4" max="4" width="9.5703125" style="218" bestFit="1" customWidth="1"/>
    <col min="5" max="5" width="13.85546875" style="218" bestFit="1" customWidth="1"/>
    <col min="6" max="6" width="17.140625" style="218" customWidth="1"/>
    <col min="7" max="7" width="11.42578125" style="218"/>
    <col min="8" max="8" width="17.7109375" style="218" bestFit="1" customWidth="1"/>
    <col min="9" max="9" width="18.85546875" style="218" bestFit="1" customWidth="1"/>
    <col min="10" max="10" width="15" style="218" bestFit="1" customWidth="1"/>
    <col min="11" max="11" width="16.5703125" style="218" bestFit="1" customWidth="1"/>
    <col min="12" max="12" width="11.42578125" style="218"/>
    <col min="13" max="13" width="12.42578125" style="218" bestFit="1" customWidth="1"/>
    <col min="14" max="16384" width="11.42578125" style="218"/>
  </cols>
  <sheetData>
    <row r="1" spans="1:13" ht="14.45" customHeight="1" x14ac:dyDescent="0.2">
      <c r="A1" s="464"/>
      <c r="B1" s="465"/>
      <c r="C1" s="465"/>
      <c r="D1" s="465"/>
      <c r="E1" s="465"/>
      <c r="F1" s="466"/>
    </row>
    <row r="2" spans="1:13" x14ac:dyDescent="0.2">
      <c r="A2" s="467"/>
      <c r="B2" s="468"/>
      <c r="C2" s="468"/>
      <c r="D2" s="468"/>
      <c r="E2" s="468"/>
      <c r="F2" s="469"/>
    </row>
    <row r="3" spans="1:13" x14ac:dyDescent="0.2">
      <c r="A3" s="467"/>
      <c r="B3" s="468"/>
      <c r="C3" s="468"/>
      <c r="D3" s="468"/>
      <c r="E3" s="468"/>
      <c r="F3" s="469"/>
    </row>
    <row r="4" spans="1:13" x14ac:dyDescent="0.2">
      <c r="A4" s="467"/>
      <c r="B4" s="468"/>
      <c r="C4" s="468"/>
      <c r="D4" s="468"/>
      <c r="E4" s="468"/>
      <c r="F4" s="469"/>
    </row>
    <row r="5" spans="1:13" x14ac:dyDescent="0.2">
      <c r="A5" s="467"/>
      <c r="B5" s="468"/>
      <c r="C5" s="468"/>
      <c r="D5" s="468"/>
      <c r="E5" s="468"/>
      <c r="F5" s="469"/>
    </row>
    <row r="6" spans="1:13" x14ac:dyDescent="0.2">
      <c r="A6" s="467"/>
      <c r="B6" s="468"/>
      <c r="C6" s="468"/>
      <c r="D6" s="468"/>
      <c r="E6" s="468"/>
      <c r="F6" s="469"/>
    </row>
    <row r="7" spans="1:13" x14ac:dyDescent="0.2">
      <c r="A7" s="470" t="s">
        <v>698</v>
      </c>
      <c r="B7" s="471"/>
      <c r="C7" s="471"/>
      <c r="D7" s="471"/>
      <c r="E7" s="471"/>
      <c r="F7" s="472"/>
    </row>
    <row r="8" spans="1:13" ht="24" customHeight="1" x14ac:dyDescent="0.2">
      <c r="A8" s="473" t="str">
        <f>'[7]DATOS INICIALES'!B7</f>
        <v>MEJORAMIENTO DE LA RED VIAL URBANA EN EL BARRIO SAN ANTONIO DEL MUNICIPIO DE DABEIBA</v>
      </c>
      <c r="B8" s="474"/>
      <c r="C8" s="474"/>
      <c r="D8" s="474"/>
      <c r="E8" s="474"/>
      <c r="F8" s="475"/>
    </row>
    <row r="9" spans="1:13" x14ac:dyDescent="0.2">
      <c r="A9" s="476"/>
      <c r="B9" s="477"/>
      <c r="C9" s="477"/>
      <c r="D9" s="477"/>
      <c r="E9" s="477"/>
      <c r="F9" s="478"/>
    </row>
    <row r="10" spans="1:13" x14ac:dyDescent="0.2">
      <c r="A10" s="479" t="s">
        <v>699</v>
      </c>
      <c r="B10" s="480"/>
      <c r="C10" s="480"/>
      <c r="D10" s="480"/>
      <c r="E10" s="480"/>
      <c r="F10" s="481"/>
    </row>
    <row r="11" spans="1:13" x14ac:dyDescent="0.2">
      <c r="A11" s="482"/>
      <c r="B11" s="483"/>
      <c r="C11" s="483"/>
      <c r="D11" s="483"/>
      <c r="E11" s="483"/>
      <c r="F11" s="219"/>
    </row>
    <row r="12" spans="1:13" ht="25.5" x14ac:dyDescent="0.2">
      <c r="A12" s="220" t="s">
        <v>44</v>
      </c>
      <c r="B12" s="221" t="s">
        <v>47</v>
      </c>
      <c r="C12" s="221" t="s">
        <v>342</v>
      </c>
      <c r="D12" s="221" t="s">
        <v>507</v>
      </c>
      <c r="E12" s="221" t="s">
        <v>63</v>
      </c>
      <c r="F12" s="222" t="s">
        <v>50</v>
      </c>
      <c r="H12" s="463" t="s">
        <v>700</v>
      </c>
      <c r="I12" s="463" t="s">
        <v>131</v>
      </c>
      <c r="J12" s="463" t="s">
        <v>701</v>
      </c>
      <c r="K12" s="463" t="s">
        <v>702</v>
      </c>
      <c r="L12" s="463" t="s">
        <v>703</v>
      </c>
      <c r="M12" s="463" t="s">
        <v>495</v>
      </c>
    </row>
    <row r="13" spans="1:13" hidden="1" x14ac:dyDescent="0.2">
      <c r="A13" s="440" t="s">
        <v>704</v>
      </c>
      <c r="B13" s="441"/>
      <c r="C13" s="441"/>
      <c r="D13" s="441"/>
      <c r="E13" s="441"/>
      <c r="F13" s="442"/>
      <c r="H13" s="463"/>
      <c r="I13" s="463"/>
      <c r="J13" s="463"/>
      <c r="K13" s="463"/>
      <c r="L13" s="463"/>
      <c r="M13" s="463"/>
    </row>
    <row r="14" spans="1:13" hidden="1" x14ac:dyDescent="0.2">
      <c r="A14" s="223" t="s">
        <v>705</v>
      </c>
      <c r="B14" s="224" t="s">
        <v>498</v>
      </c>
      <c r="C14" s="224">
        <v>0</v>
      </c>
      <c r="D14" s="224"/>
      <c r="E14" s="225">
        <v>150000</v>
      </c>
      <c r="F14" s="226">
        <f t="shared" ref="F14:F20" si="0">+ROUND((C14*E14),0)</f>
        <v>0</v>
      </c>
    </row>
    <row r="15" spans="1:13" hidden="1" x14ac:dyDescent="0.2">
      <c r="A15" s="227" t="s">
        <v>706</v>
      </c>
      <c r="B15" s="224" t="s">
        <v>498</v>
      </c>
      <c r="C15" s="228">
        <v>0</v>
      </c>
      <c r="D15" s="228"/>
      <c r="E15" s="229">
        <v>130000</v>
      </c>
      <c r="F15" s="230">
        <f t="shared" si="0"/>
        <v>0</v>
      </c>
    </row>
    <row r="16" spans="1:13" hidden="1" x14ac:dyDescent="0.2">
      <c r="A16" s="227" t="s">
        <v>707</v>
      </c>
      <c r="B16" s="224" t="s">
        <v>498</v>
      </c>
      <c r="C16" s="228">
        <v>0</v>
      </c>
      <c r="D16" s="228"/>
      <c r="E16" s="229">
        <v>140000</v>
      </c>
      <c r="F16" s="230">
        <f t="shared" si="0"/>
        <v>0</v>
      </c>
    </row>
    <row r="17" spans="1:6" hidden="1" x14ac:dyDescent="0.2">
      <c r="A17" s="227" t="s">
        <v>708</v>
      </c>
      <c r="B17" s="228" t="s">
        <v>504</v>
      </c>
      <c r="C17" s="228">
        <v>0</v>
      </c>
      <c r="D17" s="228"/>
      <c r="E17" s="229">
        <v>3500</v>
      </c>
      <c r="F17" s="230">
        <f t="shared" si="0"/>
        <v>0</v>
      </c>
    </row>
    <row r="18" spans="1:6" hidden="1" x14ac:dyDescent="0.2">
      <c r="A18" s="227" t="s">
        <v>709</v>
      </c>
      <c r="B18" s="228" t="s">
        <v>710</v>
      </c>
      <c r="C18" s="228">
        <v>0</v>
      </c>
      <c r="D18" s="228"/>
      <c r="E18" s="229">
        <v>500000</v>
      </c>
      <c r="F18" s="230">
        <f t="shared" si="0"/>
        <v>0</v>
      </c>
    </row>
    <row r="19" spans="1:6" ht="25.5" hidden="1" x14ac:dyDescent="0.2">
      <c r="A19" s="231" t="s">
        <v>711</v>
      </c>
      <c r="B19" s="228" t="s">
        <v>494</v>
      </c>
      <c r="C19" s="228">
        <v>0</v>
      </c>
      <c r="D19" s="228"/>
      <c r="E19" s="232">
        <v>800000</v>
      </c>
      <c r="F19" s="230">
        <f t="shared" si="0"/>
        <v>0</v>
      </c>
    </row>
    <row r="20" spans="1:6" hidden="1" x14ac:dyDescent="0.2">
      <c r="A20" s="233" t="s">
        <v>712</v>
      </c>
      <c r="B20" s="234" t="s">
        <v>713</v>
      </c>
      <c r="C20" s="234">
        <v>0</v>
      </c>
      <c r="D20" s="234"/>
      <c r="E20" s="235">
        <v>430000</v>
      </c>
      <c r="F20" s="236">
        <f t="shared" si="0"/>
        <v>0</v>
      </c>
    </row>
    <row r="21" spans="1:6" x14ac:dyDescent="0.2">
      <c r="A21" s="443" t="s">
        <v>714</v>
      </c>
      <c r="B21" s="444"/>
      <c r="C21" s="444"/>
      <c r="D21" s="444"/>
      <c r="E21" s="444"/>
      <c r="F21" s="445"/>
    </row>
    <row r="22" spans="1:6" x14ac:dyDescent="0.2">
      <c r="A22" s="227" t="s">
        <v>715</v>
      </c>
      <c r="B22" s="228" t="s">
        <v>504</v>
      </c>
      <c r="C22" s="237">
        <v>200</v>
      </c>
      <c r="D22" s="237">
        <v>12</v>
      </c>
      <c r="E22" s="229">
        <v>500</v>
      </c>
      <c r="F22" s="230">
        <f t="shared" ref="F22:F27" si="1">+ROUND((C22*E22*D22),0)</f>
        <v>1200000</v>
      </c>
    </row>
    <row r="23" spans="1:6" x14ac:dyDescent="0.2">
      <c r="A23" s="227" t="s">
        <v>716</v>
      </c>
      <c r="B23" s="228" t="s">
        <v>504</v>
      </c>
      <c r="C23" s="237">
        <v>100</v>
      </c>
      <c r="D23" s="237">
        <v>1</v>
      </c>
      <c r="E23" s="229">
        <v>2000</v>
      </c>
      <c r="F23" s="230">
        <f t="shared" si="1"/>
        <v>200000</v>
      </c>
    </row>
    <row r="24" spans="1:6" ht="72" customHeight="1" x14ac:dyDescent="0.2">
      <c r="A24" s="231" t="s">
        <v>717</v>
      </c>
      <c r="B24" s="228" t="s">
        <v>498</v>
      </c>
      <c r="C24" s="228">
        <v>6</v>
      </c>
      <c r="D24" s="228">
        <v>1</v>
      </c>
      <c r="E24" s="229">
        <v>80000</v>
      </c>
      <c r="F24" s="230">
        <f t="shared" si="1"/>
        <v>480000</v>
      </c>
    </row>
    <row r="25" spans="1:6" ht="38.25" x14ac:dyDescent="0.2">
      <c r="A25" s="231" t="s">
        <v>718</v>
      </c>
      <c r="B25" s="228" t="s">
        <v>498</v>
      </c>
      <c r="C25" s="228">
        <v>6</v>
      </c>
      <c r="D25" s="228">
        <v>1</v>
      </c>
      <c r="E25" s="229">
        <f>+E24</f>
        <v>80000</v>
      </c>
      <c r="F25" s="230">
        <f t="shared" si="1"/>
        <v>480000</v>
      </c>
    </row>
    <row r="26" spans="1:6" ht="38.25" x14ac:dyDescent="0.2">
      <c r="A26" s="231" t="s">
        <v>719</v>
      </c>
      <c r="B26" s="228" t="s">
        <v>498</v>
      </c>
      <c r="C26" s="228">
        <v>6</v>
      </c>
      <c r="D26" s="228">
        <v>1</v>
      </c>
      <c r="E26" s="229">
        <f>+E25</f>
        <v>80000</v>
      </c>
      <c r="F26" s="230">
        <f t="shared" si="1"/>
        <v>480000</v>
      </c>
    </row>
    <row r="27" spans="1:6" ht="26.25" thickBot="1" x14ac:dyDescent="0.25">
      <c r="A27" s="238" t="s">
        <v>720</v>
      </c>
      <c r="B27" s="239" t="s">
        <v>498</v>
      </c>
      <c r="C27" s="239">
        <v>4</v>
      </c>
      <c r="D27" s="239">
        <v>1</v>
      </c>
      <c r="E27" s="240">
        <v>80000</v>
      </c>
      <c r="F27" s="241">
        <f t="shared" si="1"/>
        <v>320000</v>
      </c>
    </row>
    <row r="28" spans="1:6" ht="13.5" thickBot="1" x14ac:dyDescent="0.25">
      <c r="A28" s="446" t="s">
        <v>721</v>
      </c>
      <c r="B28" s="447"/>
      <c r="C28" s="447"/>
      <c r="D28" s="447"/>
      <c r="E28" s="447"/>
      <c r="F28" s="448"/>
    </row>
    <row r="29" spans="1:6" s="246" customFormat="1" ht="25.5" x14ac:dyDescent="0.2">
      <c r="A29" s="242" t="s">
        <v>730</v>
      </c>
      <c r="B29" s="243" t="s">
        <v>494</v>
      </c>
      <c r="C29" s="243">
        <v>6</v>
      </c>
      <c r="D29" s="243">
        <v>1</v>
      </c>
      <c r="E29" s="244">
        <v>512000</v>
      </c>
      <c r="F29" s="245">
        <f>+ROUND((C29*E29*D29),0)</f>
        <v>3072000</v>
      </c>
    </row>
    <row r="30" spans="1:6" s="246" customFormat="1" x14ac:dyDescent="0.2">
      <c r="A30" s="247" t="s">
        <v>722</v>
      </c>
      <c r="B30" s="248" t="s">
        <v>498</v>
      </c>
      <c r="C30" s="248">
        <v>30</v>
      </c>
      <c r="D30" s="248">
        <v>1</v>
      </c>
      <c r="E30" s="249">
        <v>60000</v>
      </c>
      <c r="F30" s="250">
        <f>+ROUND((C30*E30*D30),0)</f>
        <v>1800000</v>
      </c>
    </row>
    <row r="31" spans="1:6" s="246" customFormat="1" x14ac:dyDescent="0.2">
      <c r="A31" s="449" t="s">
        <v>723</v>
      </c>
      <c r="B31" s="450"/>
      <c r="C31" s="450"/>
      <c r="D31" s="450"/>
      <c r="E31" s="450"/>
      <c r="F31" s="451"/>
    </row>
    <row r="32" spans="1:6" s="246" customFormat="1" ht="25.9" customHeight="1" thickBot="1" x14ac:dyDescent="0.25">
      <c r="A32" s="247" t="s">
        <v>724</v>
      </c>
      <c r="B32" s="248" t="s">
        <v>498</v>
      </c>
      <c r="C32" s="248">
        <v>1</v>
      </c>
      <c r="D32" s="248">
        <v>1</v>
      </c>
      <c r="E32" s="249">
        <v>150000</v>
      </c>
      <c r="F32" s="250">
        <f>+ROUND((C32*E32*D32),0)</f>
        <v>150000</v>
      </c>
    </row>
    <row r="33" spans="1:33" s="246" customFormat="1" ht="13.5" thickBot="1" x14ac:dyDescent="0.25">
      <c r="A33" s="452" t="s">
        <v>725</v>
      </c>
      <c r="B33" s="453"/>
      <c r="C33" s="453"/>
      <c r="D33" s="453"/>
      <c r="E33" s="453"/>
      <c r="F33" s="454"/>
    </row>
    <row r="34" spans="1:33" s="246" customFormat="1" ht="13.5" thickBot="1" x14ac:dyDescent="0.25">
      <c r="A34" s="252" t="s">
        <v>726</v>
      </c>
      <c r="B34" s="253" t="s">
        <v>727</v>
      </c>
      <c r="C34" s="254">
        <v>2</v>
      </c>
      <c r="D34" s="254">
        <v>12</v>
      </c>
      <c r="E34" s="255">
        <v>2576535</v>
      </c>
      <c r="F34" s="251">
        <f>+ROUND((C34*E34*D34),0)</f>
        <v>61836840</v>
      </c>
    </row>
    <row r="35" spans="1:33" s="261" customFormat="1" ht="14.25" x14ac:dyDescent="0.25">
      <c r="A35" s="455"/>
      <c r="B35" s="456"/>
      <c r="C35" s="456"/>
      <c r="D35" s="456"/>
      <c r="E35" s="256" t="s">
        <v>728</v>
      </c>
      <c r="F35" s="257">
        <f>+ROUND(F37/F36,4)</f>
        <v>1.15E-2</v>
      </c>
      <c r="G35" s="258"/>
      <c r="H35" s="259"/>
      <c r="I35" s="260"/>
      <c r="J35" s="260"/>
      <c r="K35" s="260"/>
      <c r="L35" s="260"/>
      <c r="M35" s="260"/>
      <c r="N35" s="260"/>
      <c r="O35" s="260"/>
      <c r="P35" s="260"/>
      <c r="Q35" s="260"/>
      <c r="R35" s="260"/>
      <c r="S35" s="260"/>
      <c r="T35" s="260"/>
      <c r="U35" s="260"/>
      <c r="V35" s="260"/>
      <c r="W35" s="260"/>
      <c r="X35" s="260"/>
      <c r="Y35" s="260"/>
      <c r="Z35" s="260"/>
      <c r="AA35" s="260"/>
      <c r="AB35" s="260"/>
      <c r="AC35" s="260"/>
      <c r="AD35" s="260"/>
      <c r="AE35" s="260"/>
      <c r="AF35" s="260"/>
      <c r="AG35" s="260"/>
    </row>
    <row r="36" spans="1:33" s="261" customFormat="1" ht="14.25" x14ac:dyDescent="0.25">
      <c r="A36" s="457"/>
      <c r="B36" s="458"/>
      <c r="C36" s="458"/>
      <c r="D36" s="458"/>
      <c r="E36" s="262" t="s">
        <v>729</v>
      </c>
      <c r="F36" s="263">
        <f>+PRESUPUESTO!H119</f>
        <v>6111940865.58111</v>
      </c>
      <c r="G36" s="264"/>
      <c r="H36" s="260"/>
      <c r="I36" s="260"/>
      <c r="J36" s="260"/>
      <c r="K36" s="260"/>
      <c r="L36" s="260"/>
      <c r="M36" s="260"/>
      <c r="N36" s="260"/>
      <c r="O36" s="260"/>
      <c r="P36" s="260"/>
      <c r="Q36" s="260"/>
      <c r="R36" s="260"/>
      <c r="S36" s="260"/>
      <c r="T36" s="260"/>
      <c r="U36" s="260"/>
      <c r="V36" s="260"/>
      <c r="W36" s="260"/>
      <c r="X36" s="260"/>
      <c r="Y36" s="260"/>
      <c r="Z36" s="260"/>
      <c r="AA36" s="260"/>
      <c r="AB36" s="260"/>
      <c r="AC36" s="260"/>
      <c r="AD36" s="260"/>
      <c r="AE36" s="260"/>
      <c r="AF36" s="260"/>
      <c r="AG36" s="260"/>
    </row>
    <row r="37" spans="1:33" s="261" customFormat="1" ht="15" thickBot="1" x14ac:dyDescent="0.3">
      <c r="A37" s="457"/>
      <c r="B37" s="458"/>
      <c r="C37" s="458"/>
      <c r="D37" s="458"/>
      <c r="E37" s="265" t="s">
        <v>495</v>
      </c>
      <c r="F37" s="266">
        <f>+SUM(F22:F34)</f>
        <v>70018840</v>
      </c>
      <c r="G37" s="267"/>
      <c r="H37" s="268"/>
      <c r="I37" s="268"/>
      <c r="J37" s="260"/>
      <c r="K37" s="260"/>
      <c r="L37" s="260"/>
      <c r="M37" s="260"/>
      <c r="N37" s="260"/>
      <c r="O37" s="260"/>
      <c r="P37" s="260"/>
      <c r="Q37" s="260"/>
      <c r="R37" s="260"/>
      <c r="S37" s="260"/>
      <c r="T37" s="260"/>
      <c r="U37" s="260"/>
      <c r="V37" s="260"/>
      <c r="W37" s="260"/>
      <c r="X37" s="260"/>
      <c r="Y37" s="260"/>
      <c r="Z37" s="260"/>
      <c r="AA37" s="260"/>
      <c r="AB37" s="260"/>
      <c r="AC37" s="260"/>
      <c r="AD37" s="260"/>
      <c r="AE37" s="260"/>
      <c r="AF37" s="260"/>
      <c r="AG37" s="260"/>
    </row>
    <row r="38" spans="1:33" s="261" customFormat="1" ht="14.25" x14ac:dyDescent="0.25">
      <c r="A38" s="457"/>
      <c r="B38" s="458"/>
      <c r="C38" s="458"/>
      <c r="D38" s="458"/>
      <c r="E38" s="459"/>
      <c r="F38" s="460"/>
      <c r="G38" s="267"/>
      <c r="H38" s="260"/>
      <c r="I38" s="260"/>
      <c r="J38" s="260"/>
      <c r="K38" s="260"/>
      <c r="L38" s="260"/>
      <c r="M38" s="260"/>
      <c r="N38" s="260"/>
      <c r="O38" s="260"/>
      <c r="P38" s="260"/>
      <c r="Q38" s="260"/>
      <c r="R38" s="260"/>
      <c r="S38" s="260"/>
      <c r="T38" s="260"/>
      <c r="U38" s="260"/>
      <c r="V38" s="260"/>
      <c r="W38" s="260"/>
      <c r="X38" s="260"/>
      <c r="Y38" s="260"/>
      <c r="Z38" s="260"/>
      <c r="AA38" s="260"/>
      <c r="AB38" s="260"/>
      <c r="AC38" s="260"/>
      <c r="AD38" s="260"/>
      <c r="AE38" s="260"/>
      <c r="AF38" s="260"/>
      <c r="AG38" s="260"/>
    </row>
    <row r="39" spans="1:33" s="261" customFormat="1" ht="14.25" x14ac:dyDescent="0.25">
      <c r="A39" s="457"/>
      <c r="B39" s="458"/>
      <c r="C39" s="458"/>
      <c r="D39" s="458"/>
      <c r="E39" s="461"/>
      <c r="F39" s="462"/>
      <c r="G39" s="267"/>
      <c r="H39" s="260"/>
      <c r="I39" s="260"/>
      <c r="J39" s="260"/>
      <c r="K39" s="260"/>
      <c r="L39" s="260"/>
      <c r="M39" s="260"/>
      <c r="N39" s="260"/>
      <c r="O39" s="260"/>
      <c r="P39" s="260"/>
      <c r="Q39" s="260"/>
      <c r="R39" s="260"/>
      <c r="S39" s="260"/>
      <c r="T39" s="260"/>
      <c r="U39" s="260"/>
      <c r="V39" s="260"/>
      <c r="W39" s="260"/>
      <c r="X39" s="260"/>
      <c r="Y39" s="260"/>
      <c r="Z39" s="260"/>
      <c r="AA39" s="260"/>
      <c r="AB39" s="260"/>
      <c r="AC39" s="260"/>
      <c r="AD39" s="260"/>
      <c r="AE39" s="260"/>
      <c r="AF39" s="260"/>
      <c r="AG39" s="260"/>
    </row>
    <row r="40" spans="1:33" s="261" customFormat="1" ht="14.25" x14ac:dyDescent="0.25">
      <c r="A40" s="457"/>
      <c r="B40" s="458"/>
      <c r="C40" s="458"/>
      <c r="D40" s="458"/>
      <c r="E40" s="461"/>
      <c r="F40" s="462"/>
      <c r="G40" s="267"/>
      <c r="H40" s="260"/>
      <c r="I40" s="260"/>
      <c r="J40" s="260"/>
      <c r="K40" s="260"/>
      <c r="L40" s="260"/>
      <c r="M40" s="260"/>
      <c r="N40" s="260"/>
      <c r="O40" s="260"/>
      <c r="P40" s="260"/>
      <c r="Q40" s="260"/>
      <c r="R40" s="260"/>
      <c r="S40" s="260"/>
      <c r="T40" s="260"/>
      <c r="U40" s="260"/>
      <c r="V40" s="260"/>
      <c r="W40" s="260"/>
      <c r="X40" s="260"/>
      <c r="Y40" s="260"/>
      <c r="Z40" s="260"/>
      <c r="AA40" s="260"/>
      <c r="AB40" s="260"/>
      <c r="AC40" s="260"/>
      <c r="AD40" s="260"/>
      <c r="AE40" s="260"/>
      <c r="AF40" s="260"/>
      <c r="AG40" s="260"/>
    </row>
    <row r="41" spans="1:33" s="261" customFormat="1" ht="14.25" x14ac:dyDescent="0.25">
      <c r="A41" s="457"/>
      <c r="B41" s="458"/>
      <c r="C41" s="458"/>
      <c r="D41" s="458"/>
      <c r="E41" s="461"/>
      <c r="F41" s="462"/>
      <c r="G41" s="267"/>
      <c r="H41" s="260"/>
      <c r="I41" s="260"/>
      <c r="J41" s="260"/>
      <c r="K41" s="260"/>
      <c r="L41" s="260"/>
      <c r="M41" s="260"/>
      <c r="N41" s="260"/>
      <c r="O41" s="260"/>
      <c r="P41" s="260"/>
      <c r="Q41" s="260"/>
      <c r="R41" s="260"/>
      <c r="S41" s="260"/>
      <c r="T41" s="260"/>
      <c r="U41" s="260"/>
      <c r="V41" s="260"/>
      <c r="W41" s="260"/>
      <c r="X41" s="260"/>
      <c r="Y41" s="260"/>
      <c r="Z41" s="260"/>
      <c r="AA41" s="260"/>
      <c r="AB41" s="260"/>
      <c r="AC41" s="260"/>
      <c r="AD41" s="260"/>
      <c r="AE41" s="260"/>
      <c r="AF41" s="260"/>
      <c r="AG41" s="260"/>
    </row>
    <row r="42" spans="1:33" s="261" customFormat="1" ht="14.25" x14ac:dyDescent="0.25">
      <c r="A42" s="457"/>
      <c r="B42" s="458"/>
      <c r="C42" s="458"/>
      <c r="D42" s="458"/>
      <c r="E42" s="461"/>
      <c r="F42" s="462"/>
      <c r="G42" s="267"/>
      <c r="H42" s="260"/>
      <c r="I42" s="260"/>
      <c r="J42" s="260"/>
      <c r="K42" s="260"/>
      <c r="L42" s="260"/>
      <c r="M42" s="260"/>
      <c r="N42" s="260"/>
      <c r="O42" s="260"/>
      <c r="P42" s="260"/>
      <c r="Q42" s="260"/>
      <c r="R42" s="260"/>
      <c r="S42" s="260"/>
      <c r="T42" s="260"/>
      <c r="U42" s="260"/>
      <c r="V42" s="260"/>
      <c r="W42" s="260"/>
      <c r="X42" s="260"/>
      <c r="Y42" s="260"/>
      <c r="Z42" s="260"/>
      <c r="AA42" s="260"/>
      <c r="AB42" s="260"/>
      <c r="AC42" s="260"/>
      <c r="AD42" s="260"/>
      <c r="AE42" s="260"/>
      <c r="AF42" s="260"/>
      <c r="AG42" s="260"/>
    </row>
    <row r="43" spans="1:33" s="261" customFormat="1" ht="14.25" x14ac:dyDescent="0.25">
      <c r="A43" s="457"/>
      <c r="B43" s="458"/>
      <c r="C43" s="458"/>
      <c r="D43" s="458"/>
      <c r="E43" s="461"/>
      <c r="F43" s="462"/>
      <c r="G43" s="267"/>
      <c r="H43" s="260"/>
      <c r="I43" s="260"/>
      <c r="J43" s="260"/>
      <c r="K43" s="260"/>
      <c r="L43" s="260"/>
      <c r="M43" s="260"/>
      <c r="N43" s="260"/>
      <c r="O43" s="260"/>
      <c r="P43" s="260"/>
      <c r="Q43" s="260"/>
      <c r="R43" s="260"/>
      <c r="S43" s="260"/>
      <c r="T43" s="260"/>
      <c r="U43" s="260"/>
      <c r="V43" s="260"/>
      <c r="W43" s="260"/>
      <c r="X43" s="260"/>
      <c r="Y43" s="260"/>
      <c r="Z43" s="260"/>
      <c r="AA43" s="260"/>
      <c r="AB43" s="260"/>
      <c r="AC43" s="260"/>
      <c r="AD43" s="260"/>
      <c r="AE43" s="260"/>
      <c r="AF43" s="260"/>
      <c r="AG43" s="260"/>
    </row>
    <row r="44" spans="1:33" s="261" customFormat="1" ht="14.25" x14ac:dyDescent="0.25">
      <c r="A44" s="457"/>
      <c r="B44" s="458"/>
      <c r="C44" s="458"/>
      <c r="D44" s="458"/>
      <c r="E44" s="461"/>
      <c r="F44" s="462"/>
      <c r="G44" s="267"/>
      <c r="H44" s="260"/>
      <c r="I44" s="260"/>
      <c r="J44" s="260"/>
      <c r="K44" s="260"/>
      <c r="L44" s="260"/>
      <c r="M44" s="260"/>
      <c r="N44" s="260"/>
      <c r="O44" s="260"/>
      <c r="P44" s="260"/>
      <c r="Q44" s="260"/>
      <c r="R44" s="260"/>
      <c r="S44" s="260"/>
      <c r="T44" s="260"/>
      <c r="U44" s="260"/>
      <c r="V44" s="260"/>
      <c r="W44" s="260"/>
      <c r="X44" s="260"/>
      <c r="Y44" s="260"/>
      <c r="Z44" s="260"/>
      <c r="AA44" s="260"/>
      <c r="AB44" s="260"/>
      <c r="AC44" s="260"/>
      <c r="AD44" s="260"/>
      <c r="AE44" s="260"/>
      <c r="AF44" s="260"/>
      <c r="AG44" s="260"/>
    </row>
    <row r="45" spans="1:33" s="261" customFormat="1" ht="14.45" customHeight="1" x14ac:dyDescent="0.2">
      <c r="A45" s="68"/>
      <c r="B45" s="436"/>
      <c r="C45" s="436"/>
      <c r="D45" s="436"/>
      <c r="E45" s="436"/>
      <c r="F45" s="437"/>
      <c r="G45" s="269"/>
      <c r="H45" s="260"/>
      <c r="I45" s="260"/>
      <c r="J45" s="260"/>
      <c r="K45" s="260"/>
      <c r="L45" s="260"/>
      <c r="M45" s="260"/>
      <c r="N45" s="260"/>
      <c r="O45" s="260"/>
      <c r="P45" s="260"/>
      <c r="Q45" s="260"/>
      <c r="R45" s="260"/>
      <c r="S45" s="260"/>
      <c r="T45" s="260"/>
      <c r="U45" s="260"/>
      <c r="V45" s="260"/>
      <c r="W45" s="260"/>
      <c r="X45" s="260"/>
      <c r="Y45" s="260"/>
      <c r="Z45" s="260"/>
      <c r="AA45" s="260"/>
      <c r="AB45" s="260"/>
      <c r="AC45" s="260"/>
      <c r="AD45" s="260"/>
      <c r="AE45" s="260"/>
      <c r="AF45" s="260"/>
      <c r="AG45" s="260"/>
    </row>
    <row r="46" spans="1:33" s="261" customFormat="1" ht="14.45" customHeight="1" x14ac:dyDescent="0.25">
      <c r="A46" s="68"/>
      <c r="B46" s="436"/>
      <c r="C46" s="436"/>
      <c r="D46" s="436"/>
      <c r="E46" s="436"/>
      <c r="F46" s="437"/>
      <c r="G46" s="270"/>
      <c r="H46" s="260"/>
      <c r="I46" s="260"/>
      <c r="J46" s="260"/>
      <c r="K46" s="260"/>
      <c r="L46" s="260"/>
      <c r="M46" s="260"/>
      <c r="N46" s="260"/>
      <c r="O46" s="260"/>
      <c r="P46" s="260"/>
      <c r="Q46" s="260"/>
      <c r="R46" s="260"/>
      <c r="S46" s="260"/>
      <c r="T46" s="260"/>
      <c r="U46" s="260"/>
      <c r="V46" s="260"/>
      <c r="W46" s="260"/>
      <c r="X46" s="260"/>
      <c r="Y46" s="260"/>
      <c r="Z46" s="260"/>
      <c r="AA46" s="260"/>
      <c r="AB46" s="260"/>
      <c r="AC46" s="260"/>
      <c r="AD46" s="260"/>
      <c r="AE46" s="260"/>
      <c r="AF46" s="260"/>
      <c r="AG46" s="260"/>
    </row>
    <row r="47" spans="1:33" ht="15" thickBot="1" x14ac:dyDescent="0.25">
      <c r="A47" s="271"/>
      <c r="B47" s="438"/>
      <c r="C47" s="438"/>
      <c r="D47" s="438"/>
      <c r="E47" s="438"/>
      <c r="F47" s="439"/>
    </row>
  </sheetData>
  <mergeCells count="20">
    <mergeCell ref="M12:M13"/>
    <mergeCell ref="A1:F6"/>
    <mergeCell ref="A7:F7"/>
    <mergeCell ref="A8:F8"/>
    <mergeCell ref="A9:F9"/>
    <mergeCell ref="A10:F10"/>
    <mergeCell ref="A11:E11"/>
    <mergeCell ref="H12:H13"/>
    <mergeCell ref="I12:I13"/>
    <mergeCell ref="J12:J13"/>
    <mergeCell ref="K12:K13"/>
    <mergeCell ref="L12:L13"/>
    <mergeCell ref="B45:F47"/>
    <mergeCell ref="A13:F13"/>
    <mergeCell ref="A21:F21"/>
    <mergeCell ref="A28:F28"/>
    <mergeCell ref="A31:F31"/>
    <mergeCell ref="A33:F33"/>
    <mergeCell ref="A35:D44"/>
    <mergeCell ref="E38:F44"/>
  </mergeCells>
  <dataValidations count="1">
    <dataValidation allowBlank="1" showErrorMessage="1" sqref="B45 A35 G35:XFD46 A45:A46 F35:F37 E35:E38" xr:uid="{4F2AC0E4-F269-4D8B-B560-3CE17677B8F3}"/>
  </dataValidations>
  <printOptions horizontalCentered="1" gridLines="1"/>
  <pageMargins left="0.70866141732283472" right="0.70866141732283472" top="0.74803149606299213" bottom="0.74803149606299213" header="0.31496062992125984" footer="0.31496062992125984"/>
  <pageSetup paperSize="9" scale="72"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65"/>
  <sheetViews>
    <sheetView view="pageBreakPreview" zoomScale="90" zoomScaleNormal="60" zoomScaleSheetLayoutView="90" workbookViewId="0">
      <pane ySplit="7" topLeftCell="A24" activePane="bottomLeft" state="frozen"/>
      <selection pane="bottomLeft" activeCell="I20" sqref="I20"/>
    </sheetView>
  </sheetViews>
  <sheetFormatPr baseColWidth="10" defaultRowHeight="15" x14ac:dyDescent="0.25"/>
  <cols>
    <col min="2" max="2" width="15.7109375" customWidth="1"/>
    <col min="3" max="3" width="39.28515625" customWidth="1"/>
    <col min="4" max="4" width="10.5703125" customWidth="1"/>
    <col min="5" max="5" width="18.28515625" style="67" customWidth="1"/>
    <col min="6" max="6" width="13.42578125" style="67" customWidth="1"/>
    <col min="9" max="9" width="17" customWidth="1"/>
    <col min="12" max="12" width="15.42578125" bestFit="1" customWidth="1"/>
  </cols>
  <sheetData>
    <row r="1" spans="1:12" ht="26.25" x14ac:dyDescent="0.25">
      <c r="A1" s="396" t="s">
        <v>0</v>
      </c>
      <c r="B1" s="396"/>
      <c r="C1" s="396"/>
      <c r="D1" s="396"/>
      <c r="E1" s="396"/>
      <c r="F1" s="396"/>
      <c r="G1" s="486" t="s">
        <v>53</v>
      </c>
      <c r="H1" s="486"/>
      <c r="I1" s="415"/>
    </row>
    <row r="2" spans="1:12" ht="21" x14ac:dyDescent="0.25">
      <c r="A2" s="390" t="str">
        <f>'DATOS INICIALES'!B2</f>
        <v>MUNICIPIO DE DABEIBA</v>
      </c>
      <c r="B2" s="390"/>
      <c r="C2" s="390"/>
      <c r="D2" s="390"/>
      <c r="E2" s="390"/>
      <c r="F2" s="390"/>
      <c r="G2" s="487"/>
      <c r="H2" s="487"/>
      <c r="I2" s="488"/>
    </row>
    <row r="3" spans="1:12" ht="46.15" customHeight="1" x14ac:dyDescent="0.25">
      <c r="A3" s="391" t="str">
        <f>'DATOS INICIALES'!B3</f>
        <v xml:space="preserve">CONSTRUCCIÓN DE CASA DE SALUD EN EL CORREGIMIENTO LA BALSITA DEL MUNICIPIO DE DABEIBA </v>
      </c>
      <c r="B3" s="391"/>
      <c r="C3" s="391"/>
      <c r="D3" s="391"/>
      <c r="E3" s="391"/>
      <c r="F3" s="391"/>
      <c r="G3" s="487"/>
      <c r="H3" s="487"/>
      <c r="I3" s="488"/>
    </row>
    <row r="4" spans="1:12" ht="9" customHeight="1" x14ac:dyDescent="0.25">
      <c r="A4" s="17"/>
      <c r="B4" s="4"/>
      <c r="C4" s="4"/>
      <c r="D4" s="4"/>
      <c r="E4" s="92"/>
      <c r="F4" s="92"/>
      <c r="G4" s="487"/>
      <c r="H4" s="487"/>
      <c r="I4" s="488"/>
    </row>
    <row r="5" spans="1:12" x14ac:dyDescent="0.25">
      <c r="A5" s="399" t="s">
        <v>349</v>
      </c>
      <c r="B5" s="399"/>
      <c r="C5" s="399"/>
      <c r="D5" s="399"/>
      <c r="E5" s="399"/>
      <c r="F5" s="399"/>
      <c r="G5" s="489"/>
      <c r="H5" s="489"/>
      <c r="I5" s="417"/>
    </row>
    <row r="6" spans="1:12" ht="7.15" customHeight="1" x14ac:dyDescent="0.25"/>
    <row r="7" spans="1:12" x14ac:dyDescent="0.25">
      <c r="A7" s="34" t="s">
        <v>44</v>
      </c>
      <c r="B7" s="34" t="s">
        <v>54</v>
      </c>
      <c r="C7" s="34" t="s">
        <v>46</v>
      </c>
      <c r="D7" s="34" t="s">
        <v>342</v>
      </c>
      <c r="E7" s="106" t="s">
        <v>343</v>
      </c>
      <c r="F7" s="106" t="s">
        <v>344</v>
      </c>
      <c r="G7" s="34" t="s">
        <v>345</v>
      </c>
      <c r="H7" s="34" t="s">
        <v>346</v>
      </c>
      <c r="I7" s="102" t="s">
        <v>347</v>
      </c>
      <c r="J7" s="105"/>
    </row>
    <row r="8" spans="1:12" x14ac:dyDescent="0.25">
      <c r="A8" s="20">
        <v>1</v>
      </c>
      <c r="B8" s="103" t="s">
        <v>348</v>
      </c>
      <c r="C8" s="103"/>
      <c r="D8" s="103"/>
      <c r="E8" s="107"/>
      <c r="F8" s="107"/>
      <c r="G8" s="103"/>
      <c r="H8" s="103"/>
      <c r="I8" s="104">
        <f>IF(SUM(I9:I13)=0,"",SUM(I9:I13))</f>
        <v>292760085</v>
      </c>
      <c r="J8" s="105"/>
    </row>
    <row r="9" spans="1:12" x14ac:dyDescent="0.25">
      <c r="A9" s="74" t="s">
        <v>350</v>
      </c>
      <c r="B9" s="74" t="str">
        <f>IF(C9="","",INDEX(CODIGOSMANODEOBRA,MATCH($C9,'INSUMOS MANO DE OBRA'!$B$7:$B$61,0)))</f>
        <v>MO003</v>
      </c>
      <c r="C9" s="109" t="s">
        <v>219</v>
      </c>
      <c r="D9" s="114">
        <v>1</v>
      </c>
      <c r="E9" s="77">
        <f>IF(C9="","",IFERROR(VLOOKUP($B9,INSUMOSMANODEOBRA,4,0),""))</f>
        <v>4377263</v>
      </c>
      <c r="F9" s="111">
        <f>IF(C9="","",IFERROR(ROUND((VLOOKUP($B9,INSUMOSMANODEOBRA,5,0)-1)*E9,0),""))</f>
        <v>2232404</v>
      </c>
      <c r="G9" s="113">
        <v>1</v>
      </c>
      <c r="H9" s="114">
        <v>12</v>
      </c>
      <c r="I9" s="77">
        <f>+IF(D9=0,"",IFERROR(D9*(E9+F9)*G9*H9,""))</f>
        <v>79316004</v>
      </c>
      <c r="J9" s="105"/>
    </row>
    <row r="10" spans="1:12" x14ac:dyDescent="0.25">
      <c r="A10" s="74" t="s">
        <v>496</v>
      </c>
      <c r="B10" s="74" t="str">
        <f>IF(C10="","",INDEX(CODIGOSMANODEOBRA,MATCH($C10,'INSUMOS MANO DE OBRA'!$B$7:$B$61,0)))</f>
        <v>MO001</v>
      </c>
      <c r="C10" s="109" t="s">
        <v>786</v>
      </c>
      <c r="D10" s="114">
        <v>1</v>
      </c>
      <c r="E10" s="77">
        <f>IF(C10="","",IFERROR(VLOOKUP($B10,INSUMOSMANODEOBRA,4,0),""))</f>
        <v>7353801</v>
      </c>
      <c r="F10" s="111">
        <f>IF(C10="","",IFERROR(ROUND((VLOOKUP($B10,INSUMOSMANODEOBRA,5,0)-1)*E10,0),""))</f>
        <v>3676901</v>
      </c>
      <c r="G10" s="113">
        <v>0.5</v>
      </c>
      <c r="H10" s="114">
        <v>12</v>
      </c>
      <c r="I10" s="77">
        <f t="shared" ref="I10:I11" si="0">+IF(D10=0,"",IFERROR(D10*(E10+F10)*G10*H10,""))</f>
        <v>66184212</v>
      </c>
      <c r="J10" s="105"/>
      <c r="L10" s="161"/>
    </row>
    <row r="11" spans="1:12" x14ac:dyDescent="0.25">
      <c r="A11" s="74" t="s">
        <v>497</v>
      </c>
      <c r="B11" s="74" t="str">
        <f>IF(C11="","",INDEX(CODIGOSMANODEOBRA,MATCH($C11,'INSUMOS MANO DE OBRA'!$B$7:$B$61,0)))</f>
        <v>MO008</v>
      </c>
      <c r="C11" s="109" t="s">
        <v>224</v>
      </c>
      <c r="D11" s="114">
        <v>1</v>
      </c>
      <c r="E11" s="77">
        <f>IF(C11="","",IFERROR(VLOOKUP($B11,INSUMOSMANODEOBRA,4,0),""))</f>
        <v>2976539</v>
      </c>
      <c r="F11" s="111">
        <f>IF(C11="","",IFERROR(ROUND((VLOOKUP($B11,INSUMOSMANODEOBRA,5,0)-1)*E11,0),""))</f>
        <v>1934750</v>
      </c>
      <c r="G11" s="113">
        <v>1</v>
      </c>
      <c r="H11" s="114">
        <v>12</v>
      </c>
      <c r="I11" s="77">
        <f t="shared" si="0"/>
        <v>58935468</v>
      </c>
      <c r="J11" s="105"/>
      <c r="L11" s="161"/>
    </row>
    <row r="12" spans="1:12" x14ac:dyDescent="0.25">
      <c r="A12" s="74" t="s">
        <v>527</v>
      </c>
      <c r="B12" s="74" t="str">
        <f>IF(C12="","",INDEX(CODIGOSMANODEOBRA,MATCH($C12,'INSUMOS MANO DE OBRA'!$B$7:$B$61,0)))</f>
        <v>MO054</v>
      </c>
      <c r="C12" s="109" t="s">
        <v>785</v>
      </c>
      <c r="D12" s="114">
        <v>1</v>
      </c>
      <c r="E12" s="77">
        <f>IF(C12="","",IFERROR(VLOOKUP($B12,INSUMOSMANODEOBRA,4,0),""))</f>
        <v>3501810</v>
      </c>
      <c r="F12" s="111">
        <f>IF(C12="","",IFERROR(ROUND((VLOOKUP($B12,INSUMOSMANODEOBRA,5,0)-1)*E12,0),""))</f>
        <v>2206140</v>
      </c>
      <c r="G12" s="113">
        <v>1</v>
      </c>
      <c r="H12" s="114">
        <v>12</v>
      </c>
      <c r="I12" s="77">
        <f t="shared" ref="I12" si="1">+IF(D12=0,"",IFERROR(D12*(E12+F12)*G12*H12,""))</f>
        <v>68495400</v>
      </c>
      <c r="J12" s="105"/>
      <c r="L12" s="161"/>
    </row>
    <row r="13" spans="1:12" x14ac:dyDescent="0.25">
      <c r="A13" s="74" t="s">
        <v>788</v>
      </c>
      <c r="B13" s="74" t="str">
        <f>IF(C13="","",INDEX(CODIGOSMANODEOBRA,MATCH($C13,'INSUMOS MANO DE OBRA'!$B$7:$B$61,0)))</f>
        <v>MO009</v>
      </c>
      <c r="C13" s="109" t="s">
        <v>787</v>
      </c>
      <c r="D13" s="114">
        <v>1</v>
      </c>
      <c r="E13" s="77">
        <f>IF(C13="","",IFERROR(VLOOKUP($B13,INSUMOSMANODEOBRA,4,0),""))</f>
        <v>4377263</v>
      </c>
      <c r="F13" s="111">
        <f>IF(C13="","",IFERROR(ROUND((VLOOKUP($B13,INSUMOSMANODEOBRA,5,0)-1)*E13,0),""))</f>
        <v>2232404</v>
      </c>
      <c r="G13" s="113">
        <v>0.25</v>
      </c>
      <c r="H13" s="114">
        <v>12</v>
      </c>
      <c r="I13" s="77">
        <f t="shared" ref="I13" si="2">+IF(D13=0,"",IFERROR(D13*(E13+F13)*G13*H13,""))</f>
        <v>19829001</v>
      </c>
      <c r="J13" s="105"/>
      <c r="L13" s="161"/>
    </row>
    <row r="14" spans="1:12" x14ac:dyDescent="0.25">
      <c r="A14" s="74"/>
      <c r="B14" s="74"/>
      <c r="C14" s="109"/>
      <c r="D14" s="114"/>
      <c r="E14" s="77"/>
      <c r="F14" s="111"/>
      <c r="G14" s="113"/>
      <c r="H14" s="114"/>
      <c r="I14" s="77"/>
      <c r="J14" s="105"/>
      <c r="L14" s="161"/>
    </row>
    <row r="15" spans="1:12" x14ac:dyDescent="0.25">
      <c r="A15" s="20">
        <v>2</v>
      </c>
      <c r="B15" s="484" t="s">
        <v>354</v>
      </c>
      <c r="C15" s="484"/>
      <c r="D15" s="484"/>
      <c r="E15" s="484"/>
      <c r="F15" s="484"/>
      <c r="G15" s="484"/>
      <c r="H15" s="485"/>
      <c r="I15" s="104">
        <f>IF(SUM(I16:I16)=0,"",SUM(I16:I16))</f>
        <v>7200000</v>
      </c>
      <c r="J15" s="105"/>
    </row>
    <row r="16" spans="1:12" x14ac:dyDescent="0.25">
      <c r="A16" s="74" t="s">
        <v>351</v>
      </c>
      <c r="B16" s="74" t="str">
        <f>IF(C16="","",INDEX(CODIGOSSERVICIOS,MATCH($C16,'INSUMOS SERVICIOS'!B7:B21,0)))</f>
        <v>SE003</v>
      </c>
      <c r="C16" s="109" t="s">
        <v>318</v>
      </c>
      <c r="D16" s="114">
        <v>1</v>
      </c>
      <c r="E16" s="77">
        <v>600000</v>
      </c>
      <c r="F16" s="77"/>
      <c r="G16" s="108"/>
      <c r="H16" s="112">
        <v>12</v>
      </c>
      <c r="I16" s="77">
        <f>IFERROR(D16*E16*H16,"")</f>
        <v>7200000</v>
      </c>
      <c r="J16" s="105"/>
    </row>
    <row r="17" spans="1:10" x14ac:dyDescent="0.25">
      <c r="A17" s="20">
        <v>3</v>
      </c>
      <c r="B17" s="484" t="s">
        <v>357</v>
      </c>
      <c r="C17" s="484"/>
      <c r="D17" s="484"/>
      <c r="E17" s="484"/>
      <c r="F17" s="484"/>
      <c r="G17" s="484"/>
      <c r="H17" s="485"/>
      <c r="I17" s="104">
        <f>IF(SUM(I18:I19)=0,"",SUM(I18:I19))</f>
        <v>1320000</v>
      </c>
      <c r="J17" s="105"/>
    </row>
    <row r="18" spans="1:10" ht="56.45" customHeight="1" x14ac:dyDescent="0.25">
      <c r="A18" s="115" t="s">
        <v>353</v>
      </c>
      <c r="B18" s="115" t="str">
        <f>IF(C18="","",INDEX(CODIGOEQUIPOS,MATCH($C18,'INSUMOS EQUIPOS'!$B$7:$B$39,0)))</f>
        <v>EQ007</v>
      </c>
      <c r="C18" s="116" t="s">
        <v>77</v>
      </c>
      <c r="D18" s="117">
        <v>1</v>
      </c>
      <c r="E18" s="118">
        <v>110000</v>
      </c>
      <c r="F18" s="77"/>
      <c r="G18" s="108"/>
      <c r="H18" s="119">
        <v>12</v>
      </c>
      <c r="I18" s="118">
        <f>IF(D18=0,"",IFERROR(D18*E18*H18,""))</f>
        <v>1320000</v>
      </c>
      <c r="J18" s="105"/>
    </row>
    <row r="19" spans="1:10" x14ac:dyDescent="0.25">
      <c r="A19" s="74" t="s">
        <v>411</v>
      </c>
      <c r="B19" s="115" t="str">
        <f>IF(C19="","",INDEX(CODIGOEQUIPOS,MATCH($C19,'INSUMOS EQUIPOS'!$B$7:$B$39,0)))</f>
        <v/>
      </c>
      <c r="C19" s="109"/>
      <c r="D19" s="114"/>
      <c r="E19" s="118" t="str">
        <f>IF(C19="","",(VLOOKUP($B19,INSUMOSEQUIPOS,4,FALSE)))</f>
        <v/>
      </c>
      <c r="F19" s="77"/>
      <c r="G19" s="108"/>
      <c r="H19" s="119"/>
      <c r="I19" s="118" t="str">
        <f>IF(D19=0,"",IFERROR(D19*E19*H19,""))</f>
        <v/>
      </c>
      <c r="J19" s="105"/>
    </row>
    <row r="20" spans="1:10" x14ac:dyDescent="0.25">
      <c r="A20" s="20">
        <v>4</v>
      </c>
      <c r="B20" s="484" t="s">
        <v>361</v>
      </c>
      <c r="C20" s="484"/>
      <c r="D20" s="484"/>
      <c r="E20" s="484"/>
      <c r="F20" s="484"/>
      <c r="G20" s="484"/>
      <c r="H20" s="485"/>
      <c r="I20" s="104">
        <f>IF(SUM(I21:I25)=0,"",SUM(I21:I25))</f>
        <v>8454000</v>
      </c>
      <c r="J20" s="105"/>
    </row>
    <row r="21" spans="1:10" ht="36.75" x14ac:dyDescent="0.25">
      <c r="A21" s="115" t="s">
        <v>355</v>
      </c>
      <c r="B21" s="115" t="str">
        <f>IF(C21="","",INDEX(CODIGOSSERVICIOS,MATCH($C21,'INSUMOS SERVICIOS'!$B$7:$B$21,0)))</f>
        <v>SEL006</v>
      </c>
      <c r="C21" s="120" t="s">
        <v>330</v>
      </c>
      <c r="D21" s="117">
        <v>2</v>
      </c>
      <c r="E21" s="118">
        <f>IF(C21="","",(VLOOKUP($B21,INSUMOSSERVICIOS,4,0)))</f>
        <v>737000</v>
      </c>
      <c r="F21" s="118"/>
      <c r="G21" s="121"/>
      <c r="H21" s="121"/>
      <c r="I21" s="118">
        <f>IF(D21=0,"",IFERROR(D21*E21,""))</f>
        <v>1474000</v>
      </c>
      <c r="J21" s="105"/>
    </row>
    <row r="22" spans="1:10" ht="24.75" x14ac:dyDescent="0.25">
      <c r="A22" s="115" t="s">
        <v>356</v>
      </c>
      <c r="B22" s="115" t="str">
        <f>IF(C22="","",INDEX(CODIGOSSERVICIOS,MATCH($C22,'INSUMOS SERVICIOS'!$B$7:$B$21,0)))</f>
        <v>SEL007</v>
      </c>
      <c r="C22" s="120" t="s">
        <v>339</v>
      </c>
      <c r="D22" s="117">
        <v>40</v>
      </c>
      <c r="E22" s="118">
        <f>IF(C22="","",(VLOOKUP($B22,INSUMOSSERVICIOS,4,0)))</f>
        <v>15000</v>
      </c>
      <c r="F22" s="118"/>
      <c r="G22" s="121"/>
      <c r="H22" s="121"/>
      <c r="I22" s="118">
        <f>IF(D22=0,"",IFERROR(D22*E22,""))</f>
        <v>600000</v>
      </c>
      <c r="J22" s="105"/>
    </row>
    <row r="23" spans="1:10" ht="60.75" x14ac:dyDescent="0.25">
      <c r="A23" s="115" t="s">
        <v>451</v>
      </c>
      <c r="B23" s="115" t="str">
        <f>IF(C23="","",INDEX(CODIGOSSERVICIOS,MATCH($C23,'INSUMOS SERVICIOS'!$B$7:$B$21,0)))</f>
        <v>SEL004</v>
      </c>
      <c r="C23" s="120" t="s">
        <v>337</v>
      </c>
      <c r="D23" s="117">
        <v>15</v>
      </c>
      <c r="E23" s="118">
        <v>170000</v>
      </c>
      <c r="F23" s="118"/>
      <c r="G23" s="121"/>
      <c r="H23" s="121"/>
      <c r="I23" s="118">
        <f>IF(D23=0,"",IFERROR(D23*E23,""))</f>
        <v>2550000</v>
      </c>
      <c r="J23" s="105"/>
    </row>
    <row r="24" spans="1:10" ht="24.75" x14ac:dyDescent="0.25">
      <c r="A24" s="115" t="s">
        <v>525</v>
      </c>
      <c r="B24" s="115" t="str">
        <f>IF(C24="","",INDEX(CODIGOSSERVICIOS,MATCH($C24,'INSUMOS SERVICIOS'!$B$7:$B$21,0)))</f>
        <v>SEL001</v>
      </c>
      <c r="C24" s="120" t="s">
        <v>333</v>
      </c>
      <c r="D24" s="117">
        <v>5</v>
      </c>
      <c r="E24" s="118">
        <v>190000</v>
      </c>
      <c r="F24" s="118"/>
      <c r="G24" s="121"/>
      <c r="H24" s="121"/>
      <c r="I24" s="118">
        <f>IF(D24=0,"",IFERROR(D24*E24,""))</f>
        <v>950000</v>
      </c>
      <c r="J24" s="105"/>
    </row>
    <row r="25" spans="1:10" x14ac:dyDescent="0.25">
      <c r="A25" s="115" t="s">
        <v>526</v>
      </c>
      <c r="B25" s="115" t="str">
        <f>IF(C25="","",INDEX(CODIGOSSERVICIOS,MATCH($C25,'INSUMOS SERVICIOS'!$B$7:$B$21,0)))</f>
        <v>SEL008</v>
      </c>
      <c r="C25" s="120" t="s">
        <v>674</v>
      </c>
      <c r="D25" s="117">
        <v>60</v>
      </c>
      <c r="E25" s="118">
        <v>48000</v>
      </c>
      <c r="F25" s="118"/>
      <c r="G25" s="121"/>
      <c r="H25" s="121"/>
      <c r="I25" s="118">
        <f>IF(D25=0,"",IFERROR(D25*E25,""))</f>
        <v>2880000</v>
      </c>
      <c r="J25" s="105"/>
    </row>
    <row r="26" spans="1:10" x14ac:dyDescent="0.25">
      <c r="A26" s="115"/>
      <c r="B26" s="115"/>
      <c r="C26" s="120"/>
      <c r="D26" s="117"/>
      <c r="E26" s="118"/>
      <c r="F26" s="118"/>
      <c r="G26" s="121"/>
      <c r="H26" s="121"/>
      <c r="I26" s="118"/>
      <c r="J26" s="105"/>
    </row>
    <row r="27" spans="1:10" x14ac:dyDescent="0.25">
      <c r="A27" s="20">
        <v>5</v>
      </c>
      <c r="B27" s="484" t="s">
        <v>362</v>
      </c>
      <c r="C27" s="484"/>
      <c r="D27" s="484"/>
      <c r="E27" s="484"/>
      <c r="F27" s="484"/>
      <c r="G27" s="484"/>
      <c r="H27" s="485"/>
      <c r="I27" s="104">
        <f>IF(SUM(I28)=0,"",SUM(I28))</f>
        <v>1500000</v>
      </c>
      <c r="J27" s="105"/>
    </row>
    <row r="28" spans="1:10" x14ac:dyDescent="0.25">
      <c r="A28" s="74" t="s">
        <v>358</v>
      </c>
      <c r="B28" s="74" t="e">
        <f>IF(C28="","",INDEX(CODIGOMATERIALES,MATCH($C28,#REF!,0)))</f>
        <v>#REF!</v>
      </c>
      <c r="C28" s="109" t="s">
        <v>508</v>
      </c>
      <c r="D28" s="114">
        <v>1</v>
      </c>
      <c r="E28" s="75">
        <v>1500000</v>
      </c>
      <c r="F28" s="77"/>
      <c r="G28" s="108"/>
      <c r="H28" s="108"/>
      <c r="I28" s="77">
        <f>IF(D28=0,"",IFERROR(D28*E28,""))</f>
        <v>1500000</v>
      </c>
      <c r="J28" s="105"/>
    </row>
    <row r="29" spans="1:10" x14ac:dyDescent="0.25">
      <c r="A29" s="20">
        <v>6</v>
      </c>
      <c r="B29" s="484" t="s">
        <v>363</v>
      </c>
      <c r="C29" s="484"/>
      <c r="D29" s="484"/>
      <c r="E29" s="484"/>
      <c r="F29" s="484"/>
      <c r="G29" s="484"/>
      <c r="H29" s="485"/>
      <c r="I29" s="104">
        <f ca="1">IF(SUM(I30:I39)=0,"",SUM(I30:I39))</f>
        <v>1011867369.8493006</v>
      </c>
      <c r="J29" s="105"/>
    </row>
    <row r="30" spans="1:10" x14ac:dyDescent="0.25">
      <c r="A30" s="74" t="s">
        <v>359</v>
      </c>
      <c r="B30" s="108"/>
      <c r="C30" s="108" t="s">
        <v>364</v>
      </c>
      <c r="D30" s="108"/>
      <c r="E30" s="77"/>
      <c r="F30" s="77"/>
      <c r="G30" s="108"/>
      <c r="H30" s="108"/>
      <c r="I30" s="141">
        <f ca="1">IF('POLIZAS OBRA'!$G$21=0,"",'POLIZAS OBRA'!$G$21)</f>
        <v>33956831.356323101</v>
      </c>
      <c r="J30" s="105"/>
    </row>
    <row r="31" spans="1:10" x14ac:dyDescent="0.25">
      <c r="A31" s="74" t="s">
        <v>360</v>
      </c>
      <c r="B31" s="108"/>
      <c r="C31" s="108" t="s">
        <v>365</v>
      </c>
      <c r="D31" s="122">
        <v>0.05</v>
      </c>
      <c r="E31" s="77">
        <f>+PRESUPUESTO!H119</f>
        <v>6111940865.58111</v>
      </c>
      <c r="F31" s="77"/>
      <c r="G31" s="108"/>
      <c r="H31" s="108"/>
      <c r="I31" s="141">
        <f>IFERROR(IF(D31*E31=0,"",D31*E31),"")</f>
        <v>305597043.27905554</v>
      </c>
      <c r="J31" s="105"/>
    </row>
    <row r="32" spans="1:10" x14ac:dyDescent="0.25">
      <c r="A32" s="74" t="s">
        <v>509</v>
      </c>
      <c r="B32" s="108"/>
      <c r="C32" s="108" t="s">
        <v>366</v>
      </c>
      <c r="D32" s="108"/>
      <c r="E32" s="77"/>
      <c r="F32" s="77"/>
      <c r="G32" s="108"/>
      <c r="H32" s="108"/>
      <c r="I32" s="142"/>
      <c r="J32" s="105"/>
    </row>
    <row r="33" spans="1:10" x14ac:dyDescent="0.25">
      <c r="A33" s="74" t="s">
        <v>510</v>
      </c>
      <c r="B33" s="108"/>
      <c r="C33" s="109" t="s">
        <v>367</v>
      </c>
      <c r="D33" s="113">
        <v>0.01</v>
      </c>
      <c r="E33" s="77">
        <f>+E31</f>
        <v>6111940865.58111</v>
      </c>
      <c r="F33" s="77"/>
      <c r="G33" s="108"/>
      <c r="H33" s="108"/>
      <c r="I33" s="141">
        <f>IFERROR(IF(D33*E33=0,"",D33*E33),"")</f>
        <v>61119408.655811101</v>
      </c>
      <c r="J33" s="105"/>
    </row>
    <row r="34" spans="1:10" x14ac:dyDescent="0.25">
      <c r="A34" s="74" t="s">
        <v>511</v>
      </c>
      <c r="B34" s="108"/>
      <c r="C34" s="109" t="s">
        <v>368</v>
      </c>
      <c r="D34" s="113">
        <v>0.01</v>
      </c>
      <c r="E34" s="77">
        <f>+E33</f>
        <v>6111940865.58111</v>
      </c>
      <c r="F34" s="77"/>
      <c r="G34" s="108"/>
      <c r="H34" s="108"/>
      <c r="I34" s="141">
        <f>IFERROR(IF(D34*E34=0,"",D34*E34),"")</f>
        <v>61119408.655811101</v>
      </c>
      <c r="J34" s="105"/>
    </row>
    <row r="35" spans="1:10" x14ac:dyDescent="0.25">
      <c r="A35" s="74" t="s">
        <v>512</v>
      </c>
      <c r="B35" s="108"/>
      <c r="C35" s="109" t="s">
        <v>369</v>
      </c>
      <c r="D35" s="113">
        <v>0.04</v>
      </c>
      <c r="E35" s="77">
        <f t="shared" ref="E35:E39" si="3">+E34</f>
        <v>6111940865.58111</v>
      </c>
      <c r="F35" s="77"/>
      <c r="G35" s="108"/>
      <c r="H35" s="108"/>
      <c r="I35" s="141">
        <f>IFERROR(IF(D35*E35=0,"",D35*E35),"")</f>
        <v>244477634.6232444</v>
      </c>
      <c r="J35" s="105"/>
    </row>
    <row r="36" spans="1:10" x14ac:dyDescent="0.25">
      <c r="A36" s="74" t="s">
        <v>513</v>
      </c>
      <c r="B36" s="108"/>
      <c r="C36" s="109" t="s">
        <v>370</v>
      </c>
      <c r="D36" s="113">
        <v>0.02</v>
      </c>
      <c r="E36" s="77">
        <f t="shared" si="3"/>
        <v>6111940865.58111</v>
      </c>
      <c r="F36" s="77"/>
      <c r="G36" s="108"/>
      <c r="H36" s="108"/>
      <c r="I36" s="141">
        <f>IFERROR(IF(D36*E36=0,"",D36*E36),"")</f>
        <v>122238817.3116222</v>
      </c>
      <c r="J36" s="105"/>
    </row>
    <row r="37" spans="1:10" x14ac:dyDescent="0.25">
      <c r="A37" s="74" t="s">
        <v>531</v>
      </c>
      <c r="B37" s="108"/>
      <c r="C37" s="109" t="s">
        <v>532</v>
      </c>
      <c r="D37" s="113">
        <v>0.02</v>
      </c>
      <c r="E37" s="77">
        <f t="shared" si="3"/>
        <v>6111940865.58111</v>
      </c>
      <c r="F37" s="77"/>
      <c r="G37" s="108"/>
      <c r="H37" s="108"/>
      <c r="I37" s="141">
        <f t="shared" ref="I37:I39" si="4">IFERROR(IF(D37*E37=0,"",D37*E37),"")</f>
        <v>122238817.3116222</v>
      </c>
      <c r="J37" s="105"/>
    </row>
    <row r="38" spans="1:10" x14ac:dyDescent="0.25">
      <c r="A38" s="74" t="s">
        <v>547</v>
      </c>
      <c r="B38" s="108"/>
      <c r="C38" s="109" t="s">
        <v>548</v>
      </c>
      <c r="D38" s="113">
        <v>0</v>
      </c>
      <c r="E38" s="77">
        <f t="shared" si="3"/>
        <v>6111940865.58111</v>
      </c>
      <c r="F38" s="77"/>
      <c r="G38" s="108"/>
      <c r="H38" s="108"/>
      <c r="I38" s="141" t="str">
        <f t="shared" si="4"/>
        <v/>
      </c>
      <c r="J38" s="105"/>
    </row>
    <row r="39" spans="1:10" x14ac:dyDescent="0.25">
      <c r="A39" s="74" t="s">
        <v>550</v>
      </c>
      <c r="B39" s="108"/>
      <c r="C39" s="109" t="s">
        <v>549</v>
      </c>
      <c r="D39" s="113">
        <v>0.01</v>
      </c>
      <c r="E39" s="77">
        <f t="shared" si="3"/>
        <v>6111940865.58111</v>
      </c>
      <c r="F39" s="77"/>
      <c r="G39" s="108"/>
      <c r="H39" s="108"/>
      <c r="I39" s="141">
        <f t="shared" si="4"/>
        <v>61119408.655811101</v>
      </c>
      <c r="J39" s="105"/>
    </row>
    <row r="40" spans="1:10" x14ac:dyDescent="0.25">
      <c r="A40" s="74"/>
      <c r="B40" s="108"/>
      <c r="C40" s="109"/>
      <c r="D40" s="113"/>
      <c r="E40" s="77"/>
      <c r="F40" s="77"/>
      <c r="G40" s="108"/>
      <c r="H40" s="108"/>
      <c r="I40" s="141"/>
      <c r="J40" s="105"/>
    </row>
    <row r="41" spans="1:10" x14ac:dyDescent="0.25">
      <c r="A41" s="490" t="s">
        <v>371</v>
      </c>
      <c r="B41" s="490"/>
      <c r="C41" s="490"/>
      <c r="D41" s="490"/>
      <c r="E41" s="490"/>
      <c r="F41" s="490"/>
      <c r="G41" s="490"/>
      <c r="H41" s="490"/>
      <c r="I41" s="143">
        <f ca="1">IF(SUM(I8,I15,I17,I20,I27,I29)=0,"",SUM(I8,I15,I17,I20,I27,I29))</f>
        <v>1323101454.8493006</v>
      </c>
      <c r="J41" s="105"/>
    </row>
    <row r="42" spans="1:10" x14ac:dyDescent="0.25">
      <c r="A42" s="490" t="s">
        <v>372</v>
      </c>
      <c r="B42" s="490"/>
      <c r="C42" s="490"/>
      <c r="D42" s="490"/>
      <c r="E42" s="490"/>
      <c r="F42" s="490"/>
      <c r="G42" s="490"/>
      <c r="H42" s="490"/>
      <c r="I42" s="143"/>
      <c r="J42" s="105"/>
    </row>
    <row r="43" spans="1:10" x14ac:dyDescent="0.25">
      <c r="A43" s="490" t="s">
        <v>373</v>
      </c>
      <c r="B43" s="490"/>
      <c r="C43" s="490"/>
      <c r="D43" s="490"/>
      <c r="E43" s="490"/>
      <c r="F43" s="490"/>
      <c r="G43" s="490"/>
      <c r="H43" s="490"/>
      <c r="I43" s="143">
        <f ca="1">IFERROR(I41+I42,"")</f>
        <v>1323101454.8493006</v>
      </c>
      <c r="J43" s="105"/>
    </row>
    <row r="44" spans="1:10" x14ac:dyDescent="0.25">
      <c r="A44" s="490" t="s">
        <v>374</v>
      </c>
      <c r="B44" s="490"/>
      <c r="C44" s="490"/>
      <c r="D44" s="490"/>
      <c r="E44" s="490"/>
      <c r="F44" s="490"/>
      <c r="G44" s="490"/>
      <c r="H44" s="490"/>
      <c r="I44" s="143">
        <f>IF(PRESUPUESTO!$H$119=0,"",PRESUPUESTO!$H$119)</f>
        <v>6111940865.58111</v>
      </c>
      <c r="J44" s="105"/>
    </row>
    <row r="45" spans="1:10" x14ac:dyDescent="0.25">
      <c r="A45" s="490" t="s">
        <v>375</v>
      </c>
      <c r="B45" s="490"/>
      <c r="C45" s="490"/>
      <c r="D45" s="490"/>
      <c r="E45" s="490"/>
      <c r="F45" s="490"/>
      <c r="G45" s="490"/>
      <c r="H45" s="490"/>
      <c r="I45" s="122">
        <f ca="1">IFERROR(ROUND(I41/I44,4),"")</f>
        <v>0.2165</v>
      </c>
      <c r="J45" s="105"/>
    </row>
    <row r="46" spans="1:10" x14ac:dyDescent="0.25">
      <c r="A46" s="490" t="s">
        <v>376</v>
      </c>
      <c r="B46" s="490"/>
      <c r="C46" s="490"/>
      <c r="D46" s="490"/>
      <c r="E46" s="490"/>
      <c r="F46" s="490"/>
      <c r="G46" s="490"/>
      <c r="H46" s="490"/>
      <c r="I46" s="113">
        <v>0</v>
      </c>
      <c r="J46" s="105"/>
    </row>
    <row r="47" spans="1:10" x14ac:dyDescent="0.25">
      <c r="A47" s="490" t="s">
        <v>377</v>
      </c>
      <c r="B47" s="490"/>
      <c r="C47" s="490"/>
      <c r="D47" s="490"/>
      <c r="E47" s="490"/>
      <c r="F47" s="490"/>
      <c r="G47" s="490"/>
      <c r="H47" s="490"/>
      <c r="I47" s="113">
        <v>0.05</v>
      </c>
      <c r="J47" s="105"/>
    </row>
    <row r="48" spans="1:10" x14ac:dyDescent="0.25">
      <c r="A48" s="490" t="s">
        <v>378</v>
      </c>
      <c r="B48" s="490"/>
      <c r="C48" s="490"/>
      <c r="D48" s="490"/>
      <c r="E48" s="490"/>
      <c r="F48" s="490"/>
      <c r="G48" s="490"/>
      <c r="H48" s="490"/>
      <c r="I48" s="122">
        <f ca="1">IF(SUM(I45:I47)=0,"",SUM(I45:I47))</f>
        <v>0.26650000000000001</v>
      </c>
      <c r="J48" s="105"/>
    </row>
    <row r="49" spans="1:10" x14ac:dyDescent="0.25">
      <c r="A49" s="105"/>
      <c r="B49" s="105"/>
      <c r="C49" s="105"/>
      <c r="D49" s="105"/>
      <c r="E49" s="110"/>
      <c r="F49" s="110"/>
      <c r="G49" s="105"/>
      <c r="H49" s="105"/>
      <c r="I49" s="105"/>
      <c r="J49" s="105"/>
    </row>
    <row r="50" spans="1:10" x14ac:dyDescent="0.25">
      <c r="A50" s="105"/>
      <c r="B50" s="105"/>
      <c r="C50" s="105"/>
      <c r="D50" s="105"/>
      <c r="E50" s="110"/>
      <c r="F50" s="110"/>
      <c r="G50" s="105"/>
      <c r="H50" s="105"/>
      <c r="I50" s="105"/>
      <c r="J50" s="105"/>
    </row>
    <row r="51" spans="1:10" x14ac:dyDescent="0.25">
      <c r="A51" s="105"/>
      <c r="B51" s="105"/>
      <c r="C51" s="105"/>
      <c r="D51" s="105"/>
      <c r="E51" s="110"/>
      <c r="F51" s="110"/>
      <c r="G51" s="105"/>
      <c r="H51" s="105"/>
      <c r="I51" s="105"/>
      <c r="J51" s="105"/>
    </row>
    <row r="52" spans="1:10" x14ac:dyDescent="0.25">
      <c r="A52" s="105"/>
      <c r="B52" s="105"/>
      <c r="C52" s="105"/>
      <c r="D52" s="105"/>
      <c r="E52" s="110"/>
      <c r="F52" s="110"/>
      <c r="G52" s="105"/>
      <c r="H52" s="105"/>
      <c r="I52" s="105"/>
      <c r="J52" s="105"/>
    </row>
    <row r="53" spans="1:10" x14ac:dyDescent="0.25">
      <c r="A53" s="105"/>
      <c r="B53" s="105"/>
      <c r="C53" s="105"/>
      <c r="D53" s="105"/>
      <c r="E53" s="110"/>
      <c r="F53" s="110"/>
      <c r="G53" s="105"/>
      <c r="H53" s="105"/>
      <c r="I53" s="105"/>
      <c r="J53" s="105"/>
    </row>
    <row r="54" spans="1:10" x14ac:dyDescent="0.25">
      <c r="A54" s="105"/>
      <c r="B54" s="105"/>
      <c r="C54" s="105"/>
      <c r="D54" s="105"/>
      <c r="E54" s="110"/>
      <c r="F54" s="110"/>
      <c r="G54" s="105"/>
      <c r="H54" s="105"/>
      <c r="I54" s="105"/>
      <c r="J54" s="105"/>
    </row>
    <row r="55" spans="1:10" x14ac:dyDescent="0.25">
      <c r="A55" s="105"/>
      <c r="B55" s="105"/>
      <c r="C55" s="105" t="s">
        <v>379</v>
      </c>
      <c r="D55" s="105"/>
      <c r="E55" s="110"/>
      <c r="F55" s="110"/>
      <c r="G55" s="105"/>
      <c r="H55" s="105"/>
      <c r="I55" s="105"/>
      <c r="J55" s="105"/>
    </row>
    <row r="56" spans="1:10" x14ac:dyDescent="0.25">
      <c r="A56" s="105"/>
      <c r="B56" s="105"/>
      <c r="C56" s="123" t="str">
        <f>"ING "  &amp;'DATOS INICIALES'!B8</f>
        <v>ING MARLON ASDRUBAL PEREZ HERRERA</v>
      </c>
      <c r="D56" s="105"/>
      <c r="E56" s="110"/>
      <c r="F56" s="110"/>
      <c r="G56" s="105"/>
      <c r="H56" s="105"/>
      <c r="I56" s="105"/>
      <c r="J56" s="105"/>
    </row>
    <row r="57" spans="1:10" x14ac:dyDescent="0.25">
      <c r="A57" s="105"/>
      <c r="B57" s="105"/>
      <c r="C57" s="105" t="str">
        <f>'DATOS INICIALES'!B10</f>
        <v>BANCO DE PROYECTOS - SECRETARÍA DE PLANEACIÓN</v>
      </c>
      <c r="D57" s="105"/>
      <c r="E57" s="110"/>
      <c r="F57" s="110"/>
      <c r="G57" s="105"/>
      <c r="H57" s="105"/>
      <c r="I57" s="105"/>
      <c r="J57" s="105"/>
    </row>
    <row r="58" spans="1:10" x14ac:dyDescent="0.25">
      <c r="A58" s="105"/>
      <c r="B58" s="105"/>
      <c r="C58" s="105" t="str">
        <f>'DATOS INICIALES'!B11</f>
        <v>MAT No. 05202-354756ANT</v>
      </c>
      <c r="D58" s="105"/>
      <c r="E58" s="110"/>
      <c r="F58" s="110"/>
      <c r="G58" s="105"/>
      <c r="H58" s="105"/>
      <c r="I58" s="105"/>
      <c r="J58" s="105"/>
    </row>
    <row r="59" spans="1:10" x14ac:dyDescent="0.25">
      <c r="A59" s="105"/>
      <c r="B59" s="105"/>
      <c r="C59" s="105"/>
      <c r="D59" s="105"/>
      <c r="E59" s="110"/>
      <c r="F59" s="110"/>
      <c r="G59" s="105"/>
      <c r="H59" s="105"/>
      <c r="I59" s="105"/>
      <c r="J59" s="105"/>
    </row>
    <row r="60" spans="1:10" x14ac:dyDescent="0.25">
      <c r="A60" s="105"/>
      <c r="B60" s="105"/>
      <c r="C60" s="105"/>
      <c r="D60" s="105"/>
      <c r="E60" s="110"/>
      <c r="F60" s="110"/>
      <c r="G60" s="105"/>
      <c r="H60" s="105"/>
      <c r="I60" s="105"/>
      <c r="J60" s="105"/>
    </row>
    <row r="61" spans="1:10" x14ac:dyDescent="0.25">
      <c r="A61" s="105"/>
      <c r="B61" s="105"/>
      <c r="C61" s="105"/>
      <c r="D61" s="105"/>
      <c r="E61" s="110"/>
      <c r="F61" s="110"/>
      <c r="G61" s="105"/>
      <c r="H61" s="105"/>
      <c r="I61" s="105"/>
      <c r="J61" s="105"/>
    </row>
    <row r="62" spans="1:10" x14ac:dyDescent="0.25">
      <c r="A62" s="105"/>
      <c r="B62" s="105"/>
      <c r="C62" s="105"/>
      <c r="D62" s="105"/>
      <c r="E62" s="110"/>
      <c r="F62" s="110"/>
      <c r="G62" s="105"/>
      <c r="H62" s="105"/>
      <c r="I62" s="105"/>
      <c r="J62" s="105"/>
    </row>
    <row r="63" spans="1:10" x14ac:dyDescent="0.25">
      <c r="A63" s="105"/>
      <c r="B63" s="105"/>
      <c r="C63" s="105"/>
      <c r="D63" s="105"/>
      <c r="E63" s="110"/>
      <c r="F63" s="110"/>
      <c r="G63" s="105"/>
      <c r="H63" s="105"/>
      <c r="I63" s="105"/>
      <c r="J63" s="105"/>
    </row>
    <row r="64" spans="1:10" x14ac:dyDescent="0.25">
      <c r="A64" s="105"/>
      <c r="B64" s="105"/>
      <c r="C64" s="105"/>
      <c r="D64" s="105"/>
      <c r="E64" s="110"/>
      <c r="F64" s="110"/>
      <c r="G64" s="105"/>
      <c r="H64" s="105"/>
      <c r="I64" s="105"/>
      <c r="J64" s="105"/>
    </row>
    <row r="65" spans="1:10" x14ac:dyDescent="0.25">
      <c r="A65" s="105"/>
      <c r="B65" s="105"/>
      <c r="C65" s="105"/>
      <c r="D65" s="105"/>
      <c r="E65" s="110"/>
      <c r="F65" s="110"/>
      <c r="G65" s="105"/>
      <c r="H65" s="105"/>
      <c r="I65" s="105"/>
      <c r="J65" s="105"/>
    </row>
  </sheetData>
  <mergeCells count="18">
    <mergeCell ref="A48:H48"/>
    <mergeCell ref="B17:H17"/>
    <mergeCell ref="B20:H20"/>
    <mergeCell ref="B27:H27"/>
    <mergeCell ref="B29:H29"/>
    <mergeCell ref="A41:H41"/>
    <mergeCell ref="A42:H42"/>
    <mergeCell ref="A43:H43"/>
    <mergeCell ref="A44:H44"/>
    <mergeCell ref="A45:H45"/>
    <mergeCell ref="A46:H46"/>
    <mergeCell ref="A47:H47"/>
    <mergeCell ref="B15:H15"/>
    <mergeCell ref="A1:F1"/>
    <mergeCell ref="G1:I5"/>
    <mergeCell ref="A2:F2"/>
    <mergeCell ref="A3:F3"/>
    <mergeCell ref="A5:F5"/>
  </mergeCells>
  <phoneticPr fontId="30" type="noConversion"/>
  <dataValidations count="1">
    <dataValidation type="list" allowBlank="1" showInputMessage="1" showErrorMessage="1" sqref="C28" xr:uid="{00000000-0002-0000-0600-000000000000}">
      <formula1>#REF!</formula1>
    </dataValidation>
  </dataValidations>
  <pageMargins left="0.7" right="0.7" top="0.75" bottom="0.75" header="0.3" footer="0.3"/>
  <pageSetup scale="60" orientation="portrait" horizontalDpi="4294967292" r:id="rId1"/>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600-000001000000}">
          <x14:formula1>
            <xm:f>'INSUMOS SERVICIOS'!$B$7:$B$21</xm:f>
          </x14:formula1>
          <xm:sqref>C21:C27 C29</xm:sqref>
        </x14:dataValidation>
        <x14:dataValidation type="list" allowBlank="1" showInputMessage="1" showErrorMessage="1" xr:uid="{00000000-0002-0000-0600-000002000000}">
          <x14:formula1>
            <xm:f>'INSUMOS EQUIPOS'!$B$8:$B$39</xm:f>
          </x14:formula1>
          <xm:sqref>C18:C19</xm:sqref>
        </x14:dataValidation>
        <x14:dataValidation type="list" allowBlank="1" showInputMessage="1" showErrorMessage="1" xr:uid="{00000000-0002-0000-0600-000003000000}">
          <x14:formula1>
            <xm:f>'INSUMOS SERVICIOS'!$B$8:$B$21</xm:f>
          </x14:formula1>
          <xm:sqref>C16</xm:sqref>
        </x14:dataValidation>
        <x14:dataValidation type="list" allowBlank="1" showInputMessage="1" showErrorMessage="1" xr:uid="{00000000-0002-0000-0600-000004000000}">
          <x14:formula1>
            <xm:f>'INSUMOS MANO DE OBRA'!$B$8:$B$61</xm:f>
          </x14:formula1>
          <xm:sqref>C9:C14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53"/>
  <sheetViews>
    <sheetView view="pageBreakPreview" zoomScale="90" zoomScaleNormal="60" zoomScaleSheetLayoutView="90" workbookViewId="0">
      <pane ySplit="7" topLeftCell="A26" activePane="bottomLeft" state="frozen"/>
      <selection pane="bottomLeft" activeCell="H40" sqref="H40"/>
    </sheetView>
  </sheetViews>
  <sheetFormatPr baseColWidth="10" defaultRowHeight="15" x14ac:dyDescent="0.25"/>
  <cols>
    <col min="2" max="2" width="15.7109375" customWidth="1"/>
    <col min="3" max="3" width="39.28515625" customWidth="1"/>
    <col min="4" max="4" width="10.5703125" customWidth="1"/>
    <col min="5" max="5" width="18.28515625" style="67" customWidth="1"/>
    <col min="6" max="6" width="13.42578125" style="67" customWidth="1"/>
    <col min="9" max="9" width="17" customWidth="1"/>
    <col min="12" max="12" width="15.42578125" bestFit="1" customWidth="1"/>
  </cols>
  <sheetData>
    <row r="1" spans="1:12" ht="26.25" x14ac:dyDescent="0.25">
      <c r="A1" s="396" t="s">
        <v>0</v>
      </c>
      <c r="B1" s="396"/>
      <c r="C1" s="396"/>
      <c r="D1" s="396"/>
      <c r="E1" s="396"/>
      <c r="F1" s="396"/>
      <c r="G1" s="486" t="s">
        <v>53</v>
      </c>
      <c r="H1" s="486"/>
      <c r="I1" s="415"/>
    </row>
    <row r="2" spans="1:12" ht="21" x14ac:dyDescent="0.25">
      <c r="A2" s="390" t="str">
        <f>'DATOS INICIALES'!B2</f>
        <v>MUNICIPIO DE DABEIBA</v>
      </c>
      <c r="B2" s="390"/>
      <c r="C2" s="390"/>
      <c r="D2" s="390"/>
      <c r="E2" s="390"/>
      <c r="F2" s="390"/>
      <c r="G2" s="487"/>
      <c r="H2" s="487"/>
      <c r="I2" s="488"/>
    </row>
    <row r="3" spans="1:12" ht="46.15" customHeight="1" x14ac:dyDescent="0.25">
      <c r="A3" s="391" t="str">
        <f>'DATOS INICIALES'!B3</f>
        <v xml:space="preserve">CONSTRUCCIÓN DE CASA DE SALUD EN EL CORREGIMIENTO LA BALSITA DEL MUNICIPIO DE DABEIBA </v>
      </c>
      <c r="B3" s="391"/>
      <c r="C3" s="391"/>
      <c r="D3" s="391"/>
      <c r="E3" s="391"/>
      <c r="F3" s="391"/>
      <c r="G3" s="487"/>
      <c r="H3" s="487"/>
      <c r="I3" s="488"/>
    </row>
    <row r="4" spans="1:12" ht="9" customHeight="1" x14ac:dyDescent="0.25">
      <c r="A4" s="17"/>
      <c r="B4" s="4"/>
      <c r="C4" s="4"/>
      <c r="D4" s="4"/>
      <c r="E4" s="92"/>
      <c r="F4" s="92"/>
      <c r="G4" s="487"/>
      <c r="H4" s="487"/>
      <c r="I4" s="488"/>
    </row>
    <row r="5" spans="1:12" x14ac:dyDescent="0.25">
      <c r="A5" s="399" t="s">
        <v>349</v>
      </c>
      <c r="B5" s="399"/>
      <c r="C5" s="399"/>
      <c r="D5" s="399"/>
      <c r="E5" s="399"/>
      <c r="F5" s="399"/>
      <c r="G5" s="489"/>
      <c r="H5" s="489"/>
      <c r="I5" s="417"/>
    </row>
    <row r="6" spans="1:12" ht="7.15" customHeight="1" x14ac:dyDescent="0.25"/>
    <row r="7" spans="1:12" x14ac:dyDescent="0.25">
      <c r="A7" s="34" t="s">
        <v>44</v>
      </c>
      <c r="B7" s="34" t="s">
        <v>54</v>
      </c>
      <c r="C7" s="34" t="s">
        <v>46</v>
      </c>
      <c r="D7" s="34" t="s">
        <v>342</v>
      </c>
      <c r="E7" s="106" t="s">
        <v>343</v>
      </c>
      <c r="F7" s="106" t="s">
        <v>344</v>
      </c>
      <c r="G7" s="34" t="s">
        <v>345</v>
      </c>
      <c r="H7" s="34" t="s">
        <v>346</v>
      </c>
      <c r="I7" s="102" t="s">
        <v>347</v>
      </c>
      <c r="J7" s="105"/>
    </row>
    <row r="8" spans="1:12" x14ac:dyDescent="0.25">
      <c r="A8" s="20">
        <v>1</v>
      </c>
      <c r="B8" s="103" t="s">
        <v>348</v>
      </c>
      <c r="C8" s="103"/>
      <c r="D8" s="103"/>
      <c r="E8" s="107"/>
      <c r="F8" s="107"/>
      <c r="G8" s="103"/>
      <c r="H8" s="103"/>
      <c r="I8" s="104">
        <f>IF(SUM(I9:I10)=0,"",SUM(I9:I10))</f>
        <v>34562868</v>
      </c>
      <c r="J8" s="105"/>
    </row>
    <row r="9" spans="1:12" x14ac:dyDescent="0.25">
      <c r="A9" s="74" t="s">
        <v>350</v>
      </c>
      <c r="B9" s="74" t="str">
        <f>IF(C9="","",INDEX(CODIGOSMANODEOBRA,MATCH($C9,'INSUMOS MANO DE OBRA'!$B$7:$B$61,0)))</f>
        <v>MO003</v>
      </c>
      <c r="C9" s="109" t="s">
        <v>219</v>
      </c>
      <c r="D9" s="114">
        <v>1</v>
      </c>
      <c r="E9" s="77">
        <f>IF(C9="","",IFERROR(VLOOKUP($B9,INSUMOSMANODEOBRA,4,0),""))</f>
        <v>4377263</v>
      </c>
      <c r="F9" s="111">
        <f>IF(C9="","",IFERROR(ROUND((VLOOKUP($B9,INSUMOSMANODEOBRA,5,0)-1)*E9,0),""))</f>
        <v>2232404</v>
      </c>
      <c r="G9" s="113">
        <v>1</v>
      </c>
      <c r="H9" s="114">
        <v>3</v>
      </c>
      <c r="I9" s="77">
        <f>+IF(D9=0,"",IFERROR(D9*(E9+F9)*G9*H9,""))</f>
        <v>19829001</v>
      </c>
      <c r="J9" s="105"/>
    </row>
    <row r="10" spans="1:12" x14ac:dyDescent="0.25">
      <c r="A10" s="74" t="s">
        <v>496</v>
      </c>
      <c r="B10" s="74" t="str">
        <f>IF(C10="","",INDEX(CODIGOSMANODEOBRA,MATCH($C10,'INSUMOS MANO DE OBRA'!$B$7:$B$61,0)))</f>
        <v>MO008</v>
      </c>
      <c r="C10" s="109" t="s">
        <v>224</v>
      </c>
      <c r="D10" s="114">
        <v>1</v>
      </c>
      <c r="E10" s="77">
        <f>IF(C10="","",IFERROR(VLOOKUP($B10,INSUMOSMANODEOBRA,4,0),""))</f>
        <v>2976539</v>
      </c>
      <c r="F10" s="111">
        <f>IF(C10="","",IFERROR(ROUND((VLOOKUP($B10,INSUMOSMANODEOBRA,5,0)-1)*E10,0),""))</f>
        <v>1934750</v>
      </c>
      <c r="G10" s="113">
        <v>1</v>
      </c>
      <c r="H10" s="114">
        <v>3</v>
      </c>
      <c r="I10" s="77">
        <f>+IF(D10=0,"",IFERROR(D10*(E10+F10)*G10*H10,""))</f>
        <v>14733867</v>
      </c>
      <c r="J10" s="105"/>
      <c r="L10" s="161"/>
    </row>
    <row r="11" spans="1:12" x14ac:dyDescent="0.25">
      <c r="A11" s="20">
        <v>2</v>
      </c>
      <c r="B11" s="484" t="s">
        <v>354</v>
      </c>
      <c r="C11" s="484"/>
      <c r="D11" s="484"/>
      <c r="E11" s="484"/>
      <c r="F11" s="484"/>
      <c r="G11" s="484"/>
      <c r="H11" s="485"/>
      <c r="I11" s="104">
        <f>IF(SUM(I12:I12)=0,"",SUM(I12:I12))</f>
        <v>1800000</v>
      </c>
      <c r="J11" s="105"/>
    </row>
    <row r="12" spans="1:12" x14ac:dyDescent="0.25">
      <c r="A12" s="74" t="s">
        <v>351</v>
      </c>
      <c r="B12" s="74" t="str">
        <f>IF(C12="","",INDEX(CODIGOSSERVICIOS,MATCH($C12,'INSUMOS SERVICIOS'!B7:B21,0)))</f>
        <v>SE003</v>
      </c>
      <c r="C12" s="109" t="s">
        <v>318</v>
      </c>
      <c r="D12" s="114">
        <v>1</v>
      </c>
      <c r="E12" s="77">
        <f>IF(C12="","",(VLOOKUP($B12,INSUMOSSERVICIOS,4,0)))</f>
        <v>600000</v>
      </c>
      <c r="F12" s="77"/>
      <c r="G12" s="108"/>
      <c r="H12" s="112">
        <v>3</v>
      </c>
      <c r="I12" s="77">
        <f>IFERROR(D12*E12*H12,"")</f>
        <v>1800000</v>
      </c>
      <c r="J12" s="105"/>
    </row>
    <row r="13" spans="1:12" x14ac:dyDescent="0.25">
      <c r="A13" s="20">
        <v>3</v>
      </c>
      <c r="B13" s="484" t="s">
        <v>357</v>
      </c>
      <c r="C13" s="484"/>
      <c r="D13" s="484"/>
      <c r="E13" s="484"/>
      <c r="F13" s="484"/>
      <c r="G13" s="484"/>
      <c r="H13" s="485"/>
      <c r="I13" s="104">
        <f>IF(SUM(I14:I15)=0,"",SUM(I14:I15))</f>
        <v>660000</v>
      </c>
      <c r="J13" s="105"/>
    </row>
    <row r="14" spans="1:12" ht="56.45" customHeight="1" x14ac:dyDescent="0.25">
      <c r="A14" s="115" t="s">
        <v>353</v>
      </c>
      <c r="B14" s="115" t="str">
        <f>IF(C14="","",INDEX(CODIGOEQUIPOS,MATCH($C14,'INSUMOS EQUIPOS'!$B$7:$B$39,0)))</f>
        <v>EQ007</v>
      </c>
      <c r="C14" s="116" t="s">
        <v>77</v>
      </c>
      <c r="D14" s="117">
        <v>1</v>
      </c>
      <c r="E14" s="118">
        <f>IF(C14="","",(VLOOKUP($B14,INSUMOSEQUIPOS,4,FALSE)))</f>
        <v>180000</v>
      </c>
      <c r="F14" s="77"/>
      <c r="G14" s="108"/>
      <c r="H14" s="119">
        <v>3</v>
      </c>
      <c r="I14" s="118">
        <f>IF(D14=0,"",IFERROR(D14*E14*H14,""))</f>
        <v>540000</v>
      </c>
      <c r="J14" s="105"/>
    </row>
    <row r="15" spans="1:12" x14ac:dyDescent="0.25">
      <c r="A15" s="74" t="s">
        <v>411</v>
      </c>
      <c r="B15" s="115" t="str">
        <f>IF(C15="","",INDEX(CODIGOEQUIPOS,MATCH($C15,'INSUMOS EQUIPOS'!$B$7:$B$39,0)))</f>
        <v>EQ008</v>
      </c>
      <c r="C15" s="109" t="s">
        <v>79</v>
      </c>
      <c r="D15" s="114">
        <v>1</v>
      </c>
      <c r="E15" s="118">
        <f>IF(C15="","",(VLOOKUP($B15,INSUMOSEQUIPOS,4,FALSE)))</f>
        <v>40000</v>
      </c>
      <c r="F15" s="77"/>
      <c r="G15" s="108"/>
      <c r="H15" s="119">
        <v>3</v>
      </c>
      <c r="I15" s="118">
        <f>IF(D15=0,"",IFERROR(D15*E15*H15,""))</f>
        <v>120000</v>
      </c>
      <c r="J15" s="105"/>
    </row>
    <row r="16" spans="1:12" x14ac:dyDescent="0.25">
      <c r="A16" s="20">
        <v>4</v>
      </c>
      <c r="B16" s="484" t="s">
        <v>361</v>
      </c>
      <c r="C16" s="484"/>
      <c r="D16" s="484"/>
      <c r="E16" s="484"/>
      <c r="F16" s="484"/>
      <c r="G16" s="484"/>
      <c r="H16" s="485"/>
      <c r="I16" s="104">
        <f>IF(SUM(I17:I18)=0,"",SUM(I17:I18))</f>
        <v>1277000</v>
      </c>
      <c r="J16" s="105"/>
    </row>
    <row r="17" spans="1:10" ht="36.75" x14ac:dyDescent="0.25">
      <c r="A17" s="115" t="s">
        <v>355</v>
      </c>
      <c r="B17" s="115" t="str">
        <f>IF(C17="","",INDEX(CODIGOSSERVICIOS,MATCH($C17,'INSUMOS SERVICIOS'!$B$7:$B$21,0)))</f>
        <v>SEL006</v>
      </c>
      <c r="C17" s="120" t="s">
        <v>330</v>
      </c>
      <c r="D17" s="117">
        <v>1</v>
      </c>
      <c r="E17" s="118">
        <f>IF(C17="","",(VLOOKUP($B17,INSUMOSSERVICIOS,4,0)))</f>
        <v>737000</v>
      </c>
      <c r="F17" s="118"/>
      <c r="G17" s="121"/>
      <c r="H17" s="121"/>
      <c r="I17" s="118">
        <f>IF(D17=0,"",IFERROR(D17*E17,""))</f>
        <v>737000</v>
      </c>
      <c r="J17" s="105"/>
    </row>
    <row r="18" spans="1:10" ht="24.75" x14ac:dyDescent="0.25">
      <c r="A18" s="115" t="s">
        <v>356</v>
      </c>
      <c r="B18" s="115" t="str">
        <f>IF(C18="","",INDEX(CODIGOSSERVICIOS,MATCH($C18,'INSUMOS SERVICIOS'!$B$7:$B$21,0)))</f>
        <v>SEL007</v>
      </c>
      <c r="C18" s="120" t="s">
        <v>339</v>
      </c>
      <c r="D18" s="117">
        <f>4*9</f>
        <v>36</v>
      </c>
      <c r="E18" s="118">
        <f>IF(C18="","",(VLOOKUP($B18,INSUMOSSERVICIOS,4,0)))</f>
        <v>15000</v>
      </c>
      <c r="F18" s="118"/>
      <c r="G18" s="121"/>
      <c r="H18" s="121"/>
      <c r="I18" s="118">
        <f>IF(D18=0,"",IFERROR(D18*E18,""))</f>
        <v>540000</v>
      </c>
      <c r="J18" s="105"/>
    </row>
    <row r="19" spans="1:10" x14ac:dyDescent="0.25">
      <c r="A19" s="20">
        <v>5</v>
      </c>
      <c r="B19" s="484" t="s">
        <v>362</v>
      </c>
      <c r="C19" s="484"/>
      <c r="D19" s="484"/>
      <c r="E19" s="484"/>
      <c r="F19" s="484"/>
      <c r="G19" s="484"/>
      <c r="H19" s="485"/>
      <c r="I19" s="104" t="str">
        <f>IF(SUM(I20)=0,"",SUM(I20))</f>
        <v/>
      </c>
      <c r="J19" s="105"/>
    </row>
    <row r="20" spans="1:10" x14ac:dyDescent="0.25">
      <c r="A20" s="74" t="s">
        <v>358</v>
      </c>
      <c r="B20" s="74" t="e">
        <f>IF(C20="","",INDEX(CODIGOMATERIALES,MATCH($C20,#REF!,0)))</f>
        <v>#REF!</v>
      </c>
      <c r="C20" s="109" t="s">
        <v>508</v>
      </c>
      <c r="D20" s="114">
        <v>1</v>
      </c>
      <c r="E20" s="75" t="e">
        <f>IF(C20="","",(VLOOKUP($B20,INSUMOSMATERIALES,4,0)))</f>
        <v>#REF!</v>
      </c>
      <c r="F20" s="77"/>
      <c r="G20" s="108"/>
      <c r="H20" s="108"/>
      <c r="I20" s="77" t="str">
        <f>IF(D20=0,"",IFERROR(D20*E20,""))</f>
        <v/>
      </c>
      <c r="J20" s="105"/>
    </row>
    <row r="21" spans="1:10" x14ac:dyDescent="0.25">
      <c r="A21" s="20">
        <v>6</v>
      </c>
      <c r="B21" s="484" t="s">
        <v>363</v>
      </c>
      <c r="C21" s="484"/>
      <c r="D21" s="484"/>
      <c r="E21" s="484"/>
      <c r="F21" s="484"/>
      <c r="G21" s="484"/>
      <c r="H21" s="485"/>
      <c r="I21" s="104">
        <f ca="1">IF(SUM(I22:I28)=0,"",SUM(I22:I28))</f>
        <v>1237955608.7725098</v>
      </c>
      <c r="J21" s="105"/>
    </row>
    <row r="22" spans="1:10" x14ac:dyDescent="0.25">
      <c r="A22" s="74" t="s">
        <v>359</v>
      </c>
      <c r="B22" s="108"/>
      <c r="C22" s="108" t="s">
        <v>364</v>
      </c>
      <c r="D22" s="108"/>
      <c r="E22" s="77"/>
      <c r="F22" s="77"/>
      <c r="G22" s="108"/>
      <c r="H22" s="108"/>
      <c r="I22" s="141">
        <f ca="1">IF('POLIZAS OBRA'!$G$21=0,"",'POLIZAS OBRA'!$G$21)</f>
        <v>33956831.356323101</v>
      </c>
      <c r="J22" s="105"/>
    </row>
    <row r="23" spans="1:10" x14ac:dyDescent="0.25">
      <c r="A23" s="74" t="s">
        <v>360</v>
      </c>
      <c r="B23" s="108"/>
      <c r="C23" s="108" t="s">
        <v>365</v>
      </c>
      <c r="D23" s="122">
        <v>0.05</v>
      </c>
      <c r="E23" s="77">
        <f ca="1">IF(PRESUPUESTO!$H$127=0,"",PRESUPUESTO!$H$127)</f>
        <v>8599991267.2584763</v>
      </c>
      <c r="F23" s="77"/>
      <c r="G23" s="108"/>
      <c r="H23" s="108"/>
      <c r="I23" s="141">
        <f ca="1">IFERROR(IF(D23*E23=0,"",D23*E23),"")</f>
        <v>429999563.36292386</v>
      </c>
      <c r="J23" s="105"/>
    </row>
    <row r="24" spans="1:10" x14ac:dyDescent="0.25">
      <c r="A24" s="74" t="s">
        <v>509</v>
      </c>
      <c r="B24" s="108"/>
      <c r="C24" s="108" t="s">
        <v>366</v>
      </c>
      <c r="D24" s="108"/>
      <c r="E24" s="77"/>
      <c r="F24" s="77"/>
      <c r="G24" s="108"/>
      <c r="H24" s="108"/>
      <c r="I24" s="142"/>
      <c r="J24" s="105"/>
    </row>
    <row r="25" spans="1:10" x14ac:dyDescent="0.25">
      <c r="A25" s="74" t="s">
        <v>510</v>
      </c>
      <c r="B25" s="108"/>
      <c r="C25" s="109" t="s">
        <v>367</v>
      </c>
      <c r="D25" s="113">
        <v>0.01</v>
      </c>
      <c r="E25" s="77">
        <f ca="1">IF(PRESUPUESTO!$H$127=0,"",PRESUPUESTO!$H$127)</f>
        <v>8599991267.2584763</v>
      </c>
      <c r="F25" s="77"/>
      <c r="G25" s="108"/>
      <c r="H25" s="108"/>
      <c r="I25" s="141">
        <f ca="1">IFERROR(IF(D25*E25=0,"",D25*E25),"")</f>
        <v>85999912.672584757</v>
      </c>
      <c r="J25" s="105"/>
    </row>
    <row r="26" spans="1:10" x14ac:dyDescent="0.25">
      <c r="A26" s="74" t="s">
        <v>511</v>
      </c>
      <c r="B26" s="108"/>
      <c r="C26" s="109" t="s">
        <v>368</v>
      </c>
      <c r="D26" s="113">
        <v>0.02</v>
      </c>
      <c r="E26" s="77">
        <f ca="1">IF(PRESUPUESTO!$H$127=0,"",PRESUPUESTO!$H$127)</f>
        <v>8599991267.2584763</v>
      </c>
      <c r="F26" s="77"/>
      <c r="G26" s="108"/>
      <c r="H26" s="108"/>
      <c r="I26" s="141">
        <f ca="1">IFERROR(IF(D26*E26=0,"",D26*E26),"")</f>
        <v>171999825.34516951</v>
      </c>
      <c r="J26" s="105"/>
    </row>
    <row r="27" spans="1:10" x14ac:dyDescent="0.25">
      <c r="A27" s="74" t="s">
        <v>512</v>
      </c>
      <c r="B27" s="108"/>
      <c r="C27" s="109" t="s">
        <v>369</v>
      </c>
      <c r="D27" s="113">
        <v>0.04</v>
      </c>
      <c r="E27" s="77">
        <f ca="1">IF(PRESUPUESTO!$H$127=0,"",PRESUPUESTO!$H$127)</f>
        <v>8599991267.2584763</v>
      </c>
      <c r="F27" s="77"/>
      <c r="G27" s="108"/>
      <c r="H27" s="108"/>
      <c r="I27" s="141">
        <f ca="1">IFERROR(IF(D27*E27=0,"",D27*E27),"")</f>
        <v>343999650.69033903</v>
      </c>
      <c r="J27" s="105"/>
    </row>
    <row r="28" spans="1:10" x14ac:dyDescent="0.25">
      <c r="A28" s="74" t="s">
        <v>513</v>
      </c>
      <c r="B28" s="108"/>
      <c r="C28" s="109" t="s">
        <v>370</v>
      </c>
      <c r="D28" s="113">
        <v>0.02</v>
      </c>
      <c r="E28" s="77">
        <f ca="1">IF(PRESUPUESTO!$H$127=0,"",PRESUPUESTO!$H$127)</f>
        <v>8599991267.2584763</v>
      </c>
      <c r="F28" s="77"/>
      <c r="G28" s="108"/>
      <c r="H28" s="108"/>
      <c r="I28" s="141">
        <f ca="1">IFERROR(IF(D28*E28=0,"",D28*E28),"")</f>
        <v>171999825.34516951</v>
      </c>
      <c r="J28" s="105"/>
    </row>
    <row r="29" spans="1:10" x14ac:dyDescent="0.25">
      <c r="A29" s="490" t="s">
        <v>371</v>
      </c>
      <c r="B29" s="490"/>
      <c r="C29" s="490"/>
      <c r="D29" s="490"/>
      <c r="E29" s="490"/>
      <c r="F29" s="490"/>
      <c r="G29" s="490"/>
      <c r="H29" s="490"/>
      <c r="I29" s="143">
        <f ca="1">IF(SUM(I8,I11,I13,I16,I19,I21)=0,"",SUM(I8,I11,I13,I16,I19,I21))</f>
        <v>1276255476.7725098</v>
      </c>
      <c r="J29" s="105"/>
    </row>
    <row r="30" spans="1:10" x14ac:dyDescent="0.25">
      <c r="A30" s="490" t="s">
        <v>372</v>
      </c>
      <c r="B30" s="490"/>
      <c r="C30" s="490"/>
      <c r="D30" s="490"/>
      <c r="E30" s="490"/>
      <c r="F30" s="490"/>
      <c r="G30" s="490"/>
      <c r="H30" s="490"/>
      <c r="I30" s="143">
        <f ca="1">IFERROR(PRESUPUESTO!H120-AIU!I29,"")</f>
        <v>46979720.625800371</v>
      </c>
      <c r="J30" s="105"/>
    </row>
    <row r="31" spans="1:10" x14ac:dyDescent="0.25">
      <c r="A31" s="490" t="s">
        <v>373</v>
      </c>
      <c r="B31" s="490"/>
      <c r="C31" s="490"/>
      <c r="D31" s="490"/>
      <c r="E31" s="490"/>
      <c r="F31" s="490"/>
      <c r="G31" s="490"/>
      <c r="H31" s="490"/>
      <c r="I31" s="143">
        <f ca="1">IFERROR(I29+I30,"")</f>
        <v>1323235197.3983102</v>
      </c>
      <c r="J31" s="105"/>
    </row>
    <row r="32" spans="1:10" x14ac:dyDescent="0.25">
      <c r="A32" s="490" t="s">
        <v>374</v>
      </c>
      <c r="B32" s="490"/>
      <c r="C32" s="490"/>
      <c r="D32" s="490"/>
      <c r="E32" s="490"/>
      <c r="F32" s="490"/>
      <c r="G32" s="490"/>
      <c r="H32" s="490"/>
      <c r="I32" s="143">
        <f>IF(PRESUPUESTO!$H$119=0,"",PRESUPUESTO!$H$119)</f>
        <v>6111940865.58111</v>
      </c>
      <c r="J32" s="105"/>
    </row>
    <row r="33" spans="1:10" x14ac:dyDescent="0.25">
      <c r="A33" s="490" t="s">
        <v>375</v>
      </c>
      <c r="B33" s="490"/>
      <c r="C33" s="490"/>
      <c r="D33" s="490"/>
      <c r="E33" s="490"/>
      <c r="F33" s="490"/>
      <c r="G33" s="490"/>
      <c r="H33" s="490"/>
      <c r="I33" s="122">
        <f ca="1">IFERROR(ROUND(I29/I32,4),"")</f>
        <v>0.20880000000000001</v>
      </c>
      <c r="J33" s="105"/>
    </row>
    <row r="34" spans="1:10" x14ac:dyDescent="0.25">
      <c r="A34" s="490" t="s">
        <v>376</v>
      </c>
      <c r="B34" s="490"/>
      <c r="C34" s="490"/>
      <c r="D34" s="490"/>
      <c r="E34" s="490"/>
      <c r="F34" s="490"/>
      <c r="G34" s="490"/>
      <c r="H34" s="490"/>
      <c r="I34" s="113">
        <v>0</v>
      </c>
      <c r="J34" s="105"/>
    </row>
    <row r="35" spans="1:10" x14ac:dyDescent="0.25">
      <c r="A35" s="490" t="s">
        <v>377</v>
      </c>
      <c r="B35" s="490"/>
      <c r="C35" s="490"/>
      <c r="D35" s="490"/>
      <c r="E35" s="490"/>
      <c r="F35" s="490"/>
      <c r="G35" s="490"/>
      <c r="H35" s="490"/>
      <c r="I35" s="113">
        <v>0.05</v>
      </c>
      <c r="J35" s="105"/>
    </row>
    <row r="36" spans="1:10" x14ac:dyDescent="0.25">
      <c r="A36" s="490" t="s">
        <v>378</v>
      </c>
      <c r="B36" s="490"/>
      <c r="C36" s="490"/>
      <c r="D36" s="490"/>
      <c r="E36" s="490"/>
      <c r="F36" s="490"/>
      <c r="G36" s="490"/>
      <c r="H36" s="490"/>
      <c r="I36" s="122">
        <f ca="1">IF(SUM(I33:I35)=0,"",SUM(I33:I35))</f>
        <v>0.25880000000000003</v>
      </c>
      <c r="J36" s="105"/>
    </row>
    <row r="37" spans="1:10" x14ac:dyDescent="0.25">
      <c r="A37" s="105"/>
      <c r="B37" s="105"/>
      <c r="C37" s="105"/>
      <c r="D37" s="105"/>
      <c r="E37" s="110"/>
      <c r="F37" s="110"/>
      <c r="G37" s="105"/>
      <c r="H37" s="105"/>
      <c r="I37" s="105"/>
      <c r="J37" s="105"/>
    </row>
    <row r="38" spans="1:10" x14ac:dyDescent="0.25">
      <c r="A38" s="105"/>
      <c r="B38" s="105"/>
      <c r="C38" s="105"/>
      <c r="D38" s="105"/>
      <c r="E38" s="110"/>
      <c r="F38" s="110"/>
      <c r="G38" s="105"/>
      <c r="H38" s="105"/>
      <c r="I38" s="105"/>
      <c r="J38" s="105"/>
    </row>
    <row r="39" spans="1:10" x14ac:dyDescent="0.25">
      <c r="A39" s="105"/>
      <c r="B39" s="105"/>
      <c r="C39" s="105"/>
      <c r="D39" s="105"/>
      <c r="E39" s="110"/>
      <c r="F39" s="110"/>
      <c r="G39" s="105"/>
      <c r="H39" s="105"/>
      <c r="I39" s="105"/>
      <c r="J39" s="105"/>
    </row>
    <row r="40" spans="1:10" x14ac:dyDescent="0.25">
      <c r="A40" s="105"/>
      <c r="B40" s="105"/>
      <c r="C40" s="105"/>
      <c r="D40" s="105"/>
      <c r="E40" s="110"/>
      <c r="F40" s="110"/>
      <c r="G40" s="105"/>
      <c r="H40" s="105"/>
      <c r="I40" s="105"/>
      <c r="J40" s="105"/>
    </row>
    <row r="41" spans="1:10" x14ac:dyDescent="0.25">
      <c r="A41" s="105"/>
      <c r="B41" s="105"/>
      <c r="C41" s="105"/>
      <c r="D41" s="105"/>
      <c r="E41" s="110"/>
      <c r="F41" s="110"/>
      <c r="G41" s="105"/>
      <c r="H41" s="105"/>
      <c r="I41" s="105"/>
      <c r="J41" s="105"/>
    </row>
    <row r="42" spans="1:10" x14ac:dyDescent="0.25">
      <c r="A42" s="105"/>
      <c r="B42" s="105"/>
      <c r="C42" s="105"/>
      <c r="D42" s="105"/>
      <c r="E42" s="110"/>
      <c r="F42" s="110"/>
      <c r="G42" s="105"/>
      <c r="H42" s="105"/>
      <c r="I42" s="105"/>
      <c r="J42" s="105"/>
    </row>
    <row r="43" spans="1:10" x14ac:dyDescent="0.25">
      <c r="A43" s="105"/>
      <c r="B43" s="105"/>
      <c r="C43" s="105" t="s">
        <v>379</v>
      </c>
      <c r="D43" s="105"/>
      <c r="E43" s="110"/>
      <c r="F43" s="110"/>
      <c r="G43" s="105"/>
      <c r="H43" s="105"/>
      <c r="I43" s="105"/>
      <c r="J43" s="105"/>
    </row>
    <row r="44" spans="1:10" x14ac:dyDescent="0.25">
      <c r="A44" s="105"/>
      <c r="B44" s="105"/>
      <c r="C44" s="123" t="str">
        <f>"ING "  &amp;'DATOS INICIALES'!B8</f>
        <v>ING MARLON ASDRUBAL PEREZ HERRERA</v>
      </c>
      <c r="D44" s="105"/>
      <c r="E44" s="110"/>
      <c r="F44" s="110"/>
      <c r="G44" s="105"/>
      <c r="H44" s="105"/>
      <c r="I44" s="105"/>
      <c r="J44" s="105"/>
    </row>
    <row r="45" spans="1:10" x14ac:dyDescent="0.25">
      <c r="A45" s="105"/>
      <c r="B45" s="105"/>
      <c r="C45" s="105" t="str">
        <f>'DATOS INICIALES'!B10</f>
        <v>BANCO DE PROYECTOS - SECRETARÍA DE PLANEACIÓN</v>
      </c>
      <c r="D45" s="105"/>
      <c r="E45" s="110"/>
      <c r="F45" s="110"/>
      <c r="G45" s="105"/>
      <c r="H45" s="105"/>
      <c r="I45" s="105"/>
      <c r="J45" s="105"/>
    </row>
    <row r="46" spans="1:10" x14ac:dyDescent="0.25">
      <c r="A46" s="105"/>
      <c r="B46" s="105"/>
      <c r="C46" s="105" t="str">
        <f>'DATOS INICIALES'!B11</f>
        <v>MAT No. 05202-354756ANT</v>
      </c>
      <c r="D46" s="105"/>
      <c r="E46" s="110"/>
      <c r="F46" s="110"/>
      <c r="G46" s="105"/>
      <c r="H46" s="105"/>
      <c r="I46" s="105"/>
      <c r="J46" s="105"/>
    </row>
    <row r="47" spans="1:10" x14ac:dyDescent="0.25">
      <c r="A47" s="105"/>
      <c r="B47" s="105"/>
      <c r="C47" s="105"/>
      <c r="D47" s="105"/>
      <c r="E47" s="110"/>
      <c r="F47" s="110"/>
      <c r="G47" s="105"/>
      <c r="H47" s="105"/>
      <c r="I47" s="105"/>
      <c r="J47" s="105"/>
    </row>
    <row r="48" spans="1:10" x14ac:dyDescent="0.25">
      <c r="A48" s="105"/>
      <c r="B48" s="105"/>
      <c r="C48" s="105"/>
      <c r="D48" s="105"/>
      <c r="E48" s="110"/>
      <c r="F48" s="110"/>
      <c r="G48" s="105"/>
      <c r="H48" s="105"/>
      <c r="I48" s="105"/>
      <c r="J48" s="105"/>
    </row>
    <row r="49" spans="1:10" x14ac:dyDescent="0.25">
      <c r="A49" s="105"/>
      <c r="B49" s="105"/>
      <c r="C49" s="105"/>
      <c r="D49" s="105"/>
      <c r="E49" s="110"/>
      <c r="F49" s="110"/>
      <c r="G49" s="105"/>
      <c r="H49" s="105"/>
      <c r="I49" s="105"/>
      <c r="J49" s="105"/>
    </row>
    <row r="50" spans="1:10" x14ac:dyDescent="0.25">
      <c r="A50" s="105"/>
      <c r="B50" s="105"/>
      <c r="C50" s="105"/>
      <c r="D50" s="105"/>
      <c r="E50" s="110"/>
      <c r="F50" s="110"/>
      <c r="G50" s="105"/>
      <c r="H50" s="105"/>
      <c r="I50" s="105"/>
      <c r="J50" s="105"/>
    </row>
    <row r="51" spans="1:10" x14ac:dyDescent="0.25">
      <c r="A51" s="105"/>
      <c r="B51" s="105"/>
      <c r="C51" s="105"/>
      <c r="D51" s="105"/>
      <c r="E51" s="110"/>
      <c r="F51" s="110"/>
      <c r="G51" s="105"/>
      <c r="H51" s="105"/>
      <c r="I51" s="105"/>
      <c r="J51" s="105"/>
    </row>
    <row r="52" spans="1:10" x14ac:dyDescent="0.25">
      <c r="A52" s="105"/>
      <c r="B52" s="105"/>
      <c r="C52" s="105"/>
      <c r="D52" s="105"/>
      <c r="E52" s="110"/>
      <c r="F52" s="110"/>
      <c r="G52" s="105"/>
      <c r="H52" s="105"/>
      <c r="I52" s="105"/>
      <c r="J52" s="105"/>
    </row>
    <row r="53" spans="1:10" x14ac:dyDescent="0.25">
      <c r="A53" s="105"/>
      <c r="B53" s="105"/>
      <c r="C53" s="105"/>
      <c r="D53" s="105"/>
      <c r="E53" s="110"/>
      <c r="F53" s="110"/>
      <c r="G53" s="105"/>
      <c r="H53" s="105"/>
      <c r="I53" s="105"/>
      <c r="J53" s="105"/>
    </row>
  </sheetData>
  <mergeCells count="18">
    <mergeCell ref="A1:F1"/>
    <mergeCell ref="G1:I5"/>
    <mergeCell ref="A2:F2"/>
    <mergeCell ref="A3:F3"/>
    <mergeCell ref="B19:H19"/>
    <mergeCell ref="B13:H13"/>
    <mergeCell ref="B16:H16"/>
    <mergeCell ref="B11:H11"/>
    <mergeCell ref="A5:F5"/>
    <mergeCell ref="A33:H33"/>
    <mergeCell ref="A34:H34"/>
    <mergeCell ref="A35:H35"/>
    <mergeCell ref="A36:H36"/>
    <mergeCell ref="B21:H21"/>
    <mergeCell ref="A29:H29"/>
    <mergeCell ref="A30:H30"/>
    <mergeCell ref="A31:H31"/>
    <mergeCell ref="A32:H32"/>
  </mergeCells>
  <phoneticPr fontId="30" type="noConversion"/>
  <dataValidations count="1">
    <dataValidation type="list" allowBlank="1" showInputMessage="1" showErrorMessage="1" sqref="C20" xr:uid="{00000000-0002-0000-0700-000004000000}">
      <formula1>#REF!</formula1>
    </dataValidation>
  </dataValidations>
  <pageMargins left="0.7" right="0.7" top="0.75" bottom="0.75" header="0.3" footer="0.3"/>
  <pageSetup scale="60" orientation="portrait" horizontalDpi="4294967292" r:id="rId1"/>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700-000000000000}">
          <x14:formula1>
            <xm:f>'INSUMOS MANO DE OBRA'!$B$8:$B$61</xm:f>
          </x14:formula1>
          <xm:sqref>C9:C10</xm:sqref>
        </x14:dataValidation>
        <x14:dataValidation type="list" allowBlank="1" showInputMessage="1" showErrorMessage="1" xr:uid="{00000000-0002-0000-0700-000001000000}">
          <x14:formula1>
            <xm:f>'INSUMOS SERVICIOS'!$B$8:$B$21</xm:f>
          </x14:formula1>
          <xm:sqref>C12</xm:sqref>
        </x14:dataValidation>
        <x14:dataValidation type="list" allowBlank="1" showInputMessage="1" showErrorMessage="1" xr:uid="{00000000-0002-0000-0700-000002000000}">
          <x14:formula1>
            <xm:f>'INSUMOS EQUIPOS'!$B$8:$B$39</xm:f>
          </x14:formula1>
          <xm:sqref>C14:C15</xm:sqref>
        </x14:dataValidation>
        <x14:dataValidation type="list" allowBlank="1" showInputMessage="1" showErrorMessage="1" xr:uid="{00000000-0002-0000-0700-000003000000}">
          <x14:formula1>
            <xm:f>'INSUMOS SERVICIOS'!$B$7:$B$21</xm:f>
          </x14:formula1>
          <xm:sqref>C17:C19 C21</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F40"/>
  <sheetViews>
    <sheetView view="pageBreakPreview" topLeftCell="A15" zoomScale="85" zoomScaleNormal="100" zoomScaleSheetLayoutView="85" workbookViewId="0">
      <selection activeCell="E39" sqref="E39"/>
    </sheetView>
  </sheetViews>
  <sheetFormatPr baseColWidth="10" defaultRowHeight="15" x14ac:dyDescent="0.25"/>
  <cols>
    <col min="2" max="2" width="62.28515625" customWidth="1"/>
    <col min="6" max="6" width="15.5703125" bestFit="1" customWidth="1"/>
  </cols>
  <sheetData>
    <row r="1" spans="1:6" ht="26.25" x14ac:dyDescent="0.25">
      <c r="A1" s="494" t="s">
        <v>0</v>
      </c>
      <c r="B1" s="495"/>
      <c r="C1" s="486" t="s">
        <v>53</v>
      </c>
      <c r="D1" s="486"/>
      <c r="E1" s="486"/>
      <c r="F1" s="415"/>
    </row>
    <row r="2" spans="1:6" ht="21" x14ac:dyDescent="0.25">
      <c r="A2" s="363" t="str">
        <f>'DATOS INICIALES'!B2</f>
        <v>MUNICIPIO DE DABEIBA</v>
      </c>
      <c r="B2" s="496"/>
      <c r="C2" s="487"/>
      <c r="D2" s="487"/>
      <c r="E2" s="487"/>
      <c r="F2" s="488"/>
    </row>
    <row r="3" spans="1:6" ht="15.75" x14ac:dyDescent="0.25">
      <c r="A3" s="365" t="str">
        <f>'DATOS INICIALES'!B3</f>
        <v xml:space="preserve">CONSTRUCCIÓN DE CASA DE SALUD EN EL CORREGIMIENTO LA BALSITA DEL MUNICIPIO DE DABEIBA </v>
      </c>
      <c r="B3" s="497"/>
      <c r="C3" s="487"/>
      <c r="D3" s="487"/>
      <c r="E3" s="487"/>
      <c r="F3" s="488"/>
    </row>
    <row r="4" spans="1:6" x14ac:dyDescent="0.25">
      <c r="A4" s="17"/>
      <c r="B4" s="4"/>
      <c r="C4" s="487"/>
      <c r="D4" s="487"/>
      <c r="E4" s="487"/>
      <c r="F4" s="488"/>
    </row>
    <row r="5" spans="1:6" x14ac:dyDescent="0.25">
      <c r="A5" s="498" t="s">
        <v>447</v>
      </c>
      <c r="B5" s="499"/>
      <c r="C5" s="489"/>
      <c r="D5" s="489"/>
      <c r="E5" s="489"/>
      <c r="F5" s="417"/>
    </row>
    <row r="7" spans="1:6" x14ac:dyDescent="0.25">
      <c r="A7" s="145" t="s">
        <v>44</v>
      </c>
      <c r="B7" s="145" t="s">
        <v>46</v>
      </c>
      <c r="C7" s="145" t="s">
        <v>47</v>
      </c>
      <c r="D7" s="145" t="s">
        <v>48</v>
      </c>
      <c r="E7" s="144" t="s">
        <v>49</v>
      </c>
      <c r="F7" s="144" t="s">
        <v>50</v>
      </c>
    </row>
    <row r="8" spans="1:6" x14ac:dyDescent="0.25">
      <c r="A8" s="20">
        <v>1</v>
      </c>
      <c r="B8" s="146" t="s">
        <v>412</v>
      </c>
      <c r="C8" s="147" t="s">
        <v>53</v>
      </c>
      <c r="D8" s="147"/>
      <c r="E8" s="148"/>
      <c r="F8" s="149"/>
    </row>
    <row r="9" spans="1:6" x14ac:dyDescent="0.25">
      <c r="A9" s="79">
        <v>1.1000000000000001</v>
      </c>
      <c r="B9" s="150" t="s">
        <v>413</v>
      </c>
      <c r="C9" s="78" t="s">
        <v>53</v>
      </c>
      <c r="D9" s="78"/>
      <c r="E9" s="151" t="s">
        <v>53</v>
      </c>
      <c r="F9" s="152" t="s">
        <v>53</v>
      </c>
    </row>
    <row r="10" spans="1:6" x14ac:dyDescent="0.25">
      <c r="A10" s="153"/>
      <c r="B10" s="28" t="s">
        <v>414</v>
      </c>
      <c r="C10" s="38" t="s">
        <v>133</v>
      </c>
      <c r="D10" s="40" t="s">
        <v>444</v>
      </c>
      <c r="E10" s="32"/>
      <c r="F10" s="154">
        <v>0</v>
      </c>
    </row>
    <row r="11" spans="1:6" ht="24" customHeight="1" x14ac:dyDescent="0.25">
      <c r="A11" s="79">
        <v>1.2</v>
      </c>
      <c r="B11" s="150" t="s">
        <v>415</v>
      </c>
      <c r="C11" s="78" t="s">
        <v>53</v>
      </c>
      <c r="D11" s="78"/>
      <c r="E11" s="151"/>
      <c r="F11" s="152"/>
    </row>
    <row r="12" spans="1:6" ht="24" x14ac:dyDescent="0.25">
      <c r="A12" s="153"/>
      <c r="B12" s="28" t="s">
        <v>448</v>
      </c>
      <c r="C12" s="38" t="s">
        <v>133</v>
      </c>
      <c r="D12" s="40">
        <v>2</v>
      </c>
      <c r="E12" s="32">
        <v>350000</v>
      </c>
      <c r="F12" s="154">
        <f>+IF(D12*E12=0,"",D12*E12)</f>
        <v>700000</v>
      </c>
    </row>
    <row r="13" spans="1:6" ht="24" x14ac:dyDescent="0.25">
      <c r="A13" s="153"/>
      <c r="B13" s="28" t="s">
        <v>416</v>
      </c>
      <c r="C13" s="38" t="s">
        <v>133</v>
      </c>
      <c r="D13" s="40">
        <v>15</v>
      </c>
      <c r="E13" s="32">
        <v>18000</v>
      </c>
      <c r="F13" s="154">
        <f>+IF(D13*E13=0,"",D13*E13)</f>
        <v>270000</v>
      </c>
    </row>
    <row r="14" spans="1:6" ht="24" x14ac:dyDescent="0.25">
      <c r="A14" s="153"/>
      <c r="B14" s="28" t="s">
        <v>417</v>
      </c>
      <c r="C14" s="38" t="s">
        <v>73</v>
      </c>
      <c r="D14" s="40">
        <v>12</v>
      </c>
      <c r="E14" s="32">
        <v>70000</v>
      </c>
      <c r="F14" s="154">
        <f>+IF(D14*E14=0,"",D14*E14)</f>
        <v>840000</v>
      </c>
    </row>
    <row r="15" spans="1:6" ht="24" x14ac:dyDescent="0.25">
      <c r="A15" s="155">
        <v>1.3</v>
      </c>
      <c r="B15" s="150" t="s">
        <v>445</v>
      </c>
      <c r="C15" s="78" t="s">
        <v>53</v>
      </c>
      <c r="D15" s="78"/>
      <c r="E15" s="151"/>
      <c r="F15" s="152"/>
    </row>
    <row r="16" spans="1:6" x14ac:dyDescent="0.25">
      <c r="A16" s="153"/>
      <c r="B16" s="28" t="s">
        <v>514</v>
      </c>
      <c r="C16" s="38" t="s">
        <v>418</v>
      </c>
      <c r="D16" s="40">
        <v>500</v>
      </c>
      <c r="E16" s="32">
        <v>18000</v>
      </c>
      <c r="F16" s="154">
        <f>+IF(D16*E16=0,"",D16*E16)</f>
        <v>9000000</v>
      </c>
    </row>
    <row r="17" spans="1:6" ht="24" x14ac:dyDescent="0.25">
      <c r="A17" s="153"/>
      <c r="B17" s="28" t="s">
        <v>419</v>
      </c>
      <c r="C17" s="38" t="s">
        <v>446</v>
      </c>
      <c r="D17" s="40">
        <v>5000</v>
      </c>
      <c r="E17" s="32">
        <v>50</v>
      </c>
      <c r="F17" s="154">
        <f>+IF(D17*E17=0,"",D17*E17)</f>
        <v>250000</v>
      </c>
    </row>
    <row r="18" spans="1:6" ht="24" x14ac:dyDescent="0.25">
      <c r="A18" s="79">
        <v>1.4</v>
      </c>
      <c r="B18" s="150" t="s">
        <v>421</v>
      </c>
      <c r="C18" s="78" t="s">
        <v>53</v>
      </c>
      <c r="D18" s="78"/>
      <c r="E18" s="151"/>
      <c r="F18" s="152"/>
    </row>
    <row r="19" spans="1:6" x14ac:dyDescent="0.25">
      <c r="A19" s="153"/>
      <c r="B19" s="28" t="s">
        <v>422</v>
      </c>
      <c r="C19" s="38" t="s">
        <v>133</v>
      </c>
      <c r="D19" s="40">
        <v>40</v>
      </c>
      <c r="E19" s="32">
        <v>120000</v>
      </c>
      <c r="F19" s="154">
        <f>+IF(D19*E19=0,"",D19*E19)</f>
        <v>4800000</v>
      </c>
    </row>
    <row r="20" spans="1:6" x14ac:dyDescent="0.25">
      <c r="A20" s="153"/>
      <c r="B20" s="28" t="s">
        <v>423</v>
      </c>
      <c r="C20" s="38" t="s">
        <v>133</v>
      </c>
      <c r="D20" s="40">
        <v>4</v>
      </c>
      <c r="E20" s="32">
        <v>300000</v>
      </c>
      <c r="F20" s="154">
        <f>+IF(D20*E20=0,"",D20*E20)</f>
        <v>1200000</v>
      </c>
    </row>
    <row r="21" spans="1:6" ht="18.600000000000001" customHeight="1" x14ac:dyDescent="0.25">
      <c r="A21" s="153"/>
      <c r="B21" s="28" t="s">
        <v>424</v>
      </c>
      <c r="C21" s="38" t="s">
        <v>420</v>
      </c>
      <c r="D21" s="40">
        <v>10</v>
      </c>
      <c r="E21" s="32">
        <v>150000</v>
      </c>
      <c r="F21" s="154">
        <f>+IF(D21*E21=0,"",D21*E21)</f>
        <v>1500000</v>
      </c>
    </row>
    <row r="22" spans="1:6" ht="18.600000000000001" customHeight="1" x14ac:dyDescent="0.25">
      <c r="A22" s="79">
        <v>1.5</v>
      </c>
      <c r="B22" s="150" t="s">
        <v>425</v>
      </c>
      <c r="C22" s="78" t="s">
        <v>53</v>
      </c>
      <c r="D22" s="78"/>
      <c r="E22" s="151"/>
      <c r="F22" s="152"/>
    </row>
    <row r="23" spans="1:6" x14ac:dyDescent="0.25">
      <c r="A23" s="153"/>
      <c r="B23" s="28" t="s">
        <v>426</v>
      </c>
      <c r="C23" s="38" t="s">
        <v>133</v>
      </c>
      <c r="D23" s="40">
        <v>2</v>
      </c>
      <c r="E23" s="32">
        <v>180000</v>
      </c>
      <c r="F23" s="154">
        <f>+IF(D23*E23=0,"",D23*E23)</f>
        <v>360000</v>
      </c>
    </row>
    <row r="24" spans="1:6" x14ac:dyDescent="0.25">
      <c r="A24" s="156"/>
      <c r="B24" s="157" t="s">
        <v>427</v>
      </c>
      <c r="C24" s="158" t="s">
        <v>53</v>
      </c>
      <c r="D24" s="158"/>
      <c r="E24" s="159"/>
      <c r="F24" s="160">
        <f>IF(SUM(F8:F23)=0,"",SUM(F8:F23))</f>
        <v>18920000</v>
      </c>
    </row>
    <row r="25" spans="1:6" x14ac:dyDescent="0.25">
      <c r="A25" s="20">
        <v>2</v>
      </c>
      <c r="B25" s="146" t="s">
        <v>428</v>
      </c>
      <c r="C25" s="147" t="s">
        <v>53</v>
      </c>
      <c r="D25" s="147"/>
      <c r="E25" s="148"/>
      <c r="F25" s="149"/>
    </row>
    <row r="26" spans="1:6" x14ac:dyDescent="0.25">
      <c r="A26" s="79">
        <v>2.1</v>
      </c>
      <c r="B26" s="150" t="s">
        <v>429</v>
      </c>
      <c r="C26" s="78" t="s">
        <v>53</v>
      </c>
      <c r="D26" s="78"/>
      <c r="E26" s="151"/>
      <c r="F26" s="152"/>
    </row>
    <row r="27" spans="1:6" ht="24" x14ac:dyDescent="0.25">
      <c r="A27" s="153"/>
      <c r="B27" s="28" t="s">
        <v>430</v>
      </c>
      <c r="C27" s="38" t="s">
        <v>133</v>
      </c>
      <c r="D27" s="40">
        <v>3</v>
      </c>
      <c r="E27" s="32">
        <v>25000</v>
      </c>
      <c r="F27" s="154">
        <f>+IF(D27*E27=0,"",D27*E27)</f>
        <v>75000</v>
      </c>
    </row>
    <row r="28" spans="1:6" x14ac:dyDescent="0.25">
      <c r="A28" s="153"/>
      <c r="B28" s="28" t="s">
        <v>431</v>
      </c>
      <c r="C28" s="38" t="s">
        <v>133</v>
      </c>
      <c r="D28" s="40">
        <v>1</v>
      </c>
      <c r="E28" s="32">
        <v>160000</v>
      </c>
      <c r="F28" s="154">
        <f>+IF(D28*E28=0,"",D28*E28)</f>
        <v>160000</v>
      </c>
    </row>
    <row r="29" spans="1:6" x14ac:dyDescent="0.25">
      <c r="A29" s="153"/>
      <c r="B29" s="28" t="s">
        <v>432</v>
      </c>
      <c r="C29" s="38" t="s">
        <v>133</v>
      </c>
      <c r="D29" s="40">
        <v>2</v>
      </c>
      <c r="E29" s="32">
        <v>100000</v>
      </c>
      <c r="F29" s="154">
        <f>+IF(D29*E29=0,"",D29*E29)</f>
        <v>200000</v>
      </c>
    </row>
    <row r="30" spans="1:6" x14ac:dyDescent="0.25">
      <c r="A30" s="153"/>
      <c r="B30" s="28" t="s">
        <v>433</v>
      </c>
      <c r="C30" s="38" t="s">
        <v>133</v>
      </c>
      <c r="D30" s="40">
        <v>2</v>
      </c>
      <c r="E30" s="32">
        <v>200000</v>
      </c>
      <c r="F30" s="154">
        <f>+IF(D30*E30=0,"",D30*E30)</f>
        <v>400000</v>
      </c>
    </row>
    <row r="31" spans="1:6" x14ac:dyDescent="0.25">
      <c r="A31" s="79">
        <v>2.2000000000000002</v>
      </c>
      <c r="B31" s="150" t="s">
        <v>434</v>
      </c>
      <c r="C31" s="78" t="s">
        <v>53</v>
      </c>
      <c r="D31" s="78"/>
      <c r="E31" s="151"/>
      <c r="F31" s="152"/>
    </row>
    <row r="32" spans="1:6" ht="24" x14ac:dyDescent="0.25">
      <c r="A32" s="153"/>
      <c r="B32" s="28" t="s">
        <v>435</v>
      </c>
      <c r="C32" s="38" t="s">
        <v>133</v>
      </c>
      <c r="D32" s="40">
        <v>2</v>
      </c>
      <c r="E32" s="32">
        <v>200000</v>
      </c>
      <c r="F32" s="154">
        <f>+IF(D32*E32=0,"",D32*E32)</f>
        <v>400000</v>
      </c>
    </row>
    <row r="33" spans="1:6" x14ac:dyDescent="0.25">
      <c r="A33" s="153"/>
      <c r="B33" s="28" t="s">
        <v>436</v>
      </c>
      <c r="C33" s="38" t="s">
        <v>133</v>
      </c>
      <c r="D33" s="40">
        <v>20</v>
      </c>
      <c r="E33" s="32">
        <v>5000</v>
      </c>
      <c r="F33" s="154">
        <f>+IF(D33*E33=0,"",D33*E33)</f>
        <v>100000</v>
      </c>
    </row>
    <row r="34" spans="1:6" x14ac:dyDescent="0.25">
      <c r="A34" s="156"/>
      <c r="B34" s="157" t="s">
        <v>437</v>
      </c>
      <c r="C34" s="158" t="s">
        <v>53</v>
      </c>
      <c r="D34" s="158"/>
      <c r="E34" s="159"/>
      <c r="F34" s="160">
        <f>IF(SUM(F25:F33)=0,"",SUM(F25:F33))</f>
        <v>1335000</v>
      </c>
    </row>
    <row r="35" spans="1:6" x14ac:dyDescent="0.25">
      <c r="A35" s="20">
        <v>3</v>
      </c>
      <c r="B35" s="146" t="s">
        <v>438</v>
      </c>
      <c r="C35" s="147" t="s">
        <v>53</v>
      </c>
      <c r="D35" s="147"/>
      <c r="E35" s="148"/>
      <c r="F35" s="149"/>
    </row>
    <row r="36" spans="1:6" x14ac:dyDescent="0.25">
      <c r="A36" s="79">
        <v>3.1</v>
      </c>
      <c r="B36" s="150" t="s">
        <v>439</v>
      </c>
      <c r="C36" s="78" t="s">
        <v>53</v>
      </c>
      <c r="D36" s="78"/>
      <c r="E36" s="151"/>
      <c r="F36" s="152"/>
    </row>
    <row r="37" spans="1:6" ht="24" x14ac:dyDescent="0.25">
      <c r="A37" s="153"/>
      <c r="B37" s="28" t="s">
        <v>440</v>
      </c>
      <c r="C37" s="38" t="s">
        <v>133</v>
      </c>
      <c r="D37" s="40">
        <v>1</v>
      </c>
      <c r="E37" s="32">
        <v>80000</v>
      </c>
      <c r="F37" s="154">
        <f>+IF(D37*E37=0,"",D37*E37)</f>
        <v>80000</v>
      </c>
    </row>
    <row r="38" spans="1:6" ht="39.6" customHeight="1" x14ac:dyDescent="0.25">
      <c r="A38" s="153"/>
      <c r="B38" s="28" t="s">
        <v>441</v>
      </c>
      <c r="C38" s="38" t="s">
        <v>133</v>
      </c>
      <c r="D38" s="40">
        <v>2</v>
      </c>
      <c r="E38" s="32">
        <v>500000</v>
      </c>
      <c r="F38" s="154">
        <f>+IF(D38*E38=0,"",D38*E38)</f>
        <v>1000000</v>
      </c>
    </row>
    <row r="39" spans="1:6" x14ac:dyDescent="0.25">
      <c r="A39" s="156"/>
      <c r="B39" s="157" t="s">
        <v>442</v>
      </c>
      <c r="C39" s="158" t="s">
        <v>53</v>
      </c>
      <c r="D39" s="158"/>
      <c r="E39" s="159"/>
      <c r="F39" s="160">
        <f>IF(SUM(F35:F38)=0,"",SUM(F35:F38))</f>
        <v>1080000</v>
      </c>
    </row>
    <row r="40" spans="1:6" x14ac:dyDescent="0.25">
      <c r="A40" s="491" t="s">
        <v>443</v>
      </c>
      <c r="B40" s="492"/>
      <c r="C40" s="492"/>
      <c r="D40" s="492"/>
      <c r="E40" s="493"/>
      <c r="F40" s="160">
        <f>IF(SUM(F8:F39)=0,"",SUM(F24,F34,F39))</f>
        <v>21335000</v>
      </c>
    </row>
  </sheetData>
  <protectedRanges>
    <protectedRange sqref="D16:E17 D37:E38 D32:E33 D27:E30 D23:E23 D19:E21 D10:E10 D12:E14" name="Rango1"/>
  </protectedRanges>
  <mergeCells count="6">
    <mergeCell ref="A40:E40"/>
    <mergeCell ref="A1:B1"/>
    <mergeCell ref="C1:F5"/>
    <mergeCell ref="A2:B2"/>
    <mergeCell ref="A3:B3"/>
    <mergeCell ref="A5:B5"/>
  </mergeCells>
  <pageMargins left="0.7" right="0.7" top="0.75" bottom="0.75" header="0.3" footer="0.3"/>
  <pageSetup scale="72"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D27"/>
  <sheetViews>
    <sheetView view="pageBreakPreview" topLeftCell="A2" zoomScale="90" zoomScaleNormal="100" zoomScaleSheetLayoutView="90" workbookViewId="0">
      <selection activeCell="C16" sqref="C16"/>
    </sheetView>
  </sheetViews>
  <sheetFormatPr baseColWidth="10" defaultRowHeight="15" x14ac:dyDescent="0.25"/>
  <cols>
    <col min="2" max="2" width="73.140625" customWidth="1"/>
    <col min="3" max="3" width="15.42578125" customWidth="1"/>
    <col min="4" max="4" width="17.28515625" customWidth="1"/>
  </cols>
  <sheetData>
    <row r="1" spans="1:4" ht="26.25" x14ac:dyDescent="0.25">
      <c r="A1" s="396" t="s">
        <v>0</v>
      </c>
      <c r="B1" s="396"/>
      <c r="C1" s="501" t="s">
        <v>53</v>
      </c>
      <c r="D1" s="501"/>
    </row>
    <row r="2" spans="1:4" ht="21" x14ac:dyDescent="0.25">
      <c r="A2" s="390" t="str">
        <f>'DATOS INICIALES'!B6</f>
        <v>MUNICIPIO DE DABEIBA</v>
      </c>
      <c r="B2" s="390"/>
      <c r="C2" s="501"/>
      <c r="D2" s="501"/>
    </row>
    <row r="3" spans="1:4" ht="56.45" customHeight="1" x14ac:dyDescent="0.25">
      <c r="A3" s="502" t="str">
        <f>'DATOS INICIALES'!B3</f>
        <v xml:space="preserve">CONSTRUCCIÓN DE CASA DE SALUD EN EL CORREGIMIENTO LA BALSITA DEL MUNICIPIO DE DABEIBA </v>
      </c>
      <c r="B3" s="502"/>
      <c r="C3" s="501"/>
      <c r="D3" s="501"/>
    </row>
    <row r="4" spans="1:4" ht="7.9" customHeight="1" x14ac:dyDescent="0.25">
      <c r="A4" s="100"/>
      <c r="B4" s="101"/>
      <c r="C4" s="501"/>
      <c r="D4" s="501"/>
    </row>
    <row r="5" spans="1:4" ht="15.75" x14ac:dyDescent="0.25">
      <c r="A5" s="503" t="s">
        <v>134</v>
      </c>
      <c r="B5" s="503"/>
      <c r="C5" s="501"/>
      <c r="D5" s="501"/>
    </row>
    <row r="6" spans="1:4" ht="9.6" customHeight="1" x14ac:dyDescent="0.25">
      <c r="A6" s="500"/>
      <c r="B6" s="500"/>
      <c r="C6" s="500"/>
      <c r="D6" s="500"/>
    </row>
    <row r="7" spans="1:4" x14ac:dyDescent="0.25">
      <c r="A7" s="36" t="s">
        <v>54</v>
      </c>
      <c r="B7" s="36" t="s">
        <v>46</v>
      </c>
      <c r="C7" s="36" t="s">
        <v>47</v>
      </c>
      <c r="D7" s="37" t="s">
        <v>63</v>
      </c>
    </row>
    <row r="8" spans="1:4" ht="25.5" x14ac:dyDescent="0.25">
      <c r="A8" s="41" t="s">
        <v>315</v>
      </c>
      <c r="B8" s="44" t="s">
        <v>316</v>
      </c>
      <c r="C8" s="45" t="s">
        <v>133</v>
      </c>
      <c r="D8" s="43">
        <v>100000</v>
      </c>
    </row>
    <row r="9" spans="1:4" x14ac:dyDescent="0.25">
      <c r="A9" s="94" t="s">
        <v>317</v>
      </c>
      <c r="B9" s="44" t="s">
        <v>318</v>
      </c>
      <c r="C9" s="45" t="s">
        <v>73</v>
      </c>
      <c r="D9" s="43">
        <v>600000</v>
      </c>
    </row>
    <row r="10" spans="1:4" x14ac:dyDescent="0.25">
      <c r="A10" s="41" t="s">
        <v>319</v>
      </c>
      <c r="B10" s="95" t="s">
        <v>320</v>
      </c>
      <c r="C10" s="96" t="s">
        <v>67</v>
      </c>
      <c r="D10" s="97">
        <v>650000</v>
      </c>
    </row>
    <row r="11" spans="1:4" x14ac:dyDescent="0.25">
      <c r="A11" s="94" t="s">
        <v>321</v>
      </c>
      <c r="B11" s="95" t="s">
        <v>322</v>
      </c>
      <c r="C11" s="96" t="s">
        <v>67</v>
      </c>
      <c r="D11" s="97">
        <v>447639.43886027398</v>
      </c>
    </row>
    <row r="12" spans="1:4" x14ac:dyDescent="0.25">
      <c r="A12" s="41" t="s">
        <v>323</v>
      </c>
      <c r="B12" s="44" t="s">
        <v>324</v>
      </c>
      <c r="C12" s="96" t="s">
        <v>133</v>
      </c>
      <c r="D12" s="43">
        <v>72000</v>
      </c>
    </row>
    <row r="13" spans="1:4" x14ac:dyDescent="0.25">
      <c r="A13" s="41" t="s">
        <v>325</v>
      </c>
      <c r="B13" s="44" t="s">
        <v>326</v>
      </c>
      <c r="C13" s="45" t="s">
        <v>129</v>
      </c>
      <c r="D13" s="43">
        <v>5000</v>
      </c>
    </row>
    <row r="14" spans="1:4" x14ac:dyDescent="0.25">
      <c r="A14" s="94" t="s">
        <v>327</v>
      </c>
      <c r="B14" s="95" t="s">
        <v>328</v>
      </c>
      <c r="C14" s="96" t="s">
        <v>133</v>
      </c>
      <c r="D14" s="43">
        <v>79000</v>
      </c>
    </row>
    <row r="15" spans="1:4" ht="25.5" x14ac:dyDescent="0.25">
      <c r="A15" s="41" t="s">
        <v>329</v>
      </c>
      <c r="B15" s="44" t="s">
        <v>330</v>
      </c>
      <c r="C15" s="96" t="s">
        <v>133</v>
      </c>
      <c r="D15" s="43">
        <v>737000</v>
      </c>
    </row>
    <row r="16" spans="1:4" x14ac:dyDescent="0.25">
      <c r="A16" s="94" t="s">
        <v>331</v>
      </c>
      <c r="B16" s="44" t="s">
        <v>674</v>
      </c>
      <c r="C16" s="96" t="s">
        <v>133</v>
      </c>
      <c r="D16" s="43">
        <v>115000</v>
      </c>
    </row>
    <row r="17" spans="1:4" x14ac:dyDescent="0.25">
      <c r="A17" s="41" t="s">
        <v>332</v>
      </c>
      <c r="B17" s="95" t="s">
        <v>333</v>
      </c>
      <c r="C17" s="96" t="s">
        <v>133</v>
      </c>
      <c r="D17" s="43">
        <v>107000</v>
      </c>
    </row>
    <row r="18" spans="1:4" ht="25.5" x14ac:dyDescent="0.25">
      <c r="A18" s="94" t="s">
        <v>334</v>
      </c>
      <c r="B18" s="44" t="s">
        <v>335</v>
      </c>
      <c r="C18" s="96" t="s">
        <v>133</v>
      </c>
      <c r="D18" s="43">
        <v>368000</v>
      </c>
    </row>
    <row r="19" spans="1:4" ht="38.25" x14ac:dyDescent="0.25">
      <c r="A19" s="41" t="s">
        <v>336</v>
      </c>
      <c r="B19" s="44" t="s">
        <v>337</v>
      </c>
      <c r="C19" s="96" t="s">
        <v>133</v>
      </c>
      <c r="D19" s="43">
        <v>147000</v>
      </c>
    </row>
    <row r="20" spans="1:4" x14ac:dyDescent="0.25">
      <c r="A20" s="94" t="s">
        <v>338</v>
      </c>
      <c r="B20" s="44" t="s">
        <v>339</v>
      </c>
      <c r="C20" s="96" t="s">
        <v>133</v>
      </c>
      <c r="D20" s="43">
        <v>15000</v>
      </c>
    </row>
    <row r="21" spans="1:4" x14ac:dyDescent="0.25">
      <c r="A21" s="41" t="s">
        <v>340</v>
      </c>
      <c r="B21" s="95" t="s">
        <v>341</v>
      </c>
      <c r="C21" s="96" t="s">
        <v>133</v>
      </c>
      <c r="D21" s="43">
        <v>145000</v>
      </c>
    </row>
    <row r="22" spans="1:4" x14ac:dyDescent="0.25">
      <c r="A22" s="94"/>
      <c r="B22" s="98"/>
      <c r="C22" s="99"/>
      <c r="D22" s="99"/>
    </row>
    <row r="23" spans="1:4" x14ac:dyDescent="0.25">
      <c r="A23" s="41"/>
      <c r="B23" s="98"/>
      <c r="C23" s="99"/>
      <c r="D23" s="99"/>
    </row>
    <row r="24" spans="1:4" x14ac:dyDescent="0.25">
      <c r="A24" s="94"/>
      <c r="B24" s="98"/>
      <c r="C24" s="99"/>
      <c r="D24" s="99"/>
    </row>
    <row r="25" spans="1:4" x14ac:dyDescent="0.25">
      <c r="A25" s="94"/>
      <c r="B25" s="98"/>
      <c r="C25" s="99"/>
      <c r="D25" s="99"/>
    </row>
    <row r="26" spans="1:4" x14ac:dyDescent="0.25">
      <c r="A26" s="94"/>
      <c r="B26" s="98"/>
      <c r="C26" s="99"/>
      <c r="D26" s="99"/>
    </row>
    <row r="27" spans="1:4" x14ac:dyDescent="0.25">
      <c r="A27" s="41"/>
      <c r="B27" s="98"/>
      <c r="C27" s="99"/>
      <c r="D27" s="99"/>
    </row>
  </sheetData>
  <protectedRanges>
    <protectedRange sqref="B8:C9 B10:D27" name="Rango1_1"/>
  </protectedRanges>
  <mergeCells count="6">
    <mergeCell ref="A6:D6"/>
    <mergeCell ref="A1:B1"/>
    <mergeCell ref="C1:D5"/>
    <mergeCell ref="A2:B2"/>
    <mergeCell ref="A3:B3"/>
    <mergeCell ref="A5:B5"/>
  </mergeCells>
  <pageMargins left="0.7" right="0.7" top="0.75" bottom="0.75" header="0.3" footer="0.3"/>
  <pageSetup scale="77"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45"/>
  <sheetViews>
    <sheetView view="pageBreakPreview" zoomScale="93" zoomScaleNormal="100" zoomScaleSheetLayoutView="93" workbookViewId="0">
      <pane ySplit="7" topLeftCell="A8" activePane="bottomLeft" state="frozen"/>
      <selection pane="bottomLeft" activeCell="E19" sqref="E19"/>
    </sheetView>
  </sheetViews>
  <sheetFormatPr baseColWidth="10" defaultRowHeight="15" x14ac:dyDescent="0.25"/>
  <cols>
    <col min="2" max="2" width="67.7109375" customWidth="1"/>
  </cols>
  <sheetData>
    <row r="1" spans="1:4" ht="26.25" x14ac:dyDescent="0.25">
      <c r="A1" s="396" t="s">
        <v>0</v>
      </c>
      <c r="B1" s="494"/>
      <c r="C1" s="501" t="s">
        <v>53</v>
      </c>
      <c r="D1" s="501"/>
    </row>
    <row r="2" spans="1:4" ht="21" x14ac:dyDescent="0.25">
      <c r="A2" s="390" t="str">
        <f>'DATOS INICIALES'!B6</f>
        <v>MUNICIPIO DE DABEIBA</v>
      </c>
      <c r="B2" s="363"/>
      <c r="C2" s="501"/>
      <c r="D2" s="501"/>
    </row>
    <row r="3" spans="1:4" ht="48.6" customHeight="1" x14ac:dyDescent="0.25">
      <c r="A3" s="502" t="str">
        <f>'DATOS INICIALES'!B3</f>
        <v xml:space="preserve">CONSTRUCCIÓN DE CASA DE SALUD EN EL CORREGIMIENTO LA BALSITA DEL MUNICIPIO DE DABEIBA </v>
      </c>
      <c r="B3" s="504"/>
      <c r="C3" s="501"/>
      <c r="D3" s="501"/>
    </row>
    <row r="4" spans="1:4" ht="14.45" customHeight="1" x14ac:dyDescent="0.25">
      <c r="A4" s="22"/>
      <c r="B4" s="4"/>
      <c r="C4" s="501"/>
      <c r="D4" s="501"/>
    </row>
    <row r="5" spans="1:4" ht="15.6" customHeight="1" x14ac:dyDescent="0.25">
      <c r="A5" s="503" t="s">
        <v>62</v>
      </c>
      <c r="B5" s="505"/>
      <c r="C5" s="501"/>
      <c r="D5" s="501"/>
    </row>
    <row r="6" spans="1:4" x14ac:dyDescent="0.25">
      <c r="A6" s="23"/>
      <c r="B6" s="4"/>
      <c r="C6" s="4"/>
      <c r="D6" s="24"/>
    </row>
    <row r="7" spans="1:4" ht="24" x14ac:dyDescent="0.25">
      <c r="A7" s="25" t="s">
        <v>54</v>
      </c>
      <c r="B7" s="25" t="s">
        <v>46</v>
      </c>
      <c r="C7" s="25" t="s">
        <v>47</v>
      </c>
      <c r="D7" s="26" t="s">
        <v>63</v>
      </c>
    </row>
    <row r="8" spans="1:4" x14ac:dyDescent="0.25">
      <c r="A8" s="27" t="s">
        <v>64</v>
      </c>
      <c r="B8" s="28" t="str">
        <f>+"HERRAMIENTA MENOR "&amp;"("&amp;D8*100&amp;"% DE LA MANO DE OBRA)"</f>
        <v>HERRAMIENTA MENOR (5% DE LA MANO DE OBRA)</v>
      </c>
      <c r="C8" s="27" t="s">
        <v>65</v>
      </c>
      <c r="D8" s="29">
        <v>0.05</v>
      </c>
    </row>
    <row r="9" spans="1:4" x14ac:dyDescent="0.25">
      <c r="A9" s="27" t="s">
        <v>66</v>
      </c>
      <c r="B9" s="30" t="s">
        <v>55</v>
      </c>
      <c r="C9" s="31" t="s">
        <v>67</v>
      </c>
      <c r="D9" s="32">
        <v>78710</v>
      </c>
    </row>
    <row r="10" spans="1:4" x14ac:dyDescent="0.25">
      <c r="A10" s="27" t="s">
        <v>68</v>
      </c>
      <c r="B10" s="30" t="s">
        <v>56</v>
      </c>
      <c r="C10" s="31" t="s">
        <v>67</v>
      </c>
      <c r="D10" s="32">
        <v>45260</v>
      </c>
    </row>
    <row r="11" spans="1:4" x14ac:dyDescent="0.25">
      <c r="A11" s="27" t="s">
        <v>69</v>
      </c>
      <c r="B11" s="30" t="s">
        <v>70</v>
      </c>
      <c r="C11" s="31" t="s">
        <v>67</v>
      </c>
      <c r="D11" s="32">
        <v>62000</v>
      </c>
    </row>
    <row r="12" spans="1:4" ht="48" x14ac:dyDescent="0.25">
      <c r="A12" s="27" t="s">
        <v>71</v>
      </c>
      <c r="B12" s="30" t="s">
        <v>72</v>
      </c>
      <c r="C12" s="31" t="s">
        <v>73</v>
      </c>
      <c r="D12" s="32">
        <v>5513000</v>
      </c>
    </row>
    <row r="13" spans="1:4" x14ac:dyDescent="0.25">
      <c r="A13" s="27" t="s">
        <v>74</v>
      </c>
      <c r="B13" s="30" t="s">
        <v>75</v>
      </c>
      <c r="C13" s="31" t="s">
        <v>73</v>
      </c>
      <c r="D13" s="32">
        <v>422000</v>
      </c>
    </row>
    <row r="14" spans="1:4" ht="36" x14ac:dyDescent="0.25">
      <c r="A14" s="27" t="s">
        <v>76</v>
      </c>
      <c r="B14" s="30" t="s">
        <v>77</v>
      </c>
      <c r="C14" s="31" t="s">
        <v>73</v>
      </c>
      <c r="D14" s="32">
        <v>180000</v>
      </c>
    </row>
    <row r="15" spans="1:4" x14ac:dyDescent="0.25">
      <c r="A15" s="27" t="s">
        <v>78</v>
      </c>
      <c r="B15" s="30" t="s">
        <v>79</v>
      </c>
      <c r="C15" s="31" t="s">
        <v>73</v>
      </c>
      <c r="D15" s="32">
        <v>40000</v>
      </c>
    </row>
    <row r="16" spans="1:4" ht="24" x14ac:dyDescent="0.25">
      <c r="A16" s="27" t="s">
        <v>80</v>
      </c>
      <c r="B16" s="30" t="s">
        <v>544</v>
      </c>
      <c r="C16" s="31" t="s">
        <v>538</v>
      </c>
      <c r="D16" s="32">
        <v>25000</v>
      </c>
    </row>
    <row r="17" spans="1:4" x14ac:dyDescent="0.25">
      <c r="A17" s="27" t="s">
        <v>81</v>
      </c>
      <c r="B17" s="30" t="s">
        <v>545</v>
      </c>
      <c r="C17" s="31" t="s">
        <v>538</v>
      </c>
      <c r="D17" s="32">
        <v>40000</v>
      </c>
    </row>
    <row r="18" spans="1:4" x14ac:dyDescent="0.25">
      <c r="A18" s="27" t="s">
        <v>82</v>
      </c>
      <c r="B18" s="30" t="s">
        <v>83</v>
      </c>
      <c r="C18" s="31" t="s">
        <v>73</v>
      </c>
      <c r="D18" s="32">
        <v>1200000</v>
      </c>
    </row>
    <row r="19" spans="1:4" ht="36" x14ac:dyDescent="0.25">
      <c r="A19" s="27" t="s">
        <v>84</v>
      </c>
      <c r="B19" s="30" t="s">
        <v>85</v>
      </c>
      <c r="C19" s="31" t="s">
        <v>73</v>
      </c>
      <c r="D19" s="32">
        <v>650000</v>
      </c>
    </row>
    <row r="20" spans="1:4" ht="24" x14ac:dyDescent="0.25">
      <c r="A20" s="27" t="s">
        <v>86</v>
      </c>
      <c r="B20" s="30" t="s">
        <v>87</v>
      </c>
      <c r="C20" s="31" t="s">
        <v>73</v>
      </c>
      <c r="D20" s="32">
        <v>221640</v>
      </c>
    </row>
    <row r="21" spans="1:4" x14ac:dyDescent="0.25">
      <c r="A21" s="27" t="s">
        <v>88</v>
      </c>
      <c r="B21" s="30" t="s">
        <v>89</v>
      </c>
      <c r="C21" s="31" t="s">
        <v>90</v>
      </c>
      <c r="D21" s="32">
        <v>232050</v>
      </c>
    </row>
    <row r="22" spans="1:4" x14ac:dyDescent="0.25">
      <c r="A22" s="27" t="s">
        <v>91</v>
      </c>
      <c r="B22" s="30" t="s">
        <v>92</v>
      </c>
      <c r="C22" s="31" t="s">
        <v>90</v>
      </c>
      <c r="D22" s="32">
        <v>202300</v>
      </c>
    </row>
    <row r="23" spans="1:4" x14ac:dyDescent="0.25">
      <c r="A23" s="27" t="s">
        <v>93</v>
      </c>
      <c r="B23" s="30" t="s">
        <v>94</v>
      </c>
      <c r="C23" s="31" t="s">
        <v>90</v>
      </c>
      <c r="D23" s="32">
        <v>176120</v>
      </c>
    </row>
    <row r="24" spans="1:4" x14ac:dyDescent="0.25">
      <c r="A24" s="27" t="s">
        <v>95</v>
      </c>
      <c r="B24" s="30" t="s">
        <v>96</v>
      </c>
      <c r="C24" s="31" t="s">
        <v>90</v>
      </c>
      <c r="D24" s="32">
        <v>162300</v>
      </c>
    </row>
    <row r="25" spans="1:4" x14ac:dyDescent="0.25">
      <c r="A25" s="27" t="s">
        <v>97</v>
      </c>
      <c r="B25" s="30" t="s">
        <v>98</v>
      </c>
      <c r="C25" s="31" t="s">
        <v>90</v>
      </c>
      <c r="D25" s="32">
        <v>57150</v>
      </c>
    </row>
    <row r="26" spans="1:4" x14ac:dyDescent="0.25">
      <c r="A26" s="27" t="s">
        <v>99</v>
      </c>
      <c r="B26" s="30" t="s">
        <v>100</v>
      </c>
      <c r="C26" s="31" t="s">
        <v>67</v>
      </c>
      <c r="D26" s="32">
        <v>65000</v>
      </c>
    </row>
    <row r="27" spans="1:4" x14ac:dyDescent="0.25">
      <c r="A27" s="27" t="s">
        <v>101</v>
      </c>
      <c r="B27" s="30" t="s">
        <v>102</v>
      </c>
      <c r="C27" s="31" t="s">
        <v>90</v>
      </c>
      <c r="D27" s="32">
        <v>114950</v>
      </c>
    </row>
    <row r="28" spans="1:4" x14ac:dyDescent="0.25">
      <c r="A28" s="27" t="s">
        <v>103</v>
      </c>
      <c r="B28" s="30" t="s">
        <v>104</v>
      </c>
      <c r="C28" s="31" t="s">
        <v>90</v>
      </c>
      <c r="D28" s="32">
        <v>122800</v>
      </c>
    </row>
    <row r="29" spans="1:4" x14ac:dyDescent="0.25">
      <c r="A29" s="27" t="s">
        <v>105</v>
      </c>
      <c r="B29" s="30" t="s">
        <v>106</v>
      </c>
      <c r="C29" s="31" t="s">
        <v>90</v>
      </c>
      <c r="D29" s="32">
        <v>1870</v>
      </c>
    </row>
    <row r="30" spans="1:4" x14ac:dyDescent="0.25">
      <c r="A30" s="27" t="s">
        <v>107</v>
      </c>
      <c r="B30" s="30" t="s">
        <v>108</v>
      </c>
      <c r="C30" s="31" t="s">
        <v>67</v>
      </c>
      <c r="D30" s="32">
        <v>22800</v>
      </c>
    </row>
    <row r="31" spans="1:4" x14ac:dyDescent="0.25">
      <c r="A31" s="27" t="s">
        <v>109</v>
      </c>
      <c r="B31" s="30" t="s">
        <v>110</v>
      </c>
      <c r="C31" s="31" t="s">
        <v>67</v>
      </c>
      <c r="D31" s="32">
        <v>53580</v>
      </c>
    </row>
    <row r="32" spans="1:4" x14ac:dyDescent="0.25">
      <c r="A32" s="27" t="s">
        <v>111</v>
      </c>
      <c r="B32" s="30" t="s">
        <v>112</v>
      </c>
      <c r="C32" s="31" t="s">
        <v>90</v>
      </c>
      <c r="D32" s="32">
        <v>291550</v>
      </c>
    </row>
    <row r="33" spans="1:4" x14ac:dyDescent="0.25">
      <c r="A33" s="27" t="s">
        <v>113</v>
      </c>
      <c r="B33" s="30" t="s">
        <v>114</v>
      </c>
      <c r="C33" s="31" t="s">
        <v>67</v>
      </c>
      <c r="D33" s="32">
        <v>149880</v>
      </c>
    </row>
    <row r="34" spans="1:4" x14ac:dyDescent="0.25">
      <c r="A34" s="27" t="s">
        <v>115</v>
      </c>
      <c r="B34" s="30" t="s">
        <v>116</v>
      </c>
      <c r="C34" s="31" t="s">
        <v>67</v>
      </c>
      <c r="D34" s="32">
        <v>281800</v>
      </c>
    </row>
    <row r="35" spans="1:4" x14ac:dyDescent="0.25">
      <c r="A35" s="27" t="s">
        <v>117</v>
      </c>
      <c r="B35" s="30" t="s">
        <v>118</v>
      </c>
      <c r="C35" s="31" t="s">
        <v>90</v>
      </c>
      <c r="D35" s="32">
        <v>113050</v>
      </c>
    </row>
    <row r="36" spans="1:4" x14ac:dyDescent="0.25">
      <c r="A36" s="27" t="s">
        <v>119</v>
      </c>
      <c r="B36" s="30" t="s">
        <v>120</v>
      </c>
      <c r="C36" s="31" t="s">
        <v>90</v>
      </c>
      <c r="D36" s="32">
        <v>46000</v>
      </c>
    </row>
    <row r="37" spans="1:4" x14ac:dyDescent="0.25">
      <c r="A37" s="27" t="s">
        <v>121</v>
      </c>
      <c r="B37" s="30" t="s">
        <v>500</v>
      </c>
      <c r="C37" s="31" t="s">
        <v>122</v>
      </c>
      <c r="D37" s="32">
        <v>62000</v>
      </c>
    </row>
    <row r="38" spans="1:4" x14ac:dyDescent="0.25">
      <c r="A38" s="27" t="s">
        <v>123</v>
      </c>
      <c r="B38" s="30" t="s">
        <v>124</v>
      </c>
      <c r="C38" s="31" t="s">
        <v>90</v>
      </c>
      <c r="D38" s="32">
        <v>800</v>
      </c>
    </row>
    <row r="39" spans="1:4" x14ac:dyDescent="0.25">
      <c r="A39" s="27" t="s">
        <v>125</v>
      </c>
      <c r="B39" s="30" t="s">
        <v>126</v>
      </c>
      <c r="C39" s="31" t="s">
        <v>90</v>
      </c>
      <c r="D39" s="32">
        <v>90000</v>
      </c>
    </row>
    <row r="40" spans="1:4" s="105" customFormat="1" ht="13.15" customHeight="1" x14ac:dyDescent="0.2">
      <c r="A40" s="27" t="s">
        <v>449</v>
      </c>
      <c r="B40" s="30" t="s">
        <v>450</v>
      </c>
      <c r="C40" s="31" t="s">
        <v>90</v>
      </c>
      <c r="D40" s="32">
        <v>14000</v>
      </c>
    </row>
    <row r="41" spans="1:4" x14ac:dyDescent="0.25">
      <c r="A41" s="27" t="s">
        <v>493</v>
      </c>
      <c r="B41" s="30" t="s">
        <v>492</v>
      </c>
      <c r="C41" s="40" t="s">
        <v>122</v>
      </c>
      <c r="D41" s="32">
        <v>60000</v>
      </c>
    </row>
    <row r="42" spans="1:4" x14ac:dyDescent="0.25">
      <c r="A42" s="27" t="s">
        <v>501</v>
      </c>
      <c r="B42" s="30" t="s">
        <v>541</v>
      </c>
      <c r="C42" s="40" t="s">
        <v>122</v>
      </c>
      <c r="D42" s="32">
        <f>2500*9</f>
        <v>22500</v>
      </c>
    </row>
    <row r="43" spans="1:4" x14ac:dyDescent="0.25">
      <c r="A43" s="27" t="s">
        <v>502</v>
      </c>
      <c r="B43" s="30" t="s">
        <v>503</v>
      </c>
      <c r="C43" s="40" t="s">
        <v>122</v>
      </c>
      <c r="D43" s="32">
        <v>75000</v>
      </c>
    </row>
    <row r="44" spans="1:4" x14ac:dyDescent="0.25">
      <c r="A44" s="27" t="s">
        <v>505</v>
      </c>
      <c r="B44" s="30" t="s">
        <v>542</v>
      </c>
      <c r="C44" s="40" t="s">
        <v>122</v>
      </c>
      <c r="D44" s="32">
        <f>2200*3</f>
        <v>6600</v>
      </c>
    </row>
    <row r="45" spans="1:4" x14ac:dyDescent="0.25">
      <c r="A45" s="27" t="s">
        <v>524</v>
      </c>
      <c r="B45" s="30" t="s">
        <v>540</v>
      </c>
      <c r="C45" s="40" t="s">
        <v>539</v>
      </c>
      <c r="D45" s="32">
        <v>2000</v>
      </c>
    </row>
  </sheetData>
  <protectedRanges>
    <protectedRange sqref="D8 B9:D39" name="Rango1_1"/>
  </protectedRanges>
  <autoFilter ref="A7:D7" xr:uid="{00000000-0009-0000-0000-000012000000}"/>
  <mergeCells count="5">
    <mergeCell ref="A1:B1"/>
    <mergeCell ref="C1:D5"/>
    <mergeCell ref="A2:B2"/>
    <mergeCell ref="A3:B3"/>
    <mergeCell ref="A5:B5"/>
  </mergeCells>
  <phoneticPr fontId="30" type="noConversion"/>
  <pageMargins left="0.7" right="0.7" top="0.75" bottom="0.75" header="0.3" footer="0.3"/>
  <pageSetup scale="87"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G21"/>
  <sheetViews>
    <sheetView view="pageBreakPreview" topLeftCell="A7" zoomScaleNormal="85" zoomScaleSheetLayoutView="100" workbookViewId="0">
      <selection activeCell="H6" sqref="H6"/>
    </sheetView>
  </sheetViews>
  <sheetFormatPr baseColWidth="10" defaultRowHeight="15" x14ac:dyDescent="0.25"/>
  <cols>
    <col min="1" max="1" width="37.28515625" customWidth="1"/>
    <col min="2" max="2" width="13" bestFit="1" customWidth="1"/>
    <col min="3" max="3" width="15.28515625" bestFit="1" customWidth="1"/>
    <col min="4" max="4" width="18.7109375" bestFit="1" customWidth="1"/>
    <col min="7" max="7" width="16.42578125" customWidth="1"/>
  </cols>
  <sheetData>
    <row r="1" spans="1:7" ht="23.25" x14ac:dyDescent="0.25">
      <c r="A1" s="506" t="s">
        <v>0</v>
      </c>
      <c r="B1" s="507"/>
      <c r="C1" s="507"/>
      <c r="D1" s="507"/>
      <c r="E1" s="507"/>
      <c r="F1" s="501" t="s">
        <v>53</v>
      </c>
      <c r="G1" s="501"/>
    </row>
    <row r="2" spans="1:7" ht="15.75" x14ac:dyDescent="0.25">
      <c r="A2" s="418" t="str">
        <f>'DATOS INICIALES'!B6</f>
        <v>MUNICIPIO DE DABEIBA</v>
      </c>
      <c r="B2" s="419"/>
      <c r="C2" s="419"/>
      <c r="D2" s="419"/>
      <c r="E2" s="419"/>
      <c r="F2" s="501"/>
      <c r="G2" s="501"/>
    </row>
    <row r="3" spans="1:7" ht="46.9" customHeight="1" x14ac:dyDescent="0.25">
      <c r="A3" s="508" t="str">
        <f>'DATOS INICIALES'!B3</f>
        <v xml:space="preserve">CONSTRUCCIÓN DE CASA DE SALUD EN EL CORREGIMIENTO LA BALSITA DEL MUNICIPIO DE DABEIBA </v>
      </c>
      <c r="B3" s="509"/>
      <c r="C3" s="509"/>
      <c r="D3" s="509"/>
      <c r="E3" s="509"/>
      <c r="F3" s="501"/>
      <c r="G3" s="501"/>
    </row>
    <row r="4" spans="1:7" x14ac:dyDescent="0.25">
      <c r="A4" s="22"/>
      <c r="B4" s="22"/>
      <c r="C4" s="22"/>
      <c r="D4" s="22"/>
      <c r="E4" s="4"/>
      <c r="F4" s="501"/>
      <c r="G4" s="501"/>
    </row>
    <row r="5" spans="1:7" ht="12.6" customHeight="1" x14ac:dyDescent="0.25">
      <c r="A5" s="423" t="s">
        <v>386</v>
      </c>
      <c r="B5" s="510"/>
      <c r="C5" s="510"/>
      <c r="D5" s="510"/>
      <c r="E5" s="510"/>
      <c r="F5" s="501"/>
      <c r="G5" s="501"/>
    </row>
    <row r="6" spans="1:7" x14ac:dyDescent="0.25">
      <c r="A6" s="124" t="s">
        <v>387</v>
      </c>
      <c r="B6" s="125">
        <f ca="1">PRESUPUESTO!H127</f>
        <v>8599991267.2584763</v>
      </c>
      <c r="C6" s="407">
        <f ca="1">IFERROR(B6/'DATOS INICIALES'!B12,"")</f>
        <v>4911.7406525530951</v>
      </c>
      <c r="D6" s="408"/>
    </row>
    <row r="7" spans="1:7" x14ac:dyDescent="0.25">
      <c r="A7" s="124" t="s">
        <v>388</v>
      </c>
      <c r="B7" s="126">
        <f>'DATOS INICIALES'!B18</f>
        <v>3</v>
      </c>
      <c r="C7" s="409">
        <f>+IFERROR(B7*30,"")</f>
        <v>90</v>
      </c>
      <c r="D7" s="409"/>
    </row>
    <row r="8" spans="1:7" x14ac:dyDescent="0.25">
      <c r="A8" s="124" t="s">
        <v>389</v>
      </c>
      <c r="B8" s="127">
        <v>0</v>
      </c>
      <c r="C8" s="410">
        <f ca="1">+IFERROR(B8*B6,"")</f>
        <v>0</v>
      </c>
      <c r="D8" s="410"/>
    </row>
    <row r="10" spans="1:7" x14ac:dyDescent="0.25">
      <c r="A10" s="401" t="s">
        <v>390</v>
      </c>
      <c r="B10" s="401" t="s">
        <v>391</v>
      </c>
      <c r="C10" s="401"/>
      <c r="D10" s="401"/>
      <c r="E10" s="401" t="s">
        <v>392</v>
      </c>
      <c r="F10" s="401" t="s">
        <v>393</v>
      </c>
      <c r="G10" s="402" t="s">
        <v>394</v>
      </c>
    </row>
    <row r="11" spans="1:7" x14ac:dyDescent="0.25">
      <c r="A11" s="401"/>
      <c r="B11" s="36" t="s">
        <v>65</v>
      </c>
      <c r="C11" s="36" t="s">
        <v>395</v>
      </c>
      <c r="D11" s="36" t="s">
        <v>396</v>
      </c>
      <c r="E11" s="411"/>
      <c r="F11" s="401"/>
      <c r="G11" s="402"/>
    </row>
    <row r="12" spans="1:7" x14ac:dyDescent="0.25">
      <c r="A12" s="128" t="s">
        <v>397</v>
      </c>
      <c r="B12" s="131">
        <v>0.2</v>
      </c>
      <c r="C12" s="136">
        <f ca="1">$B$6</f>
        <v>8599991267.2584763</v>
      </c>
      <c r="D12" s="71">
        <f ca="1">IFERROR(B12*C12,"")</f>
        <v>1719998253.4516954</v>
      </c>
      <c r="E12" s="69">
        <f>IFERROR($C$7+180,"")</f>
        <v>270</v>
      </c>
      <c r="F12" s="132">
        <v>2E-3</v>
      </c>
      <c r="G12" s="71">
        <f ca="1">IFERROR(F12*D12*E12/360,"")</f>
        <v>2579997.380177543</v>
      </c>
    </row>
    <row r="13" spans="1:7" ht="25.5" x14ac:dyDescent="0.25">
      <c r="A13" s="128" t="s">
        <v>398</v>
      </c>
      <c r="B13" s="131">
        <v>1</v>
      </c>
      <c r="C13" s="136">
        <f ca="1">$C$8</f>
        <v>0</v>
      </c>
      <c r="D13" s="71">
        <f ca="1">IFERROR(B13*C13,"")</f>
        <v>0</v>
      </c>
      <c r="E13" s="69">
        <f>IFERROR($C$7+180,"")</f>
        <v>270</v>
      </c>
      <c r="F13" s="132">
        <v>1.5E-3</v>
      </c>
      <c r="G13" s="71">
        <f ca="1">IFERROR(F13*D13*E13/360,"")</f>
        <v>0</v>
      </c>
    </row>
    <row r="14" spans="1:7" x14ac:dyDescent="0.25">
      <c r="A14" s="128" t="s">
        <v>399</v>
      </c>
      <c r="B14" s="131">
        <v>0.2</v>
      </c>
      <c r="C14" s="136">
        <f ca="1">$B$6</f>
        <v>8599991267.2584763</v>
      </c>
      <c r="D14" s="71">
        <f ca="1">IFERROR(B14*C14,"")</f>
        <v>1719998253.4516954</v>
      </c>
      <c r="E14" s="69">
        <f>IFERROR($C$7+1080,"")</f>
        <v>1170</v>
      </c>
      <c r="F14" s="132">
        <v>1.5E-3</v>
      </c>
      <c r="G14" s="71">
        <f ca="1">IFERROR(F14*D14*E14/360,"")</f>
        <v>8384991.4855770152</v>
      </c>
    </row>
    <row r="15" spans="1:7" x14ac:dyDescent="0.25">
      <c r="A15" s="128" t="s">
        <v>400</v>
      </c>
      <c r="B15" s="131">
        <v>0.2</v>
      </c>
      <c r="C15" s="136">
        <f ca="1">$B$6</f>
        <v>8599991267.2584763</v>
      </c>
      <c r="D15" s="71">
        <f ca="1">IFERROR(B15*C15,"")</f>
        <v>1719998253.4516954</v>
      </c>
      <c r="E15" s="69">
        <f ca="1">IF($B$6="","",1800)</f>
        <v>1800</v>
      </c>
      <c r="F15" s="132">
        <v>2E-3</v>
      </c>
      <c r="G15" s="71">
        <f ca="1">IFERROR(F15*D15*E15/360,"")</f>
        <v>17199982.534516953</v>
      </c>
    </row>
    <row r="16" spans="1:7" ht="25.5" x14ac:dyDescent="0.25">
      <c r="A16" s="129" t="s">
        <v>402</v>
      </c>
      <c r="B16" s="133" t="s">
        <v>403</v>
      </c>
      <c r="C16" s="512" t="s">
        <v>404</v>
      </c>
      <c r="D16" s="512"/>
      <c r="E16" s="134" t="s">
        <v>405</v>
      </c>
      <c r="F16" s="133" t="s">
        <v>406</v>
      </c>
      <c r="G16" s="135" t="s">
        <v>394</v>
      </c>
    </row>
    <row r="17" spans="1:7" x14ac:dyDescent="0.25">
      <c r="A17" s="130">
        <f ca="1">+IF(B6="","",IF(C6&lt;=1500,200,IF(C6&lt;=2500,300,IF(C6&lt;=5000,400,IF(C6&lt;=10000,500,"5%")))))</f>
        <v>400</v>
      </c>
      <c r="B17" s="137">
        <f>'DATOS INICIALES'!B12</f>
        <v>1750905</v>
      </c>
      <c r="C17" s="513">
        <f ca="1">IFERROR(IF(C6&gt;10000,B6+5%,A17*B17),"")</f>
        <v>700362000</v>
      </c>
      <c r="D17" s="513"/>
      <c r="E17" s="138">
        <f>B7</f>
        <v>3</v>
      </c>
      <c r="F17" s="139">
        <v>2E-3</v>
      </c>
      <c r="G17" s="140">
        <f ca="1">IFERROR(F17*E17*C17/12,"")</f>
        <v>350181</v>
      </c>
    </row>
    <row r="18" spans="1:7" x14ac:dyDescent="0.25">
      <c r="A18" s="511" t="s">
        <v>407</v>
      </c>
      <c r="B18" s="511"/>
      <c r="C18" s="511"/>
      <c r="D18" s="511"/>
      <c r="E18" s="511"/>
      <c r="F18" s="511"/>
      <c r="G18" s="71">
        <f ca="1">IF(SUM(G12:G15,G17)=0,"",SUM(G12:G15,G17))</f>
        <v>28515152.400271513</v>
      </c>
    </row>
    <row r="19" spans="1:7" x14ac:dyDescent="0.25">
      <c r="A19" s="511" t="s">
        <v>408</v>
      </c>
      <c r="B19" s="511"/>
      <c r="C19" s="511"/>
      <c r="D19" s="511"/>
      <c r="E19" s="511"/>
      <c r="F19" s="511"/>
      <c r="G19" s="71">
        <f ca="1">IF(G19="","",20000)</f>
        <v>20000</v>
      </c>
    </row>
    <row r="20" spans="1:7" x14ac:dyDescent="0.25">
      <c r="A20" s="511" t="s">
        <v>409</v>
      </c>
      <c r="B20" s="511"/>
      <c r="C20" s="511"/>
      <c r="D20" s="511"/>
      <c r="E20" s="511"/>
      <c r="F20" s="511"/>
      <c r="G20" s="71">
        <f ca="1">IFERROR((G18+G19)*0.19,"")</f>
        <v>5421678.9560515871</v>
      </c>
    </row>
    <row r="21" spans="1:7" x14ac:dyDescent="0.25">
      <c r="A21" s="511" t="s">
        <v>410</v>
      </c>
      <c r="B21" s="511"/>
      <c r="C21" s="511"/>
      <c r="D21" s="511"/>
      <c r="E21" s="511"/>
      <c r="F21" s="511"/>
      <c r="G21" s="71">
        <f ca="1">IF(G18="","",SUM(G18:G20))</f>
        <v>33956831.356323101</v>
      </c>
    </row>
  </sheetData>
  <protectedRanges>
    <protectedRange sqref="B8" name="Rango1"/>
    <protectedRange sqref="B12:B15" name="Rango1_1"/>
  </protectedRanges>
  <mergeCells count="19">
    <mergeCell ref="A21:F21"/>
    <mergeCell ref="G10:G11"/>
    <mergeCell ref="C16:D16"/>
    <mergeCell ref="C17:D17"/>
    <mergeCell ref="A18:F18"/>
    <mergeCell ref="A19:F19"/>
    <mergeCell ref="A20:F20"/>
    <mergeCell ref="F10:F11"/>
    <mergeCell ref="C7:D7"/>
    <mergeCell ref="C8:D8"/>
    <mergeCell ref="A10:A11"/>
    <mergeCell ref="B10:D10"/>
    <mergeCell ref="E10:E11"/>
    <mergeCell ref="C6:D6"/>
    <mergeCell ref="A1:E1"/>
    <mergeCell ref="F1:G5"/>
    <mergeCell ref="A2:E2"/>
    <mergeCell ref="A3:E3"/>
    <mergeCell ref="A5:E5"/>
  </mergeCells>
  <pageMargins left="0.7" right="0.7" top="0.75" bottom="0.75" header="0.3" footer="0.3"/>
  <pageSetup scale="73"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H61"/>
  <sheetViews>
    <sheetView view="pageBreakPreview" topLeftCell="A6" zoomScale="80" zoomScaleNormal="100" zoomScaleSheetLayoutView="80" workbookViewId="0">
      <selection activeCell="D8" sqref="D8"/>
    </sheetView>
  </sheetViews>
  <sheetFormatPr baseColWidth="10" defaultRowHeight="15" x14ac:dyDescent="0.25"/>
  <cols>
    <col min="2" max="2" width="35.28515625" bestFit="1" customWidth="1"/>
    <col min="4" max="4" width="17" style="67" bestFit="1" customWidth="1"/>
    <col min="5" max="5" width="14" customWidth="1"/>
    <col min="6" max="6" width="14.85546875" style="67" bestFit="1" customWidth="1"/>
    <col min="7" max="7" width="13.7109375" style="67" customWidth="1"/>
    <col min="8" max="8" width="15.42578125" style="67" bestFit="1" customWidth="1"/>
  </cols>
  <sheetData>
    <row r="1" spans="1:8" ht="23.25" x14ac:dyDescent="0.25">
      <c r="A1" s="506" t="s">
        <v>0</v>
      </c>
      <c r="B1" s="506"/>
      <c r="C1" s="506"/>
      <c r="D1" s="506"/>
      <c r="E1" s="506"/>
      <c r="F1" s="506"/>
      <c r="G1" s="514"/>
      <c r="H1" s="514"/>
    </row>
    <row r="2" spans="1:8" ht="21" x14ac:dyDescent="0.25">
      <c r="A2" s="390" t="str">
        <f>'DATOS INICIALES'!B2</f>
        <v>MUNICIPIO DE DABEIBA</v>
      </c>
      <c r="B2" s="390"/>
      <c r="C2" s="390"/>
      <c r="D2" s="390"/>
      <c r="E2" s="390"/>
      <c r="F2" s="390"/>
      <c r="G2" s="514"/>
      <c r="H2" s="514"/>
    </row>
    <row r="3" spans="1:8" ht="42" customHeight="1" x14ac:dyDescent="0.25">
      <c r="A3" s="502" t="str">
        <f>'DATOS INICIALES'!B3</f>
        <v xml:space="preserve">CONSTRUCCIÓN DE CASA DE SALUD EN EL CORREGIMIENTO LA BALSITA DEL MUNICIPIO DE DABEIBA </v>
      </c>
      <c r="B3" s="502"/>
      <c r="C3" s="502"/>
      <c r="D3" s="502"/>
      <c r="E3" s="502"/>
      <c r="F3" s="502"/>
      <c r="G3" s="514"/>
      <c r="H3" s="514"/>
    </row>
    <row r="4" spans="1:8" x14ac:dyDescent="0.25">
      <c r="A4" s="17"/>
      <c r="B4" s="22"/>
      <c r="C4" s="4"/>
      <c r="D4" s="91"/>
      <c r="E4" s="46"/>
      <c r="F4" s="91"/>
      <c r="G4" s="514"/>
      <c r="H4" s="514"/>
    </row>
    <row r="5" spans="1:8" ht="15.75" x14ac:dyDescent="0.25">
      <c r="A5" s="503" t="s">
        <v>135</v>
      </c>
      <c r="B5" s="503"/>
      <c r="C5" s="503"/>
      <c r="D5" s="503"/>
      <c r="E5" s="503"/>
      <c r="F5" s="503"/>
      <c r="G5" s="514"/>
      <c r="H5" s="514"/>
    </row>
    <row r="6" spans="1:8" x14ac:dyDescent="0.25">
      <c r="A6" s="23"/>
      <c r="B6" s="4"/>
      <c r="C6" s="4"/>
      <c r="D6" s="92"/>
      <c r="E6" s="47"/>
      <c r="F6" s="92"/>
      <c r="G6" s="92"/>
      <c r="H6" s="92"/>
    </row>
    <row r="7" spans="1:8" ht="25.5" x14ac:dyDescent="0.25">
      <c r="A7" s="36" t="s">
        <v>54</v>
      </c>
      <c r="B7" s="36" t="s">
        <v>136</v>
      </c>
      <c r="C7" s="36" t="s">
        <v>137</v>
      </c>
      <c r="D7" s="93" t="s">
        <v>138</v>
      </c>
      <c r="E7" s="48" t="s">
        <v>139</v>
      </c>
      <c r="F7" s="93" t="s">
        <v>140</v>
      </c>
      <c r="G7" s="93" t="s">
        <v>141</v>
      </c>
      <c r="H7" s="93" t="s">
        <v>58</v>
      </c>
    </row>
    <row r="8" spans="1:8" x14ac:dyDescent="0.25">
      <c r="A8" s="41" t="s">
        <v>162</v>
      </c>
      <c r="B8" s="33" t="str">
        <f t="shared" ref="B8:B39" si="0">IFERROR(IF(HLOOKUP($A8,FACTORPRESTACIONAL,2,0)="","",HLOOKUP($A8,FACTORPRESTACIONAL,2,0)),"")</f>
        <v xml:space="preserve">DIRECTOR DE OBRA </v>
      </c>
      <c r="C8" s="33" t="str">
        <f t="shared" ref="C8:C39" si="1">IFERROR(IF(HLOOKUP($A8,FACTORPRESTACIONAL,2,0)="","",HLOOKUP($A8,FACTORPRESTACIONAL,3,0)),"")</f>
        <v>ADMÓN</v>
      </c>
      <c r="D8" s="71">
        <f t="shared" ref="D8:D39" si="2">IFERROR(IF(HLOOKUP($A8,FACTORPRESTACIONAL,2,0)="","",HLOOKUP($A8,FACTORPRESTACIONAL,5,0)),"")</f>
        <v>7353801</v>
      </c>
      <c r="E8" s="69">
        <f t="shared" ref="E8:E39" si="3">IFERROR(IF(HLOOKUP($A8,FACTORPRESTACIONAL,2,0)="","",HLOOKUP($A8,FACTORPRESTACIONAL,26,0)),"")</f>
        <v>1.5</v>
      </c>
      <c r="F8" s="70">
        <f t="shared" ref="F8:F39" si="4">IFERROR(IF(HLOOKUP($A8,FACTORPRESTACIONAL,2,0)="","",HLOOKUP($A8,FACTORPRESTACIONAL,24,0)),"")</f>
        <v>241769</v>
      </c>
      <c r="G8" s="70">
        <f t="shared" ref="G8:G39" si="5">IFERROR(IF(HLOOKUP($A8,FACTORPRESTACIONAL,2,0)="","",HLOOKUP($A8,FACTORPRESTACIONAL,25,0)),"")</f>
        <v>121008</v>
      </c>
      <c r="H8" s="70">
        <f>IFERROR(F8+G8,"")</f>
        <v>362777</v>
      </c>
    </row>
    <row r="9" spans="1:8" x14ac:dyDescent="0.25">
      <c r="A9" s="42" t="s">
        <v>163</v>
      </c>
      <c r="B9" s="33" t="str">
        <f t="shared" si="0"/>
        <v>DIRECTOR DE INTERVENTORÍA</v>
      </c>
      <c r="C9" s="33" t="str">
        <f t="shared" si="1"/>
        <v>ADMÓN</v>
      </c>
      <c r="D9" s="71">
        <f t="shared" si="2"/>
        <v>7353801</v>
      </c>
      <c r="E9" s="69">
        <f t="shared" si="3"/>
        <v>1.5</v>
      </c>
      <c r="F9" s="70">
        <f t="shared" si="4"/>
        <v>241769</v>
      </c>
      <c r="G9" s="70">
        <f t="shared" si="5"/>
        <v>121008</v>
      </c>
      <c r="H9" s="70">
        <f t="shared" ref="H9:H61" si="6">IFERROR(F9+G9,"")</f>
        <v>362777</v>
      </c>
    </row>
    <row r="10" spans="1:8" x14ac:dyDescent="0.25">
      <c r="A10" s="42" t="s">
        <v>164</v>
      </c>
      <c r="B10" s="33" t="str">
        <f t="shared" si="0"/>
        <v>RESIDENTE DE OBRA</v>
      </c>
      <c r="C10" s="33" t="str">
        <f t="shared" si="1"/>
        <v>ADMÓN</v>
      </c>
      <c r="D10" s="71">
        <f t="shared" si="2"/>
        <v>4377263</v>
      </c>
      <c r="E10" s="69">
        <f t="shared" si="3"/>
        <v>1.51</v>
      </c>
      <c r="F10" s="70">
        <f t="shared" si="4"/>
        <v>143910</v>
      </c>
      <c r="G10" s="70">
        <f t="shared" si="5"/>
        <v>73155</v>
      </c>
      <c r="H10" s="70">
        <f t="shared" si="6"/>
        <v>217065</v>
      </c>
    </row>
    <row r="11" spans="1:8" x14ac:dyDescent="0.25">
      <c r="A11" s="90" t="s">
        <v>165</v>
      </c>
      <c r="B11" s="33" t="str">
        <f t="shared" si="0"/>
        <v>RESIDENTE DE INTERVENTORÍA</v>
      </c>
      <c r="C11" s="33" t="str">
        <f t="shared" si="1"/>
        <v>ADMÓN</v>
      </c>
      <c r="D11" s="71">
        <f t="shared" si="2"/>
        <v>5252715</v>
      </c>
      <c r="E11" s="69">
        <f t="shared" si="3"/>
        <v>1.51</v>
      </c>
      <c r="F11" s="70">
        <f t="shared" si="4"/>
        <v>172692</v>
      </c>
      <c r="G11" s="70">
        <f t="shared" si="5"/>
        <v>87229</v>
      </c>
      <c r="H11" s="70">
        <f t="shared" si="6"/>
        <v>259921</v>
      </c>
    </row>
    <row r="12" spans="1:8" x14ac:dyDescent="0.25">
      <c r="A12" s="90" t="s">
        <v>166</v>
      </c>
      <c r="B12" s="33" t="str">
        <f t="shared" si="0"/>
        <v>RESIDENTE AMBIENTAL</v>
      </c>
      <c r="C12" s="33" t="str">
        <f t="shared" si="1"/>
        <v>ADMÓN</v>
      </c>
      <c r="D12" s="71">
        <f t="shared" si="2"/>
        <v>5252715</v>
      </c>
      <c r="E12" s="69">
        <f t="shared" si="3"/>
        <v>1.51</v>
      </c>
      <c r="F12" s="70">
        <f t="shared" si="4"/>
        <v>172692</v>
      </c>
      <c r="G12" s="70">
        <f t="shared" si="5"/>
        <v>87229</v>
      </c>
      <c r="H12" s="70">
        <f t="shared" si="6"/>
        <v>259921</v>
      </c>
    </row>
    <row r="13" spans="1:8" x14ac:dyDescent="0.25">
      <c r="A13" s="90" t="s">
        <v>167</v>
      </c>
      <c r="B13" s="33" t="str">
        <f t="shared" si="0"/>
        <v>RESIDENTE SOCIAL</v>
      </c>
      <c r="C13" s="33" t="str">
        <f t="shared" si="1"/>
        <v>ADMÓN</v>
      </c>
      <c r="D13" s="71">
        <f t="shared" si="2"/>
        <v>5252715</v>
      </c>
      <c r="E13" s="69">
        <f t="shared" si="3"/>
        <v>1.51</v>
      </c>
      <c r="F13" s="70">
        <f t="shared" si="4"/>
        <v>172692</v>
      </c>
      <c r="G13" s="70">
        <f t="shared" si="5"/>
        <v>87229</v>
      </c>
      <c r="H13" s="70">
        <f t="shared" si="6"/>
        <v>259921</v>
      </c>
    </row>
    <row r="14" spans="1:8" x14ac:dyDescent="0.25">
      <c r="A14" s="90" t="s">
        <v>168</v>
      </c>
      <c r="B14" s="33" t="str">
        <f t="shared" si="0"/>
        <v>AUXILIAR DE RESIDENCIA</v>
      </c>
      <c r="C14" s="33" t="str">
        <f t="shared" si="1"/>
        <v>ADMÓN</v>
      </c>
      <c r="D14" s="71">
        <f t="shared" si="2"/>
        <v>5252715</v>
      </c>
      <c r="E14" s="69">
        <f t="shared" si="3"/>
        <v>1.51</v>
      </c>
      <c r="F14" s="70">
        <f t="shared" si="4"/>
        <v>172692</v>
      </c>
      <c r="G14" s="70">
        <f t="shared" si="5"/>
        <v>87229</v>
      </c>
      <c r="H14" s="70">
        <f t="shared" si="6"/>
        <v>259921</v>
      </c>
    </row>
    <row r="15" spans="1:8" x14ac:dyDescent="0.25">
      <c r="A15" s="90" t="s">
        <v>169</v>
      </c>
      <c r="B15" s="33" t="str">
        <f t="shared" si="0"/>
        <v>TECNÓLOGO SST</v>
      </c>
      <c r="C15" s="33" t="str">
        <f t="shared" si="1"/>
        <v>ADMÓN</v>
      </c>
      <c r="D15" s="71">
        <f t="shared" si="2"/>
        <v>2976539</v>
      </c>
      <c r="E15" s="69">
        <f t="shared" si="3"/>
        <v>1.65</v>
      </c>
      <c r="F15" s="70">
        <f t="shared" si="4"/>
        <v>97859</v>
      </c>
      <c r="G15" s="70">
        <f t="shared" si="5"/>
        <v>63865</v>
      </c>
      <c r="H15" s="70">
        <f t="shared" si="6"/>
        <v>161724</v>
      </c>
    </row>
    <row r="16" spans="1:8" x14ac:dyDescent="0.25">
      <c r="A16" s="90" t="s">
        <v>170</v>
      </c>
      <c r="B16" s="33" t="str">
        <f t="shared" si="0"/>
        <v>INGENIERO DISEÑOS RECORD</v>
      </c>
      <c r="C16" s="33" t="str">
        <f t="shared" si="1"/>
        <v>ADMÓN</v>
      </c>
      <c r="D16" s="71">
        <f t="shared" si="2"/>
        <v>4377263</v>
      </c>
      <c r="E16" s="69">
        <f t="shared" si="3"/>
        <v>1.51</v>
      </c>
      <c r="F16" s="70">
        <f t="shared" si="4"/>
        <v>143910</v>
      </c>
      <c r="G16" s="70">
        <f t="shared" si="5"/>
        <v>73155</v>
      </c>
      <c r="H16" s="70">
        <f t="shared" si="6"/>
        <v>217065</v>
      </c>
    </row>
    <row r="17" spans="1:8" x14ac:dyDescent="0.25">
      <c r="A17" s="90" t="s">
        <v>171</v>
      </c>
      <c r="B17" s="33" t="str">
        <f t="shared" si="0"/>
        <v>CONTADOR</v>
      </c>
      <c r="C17" s="33" t="str">
        <f t="shared" si="1"/>
        <v>ADMÓN</v>
      </c>
      <c r="D17" s="71">
        <f t="shared" si="2"/>
        <v>8054163</v>
      </c>
      <c r="E17" s="69">
        <f t="shared" si="3"/>
        <v>1.5</v>
      </c>
      <c r="F17" s="70">
        <f t="shared" si="4"/>
        <v>264794</v>
      </c>
      <c r="G17" s="70">
        <f t="shared" si="5"/>
        <v>132268</v>
      </c>
      <c r="H17" s="70">
        <f t="shared" si="6"/>
        <v>397062</v>
      </c>
    </row>
    <row r="18" spans="1:8" x14ac:dyDescent="0.25">
      <c r="A18" s="90" t="s">
        <v>172</v>
      </c>
      <c r="B18" s="33" t="str">
        <f t="shared" si="0"/>
        <v>ALMACENISTA</v>
      </c>
      <c r="C18" s="33" t="str">
        <f t="shared" si="1"/>
        <v>ADMÓN</v>
      </c>
      <c r="D18" s="71">
        <f t="shared" si="2"/>
        <v>3239174</v>
      </c>
      <c r="E18" s="69">
        <f t="shared" si="3"/>
        <v>1.64</v>
      </c>
      <c r="F18" s="70">
        <f t="shared" si="4"/>
        <v>106493</v>
      </c>
      <c r="G18" s="70">
        <f t="shared" si="5"/>
        <v>68088</v>
      </c>
      <c r="H18" s="70">
        <f t="shared" si="6"/>
        <v>174581</v>
      </c>
    </row>
    <row r="19" spans="1:8" x14ac:dyDescent="0.25">
      <c r="A19" s="90" t="s">
        <v>173</v>
      </c>
      <c r="B19" s="33" t="str">
        <f t="shared" si="0"/>
        <v>AUXILIAR DE ALMACÉN</v>
      </c>
      <c r="C19" s="33" t="str">
        <f t="shared" si="1"/>
        <v>ADMÓN</v>
      </c>
      <c r="D19" s="71">
        <f t="shared" si="2"/>
        <v>2538812</v>
      </c>
      <c r="E19" s="69">
        <f t="shared" si="3"/>
        <v>1.68</v>
      </c>
      <c r="F19" s="70">
        <f t="shared" si="4"/>
        <v>83468</v>
      </c>
      <c r="G19" s="70">
        <f t="shared" si="5"/>
        <v>56828</v>
      </c>
      <c r="H19" s="70">
        <f t="shared" si="6"/>
        <v>140296</v>
      </c>
    </row>
    <row r="20" spans="1:8" x14ac:dyDescent="0.25">
      <c r="A20" s="90" t="s">
        <v>174</v>
      </c>
      <c r="B20" s="33" t="str">
        <f t="shared" si="0"/>
        <v>SECRETARIA</v>
      </c>
      <c r="C20" s="33" t="str">
        <f t="shared" si="1"/>
        <v>ADMÓN</v>
      </c>
      <c r="D20" s="71">
        <f t="shared" si="2"/>
        <v>1750905</v>
      </c>
      <c r="E20" s="69">
        <f t="shared" si="3"/>
        <v>1.77</v>
      </c>
      <c r="F20" s="70">
        <f t="shared" si="4"/>
        <v>57564</v>
      </c>
      <c r="G20" s="70">
        <f t="shared" si="5"/>
        <v>44161</v>
      </c>
      <c r="H20" s="70">
        <f t="shared" si="6"/>
        <v>101725</v>
      </c>
    </row>
    <row r="21" spans="1:8" x14ac:dyDescent="0.25">
      <c r="A21" s="90" t="s">
        <v>175</v>
      </c>
      <c r="B21" s="33" t="str">
        <f t="shared" si="0"/>
        <v>MENSAJERO</v>
      </c>
      <c r="C21" s="33" t="str">
        <f t="shared" si="1"/>
        <v>ADMÓN</v>
      </c>
      <c r="D21" s="71">
        <f t="shared" si="2"/>
        <v>1750905</v>
      </c>
      <c r="E21" s="69">
        <f t="shared" si="3"/>
        <v>1.77</v>
      </c>
      <c r="F21" s="70">
        <f t="shared" si="4"/>
        <v>57564</v>
      </c>
      <c r="G21" s="70">
        <f t="shared" si="5"/>
        <v>44161</v>
      </c>
      <c r="H21" s="70">
        <f t="shared" si="6"/>
        <v>101725</v>
      </c>
    </row>
    <row r="22" spans="1:8" x14ac:dyDescent="0.25">
      <c r="A22" s="90" t="s">
        <v>176</v>
      </c>
      <c r="B22" s="33" t="str">
        <f t="shared" si="0"/>
        <v>VIGILANTE</v>
      </c>
      <c r="C22" s="33" t="str">
        <f t="shared" si="1"/>
        <v>ADMÓN</v>
      </c>
      <c r="D22" s="71">
        <f t="shared" si="2"/>
        <v>1750905</v>
      </c>
      <c r="E22" s="69">
        <f t="shared" si="3"/>
        <v>1.77</v>
      </c>
      <c r="F22" s="70">
        <f t="shared" si="4"/>
        <v>57564</v>
      </c>
      <c r="G22" s="70">
        <f t="shared" si="5"/>
        <v>44161</v>
      </c>
      <c r="H22" s="70">
        <f t="shared" si="6"/>
        <v>101725</v>
      </c>
    </row>
    <row r="23" spans="1:8" x14ac:dyDescent="0.25">
      <c r="A23" s="90" t="s">
        <v>177</v>
      </c>
      <c r="B23" s="33" t="str">
        <f t="shared" si="0"/>
        <v>TOPÓGRAFO</v>
      </c>
      <c r="C23" s="33" t="str">
        <f t="shared" si="1"/>
        <v>OBRA</v>
      </c>
      <c r="D23" s="71">
        <f t="shared" si="2"/>
        <v>8754525</v>
      </c>
      <c r="E23" s="69">
        <f t="shared" si="3"/>
        <v>1.5</v>
      </c>
      <c r="F23" s="70">
        <f t="shared" si="4"/>
        <v>287820</v>
      </c>
      <c r="G23" s="70">
        <f t="shared" si="5"/>
        <v>144271</v>
      </c>
      <c r="H23" s="70">
        <f t="shared" si="6"/>
        <v>432091</v>
      </c>
    </row>
    <row r="24" spans="1:8" x14ac:dyDescent="0.25">
      <c r="A24" s="90" t="s">
        <v>178</v>
      </c>
      <c r="B24" s="33" t="str">
        <f t="shared" si="0"/>
        <v>CADENERO 1</v>
      </c>
      <c r="C24" s="33" t="str">
        <f t="shared" si="1"/>
        <v>OBRA</v>
      </c>
      <c r="D24" s="71">
        <f t="shared" si="2"/>
        <v>4377263</v>
      </c>
      <c r="E24" s="69">
        <f t="shared" si="3"/>
        <v>1.51</v>
      </c>
      <c r="F24" s="70">
        <f t="shared" si="4"/>
        <v>143910</v>
      </c>
      <c r="G24" s="70">
        <f t="shared" si="5"/>
        <v>73899</v>
      </c>
      <c r="H24" s="70">
        <f t="shared" si="6"/>
        <v>217809</v>
      </c>
    </row>
    <row r="25" spans="1:8" x14ac:dyDescent="0.25">
      <c r="A25" s="90" t="s">
        <v>179</v>
      </c>
      <c r="B25" s="33" t="str">
        <f t="shared" si="0"/>
        <v>CADENERO 2</v>
      </c>
      <c r="C25" s="33" t="str">
        <f t="shared" si="1"/>
        <v>OBRA</v>
      </c>
      <c r="D25" s="71">
        <f t="shared" si="2"/>
        <v>2626358</v>
      </c>
      <c r="E25" s="69">
        <f t="shared" si="3"/>
        <v>1.68</v>
      </c>
      <c r="F25" s="70">
        <f t="shared" si="4"/>
        <v>86346</v>
      </c>
      <c r="G25" s="70">
        <f t="shared" si="5"/>
        <v>58980</v>
      </c>
      <c r="H25" s="70">
        <f t="shared" si="6"/>
        <v>145326</v>
      </c>
    </row>
    <row r="26" spans="1:8" x14ac:dyDescent="0.25">
      <c r="A26" s="42" t="s">
        <v>180</v>
      </c>
      <c r="B26" s="33" t="str">
        <f t="shared" si="0"/>
        <v>MAESTRO PRIMERO</v>
      </c>
      <c r="C26" s="33" t="str">
        <f t="shared" si="1"/>
        <v>OBRA</v>
      </c>
      <c r="D26" s="71">
        <f t="shared" si="2"/>
        <v>5252715</v>
      </c>
      <c r="E26" s="69">
        <f t="shared" si="3"/>
        <v>1.51</v>
      </c>
      <c r="F26" s="70">
        <f t="shared" si="4"/>
        <v>172692</v>
      </c>
      <c r="G26" s="70">
        <f t="shared" si="5"/>
        <v>87974</v>
      </c>
      <c r="H26" s="70">
        <f t="shared" si="6"/>
        <v>260666</v>
      </c>
    </row>
    <row r="27" spans="1:8" x14ac:dyDescent="0.25">
      <c r="A27" s="41" t="s">
        <v>181</v>
      </c>
      <c r="B27" s="33" t="str">
        <f t="shared" si="0"/>
        <v>MAESTRO SEGUNDO</v>
      </c>
      <c r="C27" s="33" t="str">
        <f t="shared" si="1"/>
        <v>OBRA</v>
      </c>
      <c r="D27" s="71">
        <f t="shared" si="2"/>
        <v>4027082</v>
      </c>
      <c r="E27" s="69">
        <f t="shared" si="3"/>
        <v>1.52</v>
      </c>
      <c r="F27" s="70">
        <f t="shared" si="4"/>
        <v>132397</v>
      </c>
      <c r="G27" s="70">
        <f t="shared" si="5"/>
        <v>68270</v>
      </c>
      <c r="H27" s="70">
        <f t="shared" si="6"/>
        <v>200667</v>
      </c>
    </row>
    <row r="28" spans="1:8" x14ac:dyDescent="0.25">
      <c r="A28" s="42" t="s">
        <v>182</v>
      </c>
      <c r="B28" s="33" t="str">
        <f t="shared" si="0"/>
        <v>OFICIAL ELÉCTRICO</v>
      </c>
      <c r="C28" s="33" t="str">
        <f t="shared" si="1"/>
        <v>OBRA</v>
      </c>
      <c r="D28" s="71">
        <f t="shared" si="2"/>
        <v>4814989</v>
      </c>
      <c r="E28" s="69">
        <f t="shared" si="3"/>
        <v>1.52</v>
      </c>
      <c r="F28" s="70">
        <f t="shared" si="4"/>
        <v>158301</v>
      </c>
      <c r="G28" s="70">
        <f t="shared" si="5"/>
        <v>81972</v>
      </c>
      <c r="H28" s="70">
        <f t="shared" si="6"/>
        <v>240273</v>
      </c>
    </row>
    <row r="29" spans="1:8" x14ac:dyDescent="0.25">
      <c r="A29" s="49" t="s">
        <v>183</v>
      </c>
      <c r="B29" s="33" t="str">
        <f t="shared" si="0"/>
        <v>AYUDANTE ELÉCTRICO</v>
      </c>
      <c r="C29" s="33" t="str">
        <f t="shared" si="1"/>
        <v>OBRA</v>
      </c>
      <c r="D29" s="71">
        <f t="shared" si="2"/>
        <v>2276177</v>
      </c>
      <c r="E29" s="69">
        <f t="shared" si="3"/>
        <v>1.71</v>
      </c>
      <c r="F29" s="70">
        <f t="shared" si="4"/>
        <v>74833</v>
      </c>
      <c r="G29" s="70">
        <f t="shared" si="5"/>
        <v>53351</v>
      </c>
      <c r="H29" s="70">
        <f t="shared" si="6"/>
        <v>128184</v>
      </c>
    </row>
    <row r="30" spans="1:8" x14ac:dyDescent="0.25">
      <c r="A30" s="49" t="s">
        <v>184</v>
      </c>
      <c r="B30" s="33" t="str">
        <f t="shared" si="0"/>
        <v>OFICIAL PLOMERO</v>
      </c>
      <c r="C30" s="33" t="str">
        <f t="shared" si="1"/>
        <v>OBRA</v>
      </c>
      <c r="D30" s="71">
        <f t="shared" si="2"/>
        <v>3501810</v>
      </c>
      <c r="E30" s="69">
        <f t="shared" si="3"/>
        <v>1.63</v>
      </c>
      <c r="F30" s="70">
        <f t="shared" si="4"/>
        <v>115128</v>
      </c>
      <c r="G30" s="70">
        <f t="shared" si="5"/>
        <v>73055</v>
      </c>
      <c r="H30" s="70">
        <f t="shared" si="6"/>
        <v>188183</v>
      </c>
    </row>
    <row r="31" spans="1:8" x14ac:dyDescent="0.25">
      <c r="A31" s="49" t="s">
        <v>185</v>
      </c>
      <c r="B31" s="33" t="str">
        <f t="shared" si="0"/>
        <v>AYUDANTE PLOMERO</v>
      </c>
      <c r="C31" s="33" t="str">
        <f t="shared" si="1"/>
        <v>OBRA</v>
      </c>
      <c r="D31" s="71">
        <f t="shared" si="2"/>
        <v>2101086</v>
      </c>
      <c r="E31" s="69">
        <f t="shared" si="3"/>
        <v>1.73</v>
      </c>
      <c r="F31" s="70">
        <f t="shared" si="4"/>
        <v>69077</v>
      </c>
      <c r="G31" s="70">
        <f t="shared" si="5"/>
        <v>50535</v>
      </c>
      <c r="H31" s="70">
        <f t="shared" si="6"/>
        <v>119612</v>
      </c>
    </row>
    <row r="32" spans="1:8" x14ac:dyDescent="0.25">
      <c r="A32" s="49" t="s">
        <v>186</v>
      </c>
      <c r="B32" s="33" t="str">
        <f t="shared" si="0"/>
        <v>OFICIAL CARPINTERO</v>
      </c>
      <c r="C32" s="33" t="str">
        <f t="shared" si="1"/>
        <v>OBRA</v>
      </c>
      <c r="D32" s="71">
        <f t="shared" si="2"/>
        <v>3501810</v>
      </c>
      <c r="E32" s="69">
        <f t="shared" si="3"/>
        <v>1.85</v>
      </c>
      <c r="F32" s="70">
        <f t="shared" si="4"/>
        <v>90000</v>
      </c>
      <c r="G32" s="70">
        <f t="shared" si="5"/>
        <v>76500</v>
      </c>
      <c r="H32" s="70">
        <f t="shared" si="6"/>
        <v>166500</v>
      </c>
    </row>
    <row r="33" spans="1:8" x14ac:dyDescent="0.25">
      <c r="A33" s="49" t="s">
        <v>187</v>
      </c>
      <c r="B33" s="33" t="str">
        <f t="shared" si="0"/>
        <v>AYUDANTE CARPINTERO</v>
      </c>
      <c r="C33" s="33" t="str">
        <f t="shared" si="1"/>
        <v>OBRA</v>
      </c>
      <c r="D33" s="71">
        <f t="shared" si="2"/>
        <v>1925996</v>
      </c>
      <c r="E33" s="69">
        <f t="shared" si="3"/>
        <v>1.75</v>
      </c>
      <c r="F33" s="70">
        <f t="shared" si="4"/>
        <v>63320</v>
      </c>
      <c r="G33" s="70">
        <f t="shared" si="5"/>
        <v>47721</v>
      </c>
      <c r="H33" s="70">
        <f t="shared" si="6"/>
        <v>111041</v>
      </c>
    </row>
    <row r="34" spans="1:8" x14ac:dyDescent="0.25">
      <c r="A34" s="49" t="s">
        <v>188</v>
      </c>
      <c r="B34" s="33" t="str">
        <f t="shared" si="0"/>
        <v>OFICIAL PINTOR</v>
      </c>
      <c r="C34" s="33" t="str">
        <f t="shared" si="1"/>
        <v>OBRA</v>
      </c>
      <c r="D34" s="71">
        <f t="shared" si="2"/>
        <v>3974554</v>
      </c>
      <c r="E34" s="69">
        <f t="shared" si="3"/>
        <v>1.85</v>
      </c>
      <c r="F34" s="70">
        <f t="shared" si="4"/>
        <v>90000</v>
      </c>
      <c r="G34" s="70">
        <f t="shared" si="5"/>
        <v>76500</v>
      </c>
      <c r="H34" s="70">
        <f t="shared" si="6"/>
        <v>166500</v>
      </c>
    </row>
    <row r="35" spans="1:8" x14ac:dyDescent="0.25">
      <c r="A35" s="49" t="s">
        <v>189</v>
      </c>
      <c r="B35" s="33" t="str">
        <f t="shared" si="0"/>
        <v>OFICIAL DE OBRA BLANCA</v>
      </c>
      <c r="C35" s="33" t="str">
        <f t="shared" si="1"/>
        <v>OBRA</v>
      </c>
      <c r="D35" s="71">
        <f t="shared" si="2"/>
        <v>3974554</v>
      </c>
      <c r="E35" s="69">
        <f t="shared" si="3"/>
        <v>1.85</v>
      </c>
      <c r="F35" s="70">
        <f t="shared" si="4"/>
        <v>90000</v>
      </c>
      <c r="G35" s="70">
        <f t="shared" si="5"/>
        <v>76500</v>
      </c>
      <c r="H35" s="70">
        <f t="shared" si="6"/>
        <v>166500</v>
      </c>
    </row>
    <row r="36" spans="1:8" x14ac:dyDescent="0.25">
      <c r="A36" s="49" t="s">
        <v>190</v>
      </c>
      <c r="B36" s="33" t="str">
        <f t="shared" si="0"/>
        <v>OFICIAL DE OBRA NEGRA</v>
      </c>
      <c r="C36" s="33" t="str">
        <f t="shared" si="1"/>
        <v>OBRA</v>
      </c>
      <c r="D36" s="71">
        <f t="shared" si="2"/>
        <v>3992063</v>
      </c>
      <c r="E36" s="69">
        <f t="shared" si="3"/>
        <v>1.85</v>
      </c>
      <c r="F36" s="70">
        <f t="shared" si="4"/>
        <v>90000</v>
      </c>
      <c r="G36" s="70">
        <f t="shared" si="5"/>
        <v>76500</v>
      </c>
      <c r="H36" s="70">
        <f t="shared" si="6"/>
        <v>166500</v>
      </c>
    </row>
    <row r="37" spans="1:8" x14ac:dyDescent="0.25">
      <c r="A37" s="49" t="s">
        <v>191</v>
      </c>
      <c r="B37" s="33" t="str">
        <f t="shared" si="0"/>
        <v>OFICIAL HIERRO</v>
      </c>
      <c r="C37" s="33" t="str">
        <f t="shared" si="1"/>
        <v>OBRA</v>
      </c>
      <c r="D37" s="71">
        <f t="shared" si="2"/>
        <v>3676901</v>
      </c>
      <c r="E37" s="69">
        <f t="shared" si="3"/>
        <v>1.85</v>
      </c>
      <c r="F37" s="70">
        <f t="shared" si="4"/>
        <v>90000</v>
      </c>
      <c r="G37" s="70">
        <f t="shared" si="5"/>
        <v>76500</v>
      </c>
      <c r="H37" s="70">
        <f t="shared" si="6"/>
        <v>166500</v>
      </c>
    </row>
    <row r="38" spans="1:8" x14ac:dyDescent="0.25">
      <c r="A38" s="49" t="s">
        <v>192</v>
      </c>
      <c r="B38" s="33" t="str">
        <f t="shared" si="0"/>
        <v>AYUDANTE ENTENDIDO</v>
      </c>
      <c r="C38" s="33" t="str">
        <f t="shared" si="1"/>
        <v>OBRA</v>
      </c>
      <c r="D38" s="71">
        <f t="shared" si="2"/>
        <v>2276177</v>
      </c>
      <c r="E38" s="69">
        <f t="shared" si="3"/>
        <v>1.71</v>
      </c>
      <c r="F38" s="70">
        <f t="shared" si="4"/>
        <v>74833</v>
      </c>
      <c r="G38" s="70">
        <f t="shared" si="5"/>
        <v>53351</v>
      </c>
      <c r="H38" s="70">
        <f t="shared" si="6"/>
        <v>128184</v>
      </c>
    </row>
    <row r="39" spans="1:8" x14ac:dyDescent="0.25">
      <c r="A39" s="49" t="s">
        <v>193</v>
      </c>
      <c r="B39" s="33" t="str">
        <f t="shared" si="0"/>
        <v>AYUDANTE RASO</v>
      </c>
      <c r="C39" s="33" t="str">
        <f t="shared" si="1"/>
        <v>OBRA</v>
      </c>
      <c r="D39" s="71">
        <f t="shared" si="2"/>
        <v>2101086</v>
      </c>
      <c r="E39" s="69">
        <f t="shared" si="3"/>
        <v>1.85</v>
      </c>
      <c r="F39" s="70">
        <f t="shared" si="4"/>
        <v>54000</v>
      </c>
      <c r="G39" s="70">
        <f t="shared" si="5"/>
        <v>45900</v>
      </c>
      <c r="H39" s="70">
        <f t="shared" si="6"/>
        <v>99900</v>
      </c>
    </row>
    <row r="40" spans="1:8" x14ac:dyDescent="0.25">
      <c r="A40" s="49" t="s">
        <v>194</v>
      </c>
      <c r="B40" s="33" t="str">
        <f t="shared" ref="B40:B61" si="7">IFERROR(IF(HLOOKUP($A40,FACTORPRESTACIONAL,2,0)="","",HLOOKUP($A40,FACTORPRESTACIONAL,2,0)),"")</f>
        <v>OPERADOR EQUIPO LIVIANO</v>
      </c>
      <c r="C40" s="33" t="str">
        <f t="shared" ref="C40:C61" si="8">IFERROR(IF(HLOOKUP($A40,FACTORPRESTACIONAL,2,0)="","",HLOOKUP($A40,FACTORPRESTACIONAL,3,0)),"")</f>
        <v>OBRA</v>
      </c>
      <c r="D40" s="71">
        <f t="shared" ref="D40:D61" si="9">IFERROR(IF(HLOOKUP($A40,FACTORPRESTACIONAL,2,0)="","",HLOOKUP($A40,FACTORPRESTACIONAL,5,0)),"")</f>
        <v>2276177</v>
      </c>
      <c r="E40" s="69">
        <f t="shared" ref="E40:E61" si="10">IFERROR(IF(HLOOKUP($A40,FACTORPRESTACIONAL,2,0)="","",HLOOKUP($A40,FACTORPRESTACIONAL,26,0)),"")</f>
        <v>1.71</v>
      </c>
      <c r="F40" s="70">
        <f t="shared" ref="F40:F61" si="11">IFERROR(IF(HLOOKUP($A40,FACTORPRESTACIONAL,2,0)="","",HLOOKUP($A40,FACTORPRESTACIONAL,24,0)),"")</f>
        <v>74833</v>
      </c>
      <c r="G40" s="70">
        <f t="shared" ref="G40:G61" si="12">IFERROR(IF(HLOOKUP($A40,FACTORPRESTACIONAL,2,0)="","",HLOOKUP($A40,FACTORPRESTACIONAL,25,0)),"")</f>
        <v>53351</v>
      </c>
      <c r="H40" s="70">
        <f t="shared" si="6"/>
        <v>128184</v>
      </c>
    </row>
    <row r="41" spans="1:8" x14ac:dyDescent="0.25">
      <c r="A41" s="49" t="s">
        <v>195</v>
      </c>
      <c r="B41" s="33" t="str">
        <f t="shared" si="7"/>
        <v>OPERADOR EQUIPO MEDIANO</v>
      </c>
      <c r="C41" s="33" t="str">
        <f t="shared" si="8"/>
        <v>OBRA</v>
      </c>
      <c r="D41" s="71">
        <f t="shared" si="9"/>
        <v>3939536</v>
      </c>
      <c r="E41" s="69">
        <f t="shared" si="10"/>
        <v>1.52</v>
      </c>
      <c r="F41" s="70">
        <f t="shared" si="11"/>
        <v>129519</v>
      </c>
      <c r="G41" s="70">
        <f t="shared" si="12"/>
        <v>67898</v>
      </c>
      <c r="H41" s="70">
        <f t="shared" si="6"/>
        <v>197417</v>
      </c>
    </row>
    <row r="42" spans="1:8" x14ac:dyDescent="0.25">
      <c r="A42" s="49" t="s">
        <v>196</v>
      </c>
      <c r="B42" s="33" t="str">
        <f t="shared" si="7"/>
        <v>OPERADOR EQUIPO PESADO</v>
      </c>
      <c r="C42" s="33" t="str">
        <f t="shared" si="8"/>
        <v>OBRA</v>
      </c>
      <c r="D42" s="71">
        <f t="shared" si="9"/>
        <v>5602896</v>
      </c>
      <c r="E42" s="69">
        <f t="shared" si="10"/>
        <v>1.51</v>
      </c>
      <c r="F42" s="70">
        <f t="shared" si="11"/>
        <v>184205</v>
      </c>
      <c r="G42" s="70">
        <f t="shared" si="12"/>
        <v>94639</v>
      </c>
      <c r="H42" s="70">
        <f t="shared" si="6"/>
        <v>278844</v>
      </c>
    </row>
    <row r="43" spans="1:8" x14ac:dyDescent="0.25">
      <c r="A43" s="49" t="s">
        <v>197</v>
      </c>
      <c r="B43" s="33" t="str">
        <f t="shared" si="7"/>
        <v>AUXILIAR HERRAMIENTA</v>
      </c>
      <c r="C43" s="33" t="str">
        <f t="shared" si="8"/>
        <v>OBRA</v>
      </c>
      <c r="D43" s="71">
        <f t="shared" si="9"/>
        <v>1750905</v>
      </c>
      <c r="E43" s="69">
        <f t="shared" si="10"/>
        <v>1.78</v>
      </c>
      <c r="F43" s="70">
        <f t="shared" si="11"/>
        <v>57564</v>
      </c>
      <c r="G43" s="70">
        <f t="shared" si="12"/>
        <v>44906</v>
      </c>
      <c r="H43" s="70">
        <f t="shared" si="6"/>
        <v>102470</v>
      </c>
    </row>
    <row r="44" spans="1:8" x14ac:dyDescent="0.25">
      <c r="A44" s="49" t="s">
        <v>198</v>
      </c>
      <c r="B44" s="33" t="str">
        <f t="shared" si="7"/>
        <v>PATIERO</v>
      </c>
      <c r="C44" s="33" t="str">
        <f t="shared" si="8"/>
        <v>OBRA</v>
      </c>
      <c r="D44" s="71">
        <f t="shared" si="9"/>
        <v>1750905</v>
      </c>
      <c r="E44" s="69">
        <f t="shared" si="10"/>
        <v>1.78</v>
      </c>
      <c r="F44" s="70">
        <f t="shared" si="11"/>
        <v>57564</v>
      </c>
      <c r="G44" s="70">
        <f t="shared" si="12"/>
        <v>44906</v>
      </c>
      <c r="H44" s="70">
        <f t="shared" si="6"/>
        <v>102470</v>
      </c>
    </row>
    <row r="45" spans="1:8" x14ac:dyDescent="0.25">
      <c r="A45" s="49" t="s">
        <v>199</v>
      </c>
      <c r="B45" s="33" t="str">
        <f t="shared" si="7"/>
        <v>AUXILIAR PARE-SIGA</v>
      </c>
      <c r="C45" s="33" t="str">
        <f t="shared" si="8"/>
        <v>OBRA</v>
      </c>
      <c r="D45" s="71">
        <f t="shared" si="9"/>
        <v>1750905</v>
      </c>
      <c r="E45" s="69">
        <f t="shared" si="10"/>
        <v>1.78</v>
      </c>
      <c r="F45" s="70">
        <f t="shared" si="11"/>
        <v>57564</v>
      </c>
      <c r="G45" s="70">
        <f t="shared" si="12"/>
        <v>44906</v>
      </c>
      <c r="H45" s="70">
        <f t="shared" si="6"/>
        <v>102470</v>
      </c>
    </row>
    <row r="46" spans="1:8" x14ac:dyDescent="0.25">
      <c r="A46" s="49" t="s">
        <v>200</v>
      </c>
      <c r="B46" s="33" t="str">
        <f t="shared" si="7"/>
        <v>INGENIERO SIG</v>
      </c>
      <c r="C46" s="33" t="str">
        <f t="shared" si="8"/>
        <v>ADMÓN</v>
      </c>
      <c r="D46" s="71">
        <f t="shared" si="9"/>
        <v>8754525</v>
      </c>
      <c r="E46" s="69">
        <f t="shared" si="10"/>
        <v>1.5</v>
      </c>
      <c r="F46" s="70">
        <f t="shared" si="11"/>
        <v>287820</v>
      </c>
      <c r="G46" s="70">
        <f t="shared" si="12"/>
        <v>143527</v>
      </c>
      <c r="H46" s="70">
        <f t="shared" si="6"/>
        <v>431347</v>
      </c>
    </row>
    <row r="47" spans="1:8" x14ac:dyDescent="0.25">
      <c r="A47" s="49" t="s">
        <v>201</v>
      </c>
      <c r="B47" s="33" t="str">
        <f t="shared" si="7"/>
        <v>TECNÓLOGO SIG</v>
      </c>
      <c r="C47" s="33" t="str">
        <f t="shared" si="8"/>
        <v>ADMÓN</v>
      </c>
      <c r="D47" s="71">
        <f t="shared" si="9"/>
        <v>4027082</v>
      </c>
      <c r="E47" s="69">
        <f t="shared" si="10"/>
        <v>1.51</v>
      </c>
      <c r="F47" s="70">
        <f t="shared" si="11"/>
        <v>132397</v>
      </c>
      <c r="G47" s="70">
        <f t="shared" si="12"/>
        <v>67525</v>
      </c>
      <c r="H47" s="70">
        <f t="shared" si="6"/>
        <v>199922</v>
      </c>
    </row>
    <row r="48" spans="1:8" x14ac:dyDescent="0.25">
      <c r="A48" s="49" t="s">
        <v>202</v>
      </c>
      <c r="B48" s="33" t="str">
        <f t="shared" si="7"/>
        <v>DIRECTOR DE CONSULTORÍA</v>
      </c>
      <c r="C48" s="33" t="str">
        <f t="shared" si="8"/>
        <v>ADMÓN</v>
      </c>
      <c r="D48" s="71">
        <f t="shared" si="9"/>
        <v>11731064</v>
      </c>
      <c r="E48" s="69">
        <f t="shared" si="10"/>
        <v>1.5</v>
      </c>
      <c r="F48" s="70">
        <f t="shared" si="11"/>
        <v>385679</v>
      </c>
      <c r="G48" s="70">
        <f t="shared" si="12"/>
        <v>191380</v>
      </c>
      <c r="H48" s="70">
        <f t="shared" si="6"/>
        <v>577059</v>
      </c>
    </row>
    <row r="49" spans="1:8" x14ac:dyDescent="0.25">
      <c r="A49" s="49" t="s">
        <v>203</v>
      </c>
      <c r="B49" s="33" t="str">
        <f t="shared" si="7"/>
        <v>DIBUJANTE</v>
      </c>
      <c r="C49" s="33" t="str">
        <f t="shared" si="8"/>
        <v>ADMÓN</v>
      </c>
      <c r="D49" s="71">
        <f t="shared" si="9"/>
        <v>4027082</v>
      </c>
      <c r="E49" s="69">
        <f t="shared" si="10"/>
        <v>1.51</v>
      </c>
      <c r="F49" s="70">
        <f t="shared" si="11"/>
        <v>132397</v>
      </c>
      <c r="G49" s="70">
        <f t="shared" si="12"/>
        <v>67525</v>
      </c>
      <c r="H49" s="70">
        <f t="shared" si="6"/>
        <v>199922</v>
      </c>
    </row>
    <row r="50" spans="1:8" x14ac:dyDescent="0.25">
      <c r="A50" s="49" t="s">
        <v>204</v>
      </c>
      <c r="B50" s="33" t="str">
        <f t="shared" si="7"/>
        <v>INGENIERO ESPECIALISTA GEOTECNIA</v>
      </c>
      <c r="C50" s="33" t="str">
        <f t="shared" si="8"/>
        <v>ADMÓN</v>
      </c>
      <c r="D50" s="71">
        <f t="shared" si="9"/>
        <v>10505430</v>
      </c>
      <c r="E50" s="69">
        <f t="shared" si="10"/>
        <v>1.5</v>
      </c>
      <c r="F50" s="70">
        <f t="shared" si="11"/>
        <v>345384</v>
      </c>
      <c r="G50" s="70">
        <f t="shared" si="12"/>
        <v>171676</v>
      </c>
      <c r="H50" s="70">
        <f t="shared" si="6"/>
        <v>517060</v>
      </c>
    </row>
    <row r="51" spans="1:8" x14ac:dyDescent="0.25">
      <c r="A51" s="49" t="s">
        <v>205</v>
      </c>
      <c r="B51" s="33" t="str">
        <f t="shared" si="7"/>
        <v>GEÓLOGO</v>
      </c>
      <c r="C51" s="33" t="str">
        <f t="shared" si="8"/>
        <v>ADMÓN</v>
      </c>
      <c r="D51" s="71">
        <f t="shared" si="9"/>
        <v>9629978</v>
      </c>
      <c r="E51" s="69">
        <f t="shared" si="10"/>
        <v>1.5</v>
      </c>
      <c r="F51" s="70">
        <f t="shared" si="11"/>
        <v>316602</v>
      </c>
      <c r="G51" s="70">
        <f t="shared" si="12"/>
        <v>157601</v>
      </c>
      <c r="H51" s="70">
        <f t="shared" si="6"/>
        <v>474203</v>
      </c>
    </row>
    <row r="52" spans="1:8" x14ac:dyDescent="0.25">
      <c r="A52" s="49" t="s">
        <v>206</v>
      </c>
      <c r="B52" s="33" t="str">
        <f t="shared" si="7"/>
        <v xml:space="preserve">ARQUITECTO ESPECIALISTA URBANISMO </v>
      </c>
      <c r="C52" s="33" t="str">
        <f t="shared" si="8"/>
        <v>ADMÓN</v>
      </c>
      <c r="D52" s="71">
        <f t="shared" si="9"/>
        <v>10505430</v>
      </c>
      <c r="E52" s="69">
        <f t="shared" si="10"/>
        <v>1.5</v>
      </c>
      <c r="F52" s="70">
        <f t="shared" si="11"/>
        <v>345384</v>
      </c>
      <c r="G52" s="70">
        <f t="shared" si="12"/>
        <v>171676</v>
      </c>
      <c r="H52" s="70">
        <f t="shared" si="6"/>
        <v>517060</v>
      </c>
    </row>
    <row r="53" spans="1:8" x14ac:dyDescent="0.25">
      <c r="A53" s="49" t="s">
        <v>207</v>
      </c>
      <c r="B53" s="33" t="str">
        <f t="shared" si="7"/>
        <v>ARQUITECTO ESPECIALISTA PAISAJISMO</v>
      </c>
      <c r="C53" s="33" t="str">
        <f t="shared" si="8"/>
        <v>ADMÓN</v>
      </c>
      <c r="D53" s="71">
        <f t="shared" si="9"/>
        <v>10505430</v>
      </c>
      <c r="E53" s="69">
        <f t="shared" si="10"/>
        <v>1.5</v>
      </c>
      <c r="F53" s="70">
        <f t="shared" si="11"/>
        <v>345384</v>
      </c>
      <c r="G53" s="70">
        <f t="shared" si="12"/>
        <v>171676</v>
      </c>
      <c r="H53" s="70">
        <f t="shared" si="6"/>
        <v>517060</v>
      </c>
    </row>
    <row r="54" spans="1:8" x14ac:dyDescent="0.25">
      <c r="A54" s="49" t="s">
        <v>208</v>
      </c>
      <c r="B54" s="33" t="str">
        <f t="shared" si="7"/>
        <v>INGENIERO CONSULTOR PLANOS RECORD</v>
      </c>
      <c r="C54" s="33" t="str">
        <f t="shared" si="8"/>
        <v>ADMÓN</v>
      </c>
      <c r="D54" s="71">
        <f t="shared" si="9"/>
        <v>9629978</v>
      </c>
      <c r="E54" s="69">
        <f t="shared" si="10"/>
        <v>1.5</v>
      </c>
      <c r="F54" s="70">
        <f t="shared" si="11"/>
        <v>316602</v>
      </c>
      <c r="G54" s="70">
        <f t="shared" si="12"/>
        <v>157601</v>
      </c>
      <c r="H54" s="70">
        <f t="shared" si="6"/>
        <v>474203</v>
      </c>
    </row>
    <row r="55" spans="1:8" x14ac:dyDescent="0.25">
      <c r="A55" s="49" t="s">
        <v>209</v>
      </c>
      <c r="B55" s="33" t="str">
        <f t="shared" si="7"/>
        <v>INGENIERO ESPECIALISTA ESTRUCTURAL</v>
      </c>
      <c r="C55" s="33" t="str">
        <f t="shared" si="8"/>
        <v>ADMÓN</v>
      </c>
      <c r="D55" s="71">
        <f t="shared" si="9"/>
        <v>10505430</v>
      </c>
      <c r="E55" s="69">
        <f t="shared" si="10"/>
        <v>1.5</v>
      </c>
      <c r="F55" s="70">
        <f t="shared" si="11"/>
        <v>345384</v>
      </c>
      <c r="G55" s="70">
        <f t="shared" si="12"/>
        <v>171676</v>
      </c>
      <c r="H55" s="70">
        <f t="shared" si="6"/>
        <v>517060</v>
      </c>
    </row>
    <row r="56" spans="1:8" x14ac:dyDescent="0.25">
      <c r="A56" s="49" t="s">
        <v>210</v>
      </c>
      <c r="B56" s="33" t="str">
        <f t="shared" si="7"/>
        <v>INGENIERO REVISOR ESTRUCTURAL</v>
      </c>
      <c r="C56" s="33" t="str">
        <f t="shared" si="8"/>
        <v>ADMÓN</v>
      </c>
      <c r="D56" s="71">
        <f t="shared" si="9"/>
        <v>10505430</v>
      </c>
      <c r="E56" s="69">
        <f t="shared" si="10"/>
        <v>1.5</v>
      </c>
      <c r="F56" s="70">
        <f t="shared" si="11"/>
        <v>345384</v>
      </c>
      <c r="G56" s="70">
        <f t="shared" si="12"/>
        <v>171676</v>
      </c>
      <c r="H56" s="70">
        <f t="shared" si="6"/>
        <v>517060</v>
      </c>
    </row>
    <row r="57" spans="1:8" x14ac:dyDescent="0.25">
      <c r="A57" s="49" t="s">
        <v>211</v>
      </c>
      <c r="B57" s="33" t="str">
        <f t="shared" si="7"/>
        <v>INGENIERO ESPECIALISTA HIDRÁULICO</v>
      </c>
      <c r="C57" s="33" t="str">
        <f t="shared" si="8"/>
        <v>ADMÓN</v>
      </c>
      <c r="D57" s="71">
        <f t="shared" si="9"/>
        <v>10505430</v>
      </c>
      <c r="E57" s="69">
        <f t="shared" si="10"/>
        <v>1.5</v>
      </c>
      <c r="F57" s="70">
        <f t="shared" si="11"/>
        <v>345384</v>
      </c>
      <c r="G57" s="70">
        <f t="shared" si="12"/>
        <v>171676</v>
      </c>
      <c r="H57" s="70">
        <f t="shared" si="6"/>
        <v>517060</v>
      </c>
    </row>
    <row r="58" spans="1:8" x14ac:dyDescent="0.25">
      <c r="A58" s="49" t="s">
        <v>212</v>
      </c>
      <c r="B58" s="33" t="str">
        <f t="shared" si="7"/>
        <v>INGENIERO ELECTRICISTA</v>
      </c>
      <c r="C58" s="33" t="str">
        <f t="shared" si="8"/>
        <v>ADMÓN</v>
      </c>
      <c r="D58" s="71">
        <f t="shared" si="9"/>
        <v>9629978</v>
      </c>
      <c r="E58" s="69">
        <f t="shared" si="10"/>
        <v>1.5</v>
      </c>
      <c r="F58" s="70">
        <f t="shared" si="11"/>
        <v>316602</v>
      </c>
      <c r="G58" s="70">
        <f t="shared" si="12"/>
        <v>157601</v>
      </c>
      <c r="H58" s="70">
        <f t="shared" si="6"/>
        <v>474203</v>
      </c>
    </row>
    <row r="59" spans="1:8" x14ac:dyDescent="0.25">
      <c r="A59" s="49" t="s">
        <v>213</v>
      </c>
      <c r="B59" s="33" t="str">
        <f t="shared" si="7"/>
        <v>INGENIERO AMBIENTAL</v>
      </c>
      <c r="C59" s="33" t="str">
        <f t="shared" si="8"/>
        <v>ADMÓN</v>
      </c>
      <c r="D59" s="71">
        <f t="shared" si="9"/>
        <v>9629978</v>
      </c>
      <c r="E59" s="69">
        <f t="shared" si="10"/>
        <v>1.5</v>
      </c>
      <c r="F59" s="70">
        <f t="shared" si="11"/>
        <v>316602</v>
      </c>
      <c r="G59" s="70">
        <f t="shared" si="12"/>
        <v>157601</v>
      </c>
      <c r="H59" s="70">
        <f t="shared" si="6"/>
        <v>474203</v>
      </c>
    </row>
    <row r="60" spans="1:8" x14ac:dyDescent="0.25">
      <c r="A60" s="49" t="s">
        <v>214</v>
      </c>
      <c r="B60" s="33" t="str">
        <f t="shared" si="7"/>
        <v>INGENIERO FORESTAL</v>
      </c>
      <c r="C60" s="33" t="str">
        <f t="shared" si="8"/>
        <v>ADMÓN</v>
      </c>
      <c r="D60" s="71">
        <f t="shared" si="9"/>
        <v>9629978</v>
      </c>
      <c r="E60" s="69">
        <f t="shared" si="10"/>
        <v>1.5</v>
      </c>
      <c r="F60" s="70">
        <f t="shared" si="11"/>
        <v>316602</v>
      </c>
      <c r="G60" s="70">
        <f t="shared" si="12"/>
        <v>157601</v>
      </c>
      <c r="H60" s="70">
        <f t="shared" si="6"/>
        <v>474203</v>
      </c>
    </row>
    <row r="61" spans="1:8" x14ac:dyDescent="0.25">
      <c r="A61" s="49" t="s">
        <v>215</v>
      </c>
      <c r="B61" s="33" t="str">
        <f t="shared" si="7"/>
        <v xml:space="preserve">TECNOLOGO SOCIO-AMBIENTAL </v>
      </c>
      <c r="C61" s="33" t="str">
        <f t="shared" si="8"/>
        <v>ADMÓN</v>
      </c>
      <c r="D61" s="71">
        <f t="shared" si="9"/>
        <v>3501810</v>
      </c>
      <c r="E61" s="69">
        <f t="shared" si="10"/>
        <v>1.63</v>
      </c>
      <c r="F61" s="70">
        <f t="shared" si="11"/>
        <v>115128</v>
      </c>
      <c r="G61" s="70">
        <f t="shared" si="12"/>
        <v>72310</v>
      </c>
      <c r="H61" s="70">
        <f t="shared" si="6"/>
        <v>187438</v>
      </c>
    </row>
  </sheetData>
  <mergeCells count="5">
    <mergeCell ref="A1:F1"/>
    <mergeCell ref="G1:H5"/>
    <mergeCell ref="A2:F2"/>
    <mergeCell ref="A3:F3"/>
    <mergeCell ref="A5:F5"/>
  </mergeCells>
  <pageMargins left="0.7" right="0.7" top="0.75" bottom="0.75" header="0.3" footer="0.3"/>
  <pageSetup scale="68"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E70"/>
  <sheetViews>
    <sheetView view="pageBreakPreview" zoomScale="70" zoomScaleNormal="100" zoomScaleSheetLayoutView="70" workbookViewId="0">
      <pane xSplit="1" ySplit="10" topLeftCell="B11" activePane="bottomRight" state="frozen"/>
      <selection pane="topRight" activeCell="B1" sqref="B1"/>
      <selection pane="bottomLeft" activeCell="A11" sqref="A11"/>
      <selection pane="bottomRight" activeCell="J11" sqref="J11"/>
    </sheetView>
  </sheetViews>
  <sheetFormatPr baseColWidth="10" defaultRowHeight="15" x14ac:dyDescent="0.25"/>
  <cols>
    <col min="1" max="1" width="23.42578125" bestFit="1" customWidth="1"/>
    <col min="2" max="2" width="23.42578125" style="67" bestFit="1" customWidth="1"/>
    <col min="3" max="3" width="23.42578125" bestFit="1" customWidth="1"/>
    <col min="4" max="8" width="23" bestFit="1" customWidth="1"/>
    <col min="9" max="9" width="22" bestFit="1" customWidth="1"/>
    <col min="10" max="10" width="23.42578125" bestFit="1" customWidth="1"/>
    <col min="11" max="11" width="22.5703125" bestFit="1" customWidth="1"/>
    <col min="12" max="12" width="22" bestFit="1" customWidth="1"/>
    <col min="13" max="13" width="22.5703125" bestFit="1" customWidth="1"/>
    <col min="14" max="16" width="23" bestFit="1" customWidth="1"/>
    <col min="17" max="17" width="24" bestFit="1" customWidth="1"/>
    <col min="18" max="21" width="23" bestFit="1" customWidth="1"/>
    <col min="22" max="22" width="22" bestFit="1" customWidth="1"/>
    <col min="23" max="23" width="23" bestFit="1" customWidth="1"/>
    <col min="24" max="24" width="22" bestFit="1" customWidth="1"/>
    <col min="25" max="25" width="23" bestFit="1" customWidth="1"/>
    <col min="26" max="27" width="22" bestFit="1" customWidth="1"/>
    <col min="28" max="29" width="23" bestFit="1" customWidth="1"/>
    <col min="30" max="30" width="22" bestFit="1" customWidth="1"/>
    <col min="31" max="34" width="23" bestFit="1" customWidth="1"/>
    <col min="35" max="35" width="22.5703125" bestFit="1" customWidth="1"/>
    <col min="36" max="39" width="23" bestFit="1" customWidth="1"/>
    <col min="40" max="40" width="24" bestFit="1" customWidth="1"/>
    <col min="41" max="41" width="18.7109375" bestFit="1" customWidth="1"/>
    <col min="42" max="42" width="17.85546875" bestFit="1" customWidth="1"/>
    <col min="43" max="43" width="16.5703125" bestFit="1" customWidth="1"/>
    <col min="44" max="53" width="15.28515625" bestFit="1" customWidth="1"/>
    <col min="54" max="54" width="19.5703125" customWidth="1"/>
    <col min="55" max="55" width="19.28515625" customWidth="1"/>
    <col min="56" max="56" width="15.5703125" customWidth="1"/>
    <col min="57" max="57" width="16.28515625" customWidth="1"/>
  </cols>
  <sheetData>
    <row r="1" spans="1:57" ht="26.25" x14ac:dyDescent="0.25">
      <c r="A1" s="515"/>
      <c r="B1" s="396" t="s">
        <v>0</v>
      </c>
      <c r="C1" s="396"/>
      <c r="D1" s="396"/>
      <c r="E1" s="396"/>
      <c r="F1" s="396"/>
      <c r="G1" s="396"/>
      <c r="H1" s="396"/>
      <c r="I1" s="396"/>
      <c r="J1" s="396"/>
      <c r="K1" s="396"/>
      <c r="L1" s="396"/>
      <c r="M1" s="396"/>
      <c r="N1" s="396"/>
      <c r="O1" s="396"/>
      <c r="P1" s="396" t="s">
        <v>0</v>
      </c>
      <c r="Q1" s="396"/>
      <c r="R1" s="396"/>
      <c r="S1" s="396"/>
      <c r="T1" s="396"/>
      <c r="U1" s="396"/>
      <c r="V1" s="396"/>
      <c r="W1" s="396"/>
      <c r="X1" s="396"/>
      <c r="Y1" s="396"/>
      <c r="Z1" s="396"/>
      <c r="AA1" s="396"/>
      <c r="AB1" s="396"/>
      <c r="AC1" s="396"/>
      <c r="AD1" s="396" t="s">
        <v>0</v>
      </c>
      <c r="AE1" s="396"/>
      <c r="AF1" s="396"/>
      <c r="AG1" s="396"/>
      <c r="AH1" s="396"/>
      <c r="AI1" s="396"/>
      <c r="AJ1" s="396"/>
      <c r="AK1" s="396"/>
      <c r="AL1" s="396"/>
      <c r="AM1" s="396"/>
      <c r="AN1" s="396"/>
      <c r="AO1" s="396"/>
      <c r="AP1" s="396"/>
      <c r="AQ1" s="396"/>
      <c r="AR1" s="396" t="s">
        <v>0</v>
      </c>
      <c r="AS1" s="396"/>
      <c r="AT1" s="396"/>
      <c r="AU1" s="396"/>
      <c r="AV1" s="396"/>
      <c r="AW1" s="396"/>
      <c r="AX1" s="396"/>
      <c r="AY1" s="396"/>
      <c r="AZ1" s="396"/>
      <c r="BA1" s="396"/>
      <c r="BB1" s="396"/>
      <c r="BC1" s="396"/>
      <c r="BD1" s="396"/>
      <c r="BE1" s="396"/>
    </row>
    <row r="2" spans="1:57" ht="21" x14ac:dyDescent="0.25">
      <c r="A2" s="515"/>
      <c r="B2" s="390" t="str">
        <f>'DATOS INICIALES'!$B$2</f>
        <v>MUNICIPIO DE DABEIBA</v>
      </c>
      <c r="C2" s="390"/>
      <c r="D2" s="390"/>
      <c r="E2" s="390"/>
      <c r="F2" s="390"/>
      <c r="G2" s="390"/>
      <c r="H2" s="390"/>
      <c r="I2" s="390"/>
      <c r="J2" s="390"/>
      <c r="K2" s="390"/>
      <c r="L2" s="390"/>
      <c r="M2" s="390"/>
      <c r="N2" s="390"/>
      <c r="O2" s="390"/>
      <c r="P2" s="390" t="str">
        <f>'DATOS INICIALES'!$B$2</f>
        <v>MUNICIPIO DE DABEIBA</v>
      </c>
      <c r="Q2" s="390"/>
      <c r="R2" s="390"/>
      <c r="S2" s="390"/>
      <c r="T2" s="390"/>
      <c r="U2" s="390"/>
      <c r="V2" s="390"/>
      <c r="W2" s="390"/>
      <c r="X2" s="390"/>
      <c r="Y2" s="390"/>
      <c r="Z2" s="390"/>
      <c r="AA2" s="390"/>
      <c r="AB2" s="390"/>
      <c r="AC2" s="390"/>
      <c r="AD2" s="390" t="str">
        <f>'DATOS INICIALES'!$B$2</f>
        <v>MUNICIPIO DE DABEIBA</v>
      </c>
      <c r="AE2" s="390"/>
      <c r="AF2" s="390"/>
      <c r="AG2" s="390"/>
      <c r="AH2" s="390"/>
      <c r="AI2" s="390"/>
      <c r="AJ2" s="390"/>
      <c r="AK2" s="390"/>
      <c r="AL2" s="390"/>
      <c r="AM2" s="390"/>
      <c r="AN2" s="390"/>
      <c r="AO2" s="390"/>
      <c r="AP2" s="390"/>
      <c r="AQ2" s="390"/>
      <c r="AR2" s="390" t="str">
        <f>'DATOS INICIALES'!$B$2</f>
        <v>MUNICIPIO DE DABEIBA</v>
      </c>
      <c r="AS2" s="390"/>
      <c r="AT2" s="390"/>
      <c r="AU2" s="390"/>
      <c r="AV2" s="390"/>
      <c r="AW2" s="390"/>
      <c r="AX2" s="390"/>
      <c r="AY2" s="390"/>
      <c r="AZ2" s="390"/>
      <c r="BA2" s="390"/>
      <c r="BB2" s="390"/>
      <c r="BC2" s="390"/>
      <c r="BD2" s="390"/>
      <c r="BE2" s="390"/>
    </row>
    <row r="3" spans="1:57" ht="18" customHeight="1" x14ac:dyDescent="0.25">
      <c r="A3" s="515"/>
      <c r="B3" s="502" t="str">
        <f>'DATOS INICIALES'!$B$3</f>
        <v xml:space="preserve">CONSTRUCCIÓN DE CASA DE SALUD EN EL CORREGIMIENTO LA BALSITA DEL MUNICIPIO DE DABEIBA </v>
      </c>
      <c r="C3" s="502"/>
      <c r="D3" s="502"/>
      <c r="E3" s="502"/>
      <c r="F3" s="502"/>
      <c r="G3" s="502"/>
      <c r="H3" s="502"/>
      <c r="I3" s="502"/>
      <c r="J3" s="502"/>
      <c r="K3" s="502"/>
      <c r="L3" s="502"/>
      <c r="M3" s="502"/>
      <c r="N3" s="502"/>
      <c r="O3" s="502"/>
      <c r="P3" s="502" t="str">
        <f>'DATOS INICIALES'!$B$3</f>
        <v xml:space="preserve">CONSTRUCCIÓN DE CASA DE SALUD EN EL CORREGIMIENTO LA BALSITA DEL MUNICIPIO DE DABEIBA </v>
      </c>
      <c r="Q3" s="502"/>
      <c r="R3" s="502"/>
      <c r="S3" s="502"/>
      <c r="T3" s="502"/>
      <c r="U3" s="502"/>
      <c r="V3" s="502"/>
      <c r="W3" s="502"/>
      <c r="X3" s="502"/>
      <c r="Y3" s="502"/>
      <c r="Z3" s="502"/>
      <c r="AA3" s="502"/>
      <c r="AB3" s="502"/>
      <c r="AC3" s="502"/>
      <c r="AD3" s="502" t="str">
        <f>'DATOS INICIALES'!$B$3</f>
        <v xml:space="preserve">CONSTRUCCIÓN DE CASA DE SALUD EN EL CORREGIMIENTO LA BALSITA DEL MUNICIPIO DE DABEIBA </v>
      </c>
      <c r="AE3" s="502"/>
      <c r="AF3" s="502"/>
      <c r="AG3" s="502"/>
      <c r="AH3" s="502"/>
      <c r="AI3" s="502"/>
      <c r="AJ3" s="502"/>
      <c r="AK3" s="502"/>
      <c r="AL3" s="502"/>
      <c r="AM3" s="502"/>
      <c r="AN3" s="502"/>
      <c r="AO3" s="502"/>
      <c r="AP3" s="502"/>
      <c r="AQ3" s="502"/>
      <c r="AR3" s="502" t="str">
        <f>'DATOS INICIALES'!$B$3</f>
        <v xml:space="preserve">CONSTRUCCIÓN DE CASA DE SALUD EN EL CORREGIMIENTO LA BALSITA DEL MUNICIPIO DE DABEIBA </v>
      </c>
      <c r="AS3" s="502"/>
      <c r="AT3" s="502"/>
      <c r="AU3" s="502"/>
      <c r="AV3" s="502"/>
      <c r="AW3" s="502"/>
      <c r="AX3" s="502"/>
      <c r="AY3" s="502"/>
      <c r="AZ3" s="502"/>
      <c r="BA3" s="502"/>
      <c r="BB3" s="502"/>
      <c r="BC3" s="502"/>
      <c r="BD3" s="502"/>
      <c r="BE3" s="502"/>
    </row>
    <row r="4" spans="1:57" x14ac:dyDescent="0.25">
      <c r="A4" s="515"/>
      <c r="B4" s="62"/>
      <c r="C4" s="50"/>
      <c r="D4" s="50"/>
      <c r="E4" s="50"/>
      <c r="F4" s="50"/>
      <c r="G4" s="50"/>
      <c r="H4" s="50"/>
      <c r="I4" s="50"/>
      <c r="J4" s="50"/>
      <c r="K4" s="50"/>
      <c r="L4" s="50"/>
      <c r="M4" s="50"/>
      <c r="N4" s="50"/>
      <c r="O4" s="50"/>
      <c r="P4" s="50"/>
      <c r="Q4" s="50"/>
      <c r="R4" s="50"/>
      <c r="S4" s="50"/>
      <c r="T4" s="50"/>
      <c r="U4" s="50"/>
      <c r="V4" s="50"/>
      <c r="W4" s="50"/>
      <c r="X4" s="50"/>
      <c r="Y4" s="50"/>
      <c r="Z4" s="50"/>
      <c r="AA4" s="50"/>
      <c r="AB4" s="50"/>
      <c r="AC4" s="50"/>
      <c r="AD4" s="50"/>
      <c r="AE4" s="50"/>
      <c r="AF4" s="50"/>
      <c r="AG4" s="50"/>
      <c r="AH4" s="50"/>
      <c r="AI4" s="50"/>
      <c r="AJ4" s="50"/>
      <c r="AK4" s="50"/>
      <c r="AL4" s="50"/>
      <c r="AM4" s="50"/>
      <c r="AN4" s="50"/>
      <c r="AO4" s="50"/>
      <c r="AP4" s="50"/>
      <c r="AQ4" s="50"/>
      <c r="AR4" s="50"/>
      <c r="AS4" s="50"/>
      <c r="AT4" s="50"/>
      <c r="AU4" s="50"/>
      <c r="AV4" s="50"/>
      <c r="AW4" s="50"/>
      <c r="AX4" s="50"/>
      <c r="AY4" s="50"/>
      <c r="AZ4" s="50"/>
      <c r="BA4" s="50"/>
      <c r="BB4" s="50"/>
      <c r="BC4" s="50"/>
      <c r="BD4" s="50"/>
      <c r="BE4" s="50"/>
    </row>
    <row r="5" spans="1:57" ht="15.75" x14ac:dyDescent="0.25">
      <c r="A5" s="515"/>
      <c r="B5" s="503" t="s">
        <v>142</v>
      </c>
      <c r="C5" s="503"/>
      <c r="D5" s="503"/>
      <c r="E5" s="503"/>
      <c r="F5" s="503"/>
      <c r="G5" s="503"/>
      <c r="H5" s="503"/>
      <c r="I5" s="503"/>
      <c r="J5" s="503"/>
      <c r="K5" s="503"/>
      <c r="L5" s="503"/>
      <c r="M5" s="503"/>
      <c r="N5" s="503"/>
      <c r="O5" s="503"/>
      <c r="P5" s="503" t="s">
        <v>142</v>
      </c>
      <c r="Q5" s="503"/>
      <c r="R5" s="503"/>
      <c r="S5" s="503"/>
      <c r="T5" s="503"/>
      <c r="U5" s="503"/>
      <c r="V5" s="503"/>
      <c r="W5" s="503"/>
      <c r="X5" s="503"/>
      <c r="Y5" s="503"/>
      <c r="Z5" s="503"/>
      <c r="AA5" s="503"/>
      <c r="AB5" s="503"/>
      <c r="AC5" s="503"/>
      <c r="AD5" s="503" t="s">
        <v>142</v>
      </c>
      <c r="AE5" s="503"/>
      <c r="AF5" s="503"/>
      <c r="AG5" s="503"/>
      <c r="AH5" s="503"/>
      <c r="AI5" s="503"/>
      <c r="AJ5" s="503"/>
      <c r="AK5" s="503"/>
      <c r="AL5" s="503"/>
      <c r="AM5" s="503"/>
      <c r="AN5" s="503"/>
      <c r="AO5" s="503"/>
      <c r="AP5" s="503"/>
      <c r="AQ5" s="503"/>
      <c r="AR5" s="503" t="s">
        <v>142</v>
      </c>
      <c r="AS5" s="503"/>
      <c r="AT5" s="503"/>
      <c r="AU5" s="503"/>
      <c r="AV5" s="503"/>
      <c r="AW5" s="503"/>
      <c r="AX5" s="503"/>
      <c r="AY5" s="503"/>
      <c r="AZ5" s="503"/>
      <c r="BA5" s="503"/>
      <c r="BB5" s="503"/>
      <c r="BC5" s="503"/>
      <c r="BD5" s="503"/>
      <c r="BE5" s="503"/>
    </row>
    <row r="7" spans="1:57" x14ac:dyDescent="0.25">
      <c r="A7" s="51" t="s">
        <v>54</v>
      </c>
      <c r="B7" s="63" t="s">
        <v>162</v>
      </c>
      <c r="C7" s="59" t="s">
        <v>163</v>
      </c>
      <c r="D7" s="59" t="s">
        <v>164</v>
      </c>
      <c r="E7" s="59" t="s">
        <v>165</v>
      </c>
      <c r="F7" s="59" t="s">
        <v>166</v>
      </c>
      <c r="G7" s="59" t="s">
        <v>167</v>
      </c>
      <c r="H7" s="59" t="s">
        <v>168</v>
      </c>
      <c r="I7" s="59" t="s">
        <v>169</v>
      </c>
      <c r="J7" s="59" t="s">
        <v>170</v>
      </c>
      <c r="K7" s="59" t="s">
        <v>171</v>
      </c>
      <c r="L7" s="59" t="s">
        <v>172</v>
      </c>
      <c r="M7" s="59" t="s">
        <v>173</v>
      </c>
      <c r="N7" s="59" t="s">
        <v>174</v>
      </c>
      <c r="O7" s="59" t="s">
        <v>175</v>
      </c>
      <c r="P7" s="59" t="s">
        <v>176</v>
      </c>
      <c r="Q7" s="59" t="s">
        <v>177</v>
      </c>
      <c r="R7" s="59" t="s">
        <v>178</v>
      </c>
      <c r="S7" s="59" t="s">
        <v>179</v>
      </c>
      <c r="T7" s="59" t="s">
        <v>180</v>
      </c>
      <c r="U7" s="59" t="s">
        <v>181</v>
      </c>
      <c r="V7" s="59" t="s">
        <v>182</v>
      </c>
      <c r="W7" s="59" t="s">
        <v>183</v>
      </c>
      <c r="X7" s="59" t="s">
        <v>184</v>
      </c>
      <c r="Y7" s="59" t="s">
        <v>185</v>
      </c>
      <c r="Z7" s="59" t="s">
        <v>186</v>
      </c>
      <c r="AA7" s="59" t="s">
        <v>187</v>
      </c>
      <c r="AB7" s="59" t="s">
        <v>188</v>
      </c>
      <c r="AC7" s="59" t="s">
        <v>189</v>
      </c>
      <c r="AD7" s="59" t="s">
        <v>190</v>
      </c>
      <c r="AE7" s="59" t="s">
        <v>191</v>
      </c>
      <c r="AF7" s="59" t="s">
        <v>192</v>
      </c>
      <c r="AG7" s="59" t="s">
        <v>193</v>
      </c>
      <c r="AH7" s="59" t="s">
        <v>194</v>
      </c>
      <c r="AI7" s="59" t="s">
        <v>195</v>
      </c>
      <c r="AJ7" s="59" t="s">
        <v>196</v>
      </c>
      <c r="AK7" s="59" t="s">
        <v>197</v>
      </c>
      <c r="AL7" s="59" t="s">
        <v>198</v>
      </c>
      <c r="AM7" s="59" t="s">
        <v>199</v>
      </c>
      <c r="AN7" s="59" t="s">
        <v>200</v>
      </c>
      <c r="AO7" s="59" t="s">
        <v>201</v>
      </c>
      <c r="AP7" s="59" t="s">
        <v>202</v>
      </c>
      <c r="AQ7" s="59" t="s">
        <v>203</v>
      </c>
      <c r="AR7" s="59" t="s">
        <v>204</v>
      </c>
      <c r="AS7" s="59" t="s">
        <v>205</v>
      </c>
      <c r="AT7" s="59" t="s">
        <v>206</v>
      </c>
      <c r="AU7" s="59" t="s">
        <v>207</v>
      </c>
      <c r="AV7" s="59" t="s">
        <v>208</v>
      </c>
      <c r="AW7" s="59" t="s">
        <v>209</v>
      </c>
      <c r="AX7" s="59" t="s">
        <v>210</v>
      </c>
      <c r="AY7" s="59" t="s">
        <v>211</v>
      </c>
      <c r="AZ7" s="59" t="s">
        <v>212</v>
      </c>
      <c r="BA7" s="59" t="s">
        <v>213</v>
      </c>
      <c r="BB7" s="59" t="s">
        <v>214</v>
      </c>
      <c r="BC7" s="59" t="s">
        <v>215</v>
      </c>
      <c r="BD7" s="59" t="s">
        <v>216</v>
      </c>
      <c r="BE7" s="59" t="s">
        <v>217</v>
      </c>
    </row>
    <row r="8" spans="1:57" ht="36" x14ac:dyDescent="0.25">
      <c r="A8" s="52" t="s">
        <v>136</v>
      </c>
      <c r="B8" s="64" t="s">
        <v>786</v>
      </c>
      <c r="C8" s="25" t="s">
        <v>218</v>
      </c>
      <c r="D8" s="25" t="s">
        <v>219</v>
      </c>
      <c r="E8" s="25" t="s">
        <v>220</v>
      </c>
      <c r="F8" s="25" t="s">
        <v>221</v>
      </c>
      <c r="G8" s="25" t="s">
        <v>222</v>
      </c>
      <c r="H8" s="25" t="s">
        <v>223</v>
      </c>
      <c r="I8" s="25" t="s">
        <v>224</v>
      </c>
      <c r="J8" s="25" t="s">
        <v>787</v>
      </c>
      <c r="K8" s="25" t="s">
        <v>225</v>
      </c>
      <c r="L8" s="25" t="s">
        <v>226</v>
      </c>
      <c r="M8" s="25" t="s">
        <v>227</v>
      </c>
      <c r="N8" s="25" t="s">
        <v>228</v>
      </c>
      <c r="O8" s="25" t="s">
        <v>229</v>
      </c>
      <c r="P8" s="25" t="s">
        <v>230</v>
      </c>
      <c r="Q8" s="25" t="s">
        <v>59</v>
      </c>
      <c r="R8" s="25" t="s">
        <v>60</v>
      </c>
      <c r="S8" s="25" t="s">
        <v>61</v>
      </c>
      <c r="T8" s="25" t="s">
        <v>231</v>
      </c>
      <c r="U8" s="25" t="s">
        <v>232</v>
      </c>
      <c r="V8" s="25" t="s">
        <v>233</v>
      </c>
      <c r="W8" s="25" t="s">
        <v>234</v>
      </c>
      <c r="X8" s="25" t="s">
        <v>235</v>
      </c>
      <c r="Y8" s="25" t="s">
        <v>236</v>
      </c>
      <c r="Z8" s="25" t="s">
        <v>237</v>
      </c>
      <c r="AA8" s="25" t="s">
        <v>238</v>
      </c>
      <c r="AB8" s="25" t="s">
        <v>239</v>
      </c>
      <c r="AC8" s="25" t="s">
        <v>240</v>
      </c>
      <c r="AD8" s="25" t="s">
        <v>241</v>
      </c>
      <c r="AE8" s="25" t="s">
        <v>242</v>
      </c>
      <c r="AF8" s="25" t="s">
        <v>243</v>
      </c>
      <c r="AG8" s="25" t="s">
        <v>244</v>
      </c>
      <c r="AH8" s="25" t="s">
        <v>245</v>
      </c>
      <c r="AI8" s="25" t="s">
        <v>246</v>
      </c>
      <c r="AJ8" s="25" t="s">
        <v>247</v>
      </c>
      <c r="AK8" s="25" t="s">
        <v>248</v>
      </c>
      <c r="AL8" s="25" t="s">
        <v>249</v>
      </c>
      <c r="AM8" s="25" t="s">
        <v>250</v>
      </c>
      <c r="AN8" s="25" t="s">
        <v>251</v>
      </c>
      <c r="AO8" s="25" t="s">
        <v>252</v>
      </c>
      <c r="AP8" s="25" t="s">
        <v>253</v>
      </c>
      <c r="AQ8" s="25" t="s">
        <v>254</v>
      </c>
      <c r="AR8" s="25" t="s">
        <v>255</v>
      </c>
      <c r="AS8" s="25" t="s">
        <v>256</v>
      </c>
      <c r="AT8" s="25" t="s">
        <v>257</v>
      </c>
      <c r="AU8" s="25" t="s">
        <v>258</v>
      </c>
      <c r="AV8" s="25" t="s">
        <v>784</v>
      </c>
      <c r="AW8" s="25" t="s">
        <v>259</v>
      </c>
      <c r="AX8" s="25" t="s">
        <v>260</v>
      </c>
      <c r="AY8" s="25" t="s">
        <v>261</v>
      </c>
      <c r="AZ8" s="25" t="s">
        <v>262</v>
      </c>
      <c r="BA8" s="25" t="s">
        <v>263</v>
      </c>
      <c r="BB8" s="25" t="s">
        <v>264</v>
      </c>
      <c r="BC8" s="25" t="s">
        <v>785</v>
      </c>
      <c r="BD8" s="60"/>
      <c r="BE8" s="60"/>
    </row>
    <row r="9" spans="1:57" x14ac:dyDescent="0.25">
      <c r="A9" s="53" t="s">
        <v>137</v>
      </c>
      <c r="B9" s="65" t="s">
        <v>265</v>
      </c>
      <c r="C9" s="19" t="s">
        <v>265</v>
      </c>
      <c r="D9" s="19" t="s">
        <v>265</v>
      </c>
      <c r="E9" s="19" t="s">
        <v>265</v>
      </c>
      <c r="F9" s="19" t="s">
        <v>265</v>
      </c>
      <c r="G9" s="19" t="s">
        <v>265</v>
      </c>
      <c r="H9" s="19" t="s">
        <v>265</v>
      </c>
      <c r="I9" s="19" t="s">
        <v>265</v>
      </c>
      <c r="J9" s="19" t="s">
        <v>265</v>
      </c>
      <c r="K9" s="19" t="s">
        <v>265</v>
      </c>
      <c r="L9" s="19" t="s">
        <v>265</v>
      </c>
      <c r="M9" s="19" t="s">
        <v>265</v>
      </c>
      <c r="N9" s="19" t="s">
        <v>265</v>
      </c>
      <c r="O9" s="19" t="s">
        <v>265</v>
      </c>
      <c r="P9" s="19" t="s">
        <v>265</v>
      </c>
      <c r="Q9" s="19" t="s">
        <v>266</v>
      </c>
      <c r="R9" s="19" t="s">
        <v>266</v>
      </c>
      <c r="S9" s="19" t="s">
        <v>266</v>
      </c>
      <c r="T9" s="19" t="s">
        <v>266</v>
      </c>
      <c r="U9" s="19" t="s">
        <v>266</v>
      </c>
      <c r="V9" s="19" t="s">
        <v>266</v>
      </c>
      <c r="W9" s="19" t="s">
        <v>266</v>
      </c>
      <c r="X9" s="19" t="s">
        <v>266</v>
      </c>
      <c r="Y9" s="19" t="s">
        <v>266</v>
      </c>
      <c r="Z9" s="19" t="s">
        <v>266</v>
      </c>
      <c r="AA9" s="19" t="s">
        <v>266</v>
      </c>
      <c r="AB9" s="19" t="s">
        <v>266</v>
      </c>
      <c r="AC9" s="19" t="s">
        <v>266</v>
      </c>
      <c r="AD9" s="19" t="s">
        <v>266</v>
      </c>
      <c r="AE9" s="19" t="s">
        <v>266</v>
      </c>
      <c r="AF9" s="19" t="s">
        <v>266</v>
      </c>
      <c r="AG9" s="19" t="s">
        <v>266</v>
      </c>
      <c r="AH9" s="19" t="s">
        <v>266</v>
      </c>
      <c r="AI9" s="19" t="s">
        <v>266</v>
      </c>
      <c r="AJ9" s="19" t="s">
        <v>266</v>
      </c>
      <c r="AK9" s="19" t="s">
        <v>266</v>
      </c>
      <c r="AL9" s="19" t="s">
        <v>266</v>
      </c>
      <c r="AM9" s="19" t="s">
        <v>266</v>
      </c>
      <c r="AN9" s="19" t="s">
        <v>265</v>
      </c>
      <c r="AO9" s="19" t="s">
        <v>265</v>
      </c>
      <c r="AP9" s="19" t="s">
        <v>265</v>
      </c>
      <c r="AQ9" s="19" t="s">
        <v>265</v>
      </c>
      <c r="AR9" s="19" t="s">
        <v>265</v>
      </c>
      <c r="AS9" s="19" t="s">
        <v>265</v>
      </c>
      <c r="AT9" s="19" t="s">
        <v>265</v>
      </c>
      <c r="AU9" s="19" t="s">
        <v>265</v>
      </c>
      <c r="AV9" s="19" t="s">
        <v>265</v>
      </c>
      <c r="AW9" s="19" t="s">
        <v>265</v>
      </c>
      <c r="AX9" s="19" t="s">
        <v>265</v>
      </c>
      <c r="AY9" s="19" t="s">
        <v>265</v>
      </c>
      <c r="AZ9" s="19" t="s">
        <v>265</v>
      </c>
      <c r="BA9" s="19" t="s">
        <v>265</v>
      </c>
      <c r="BB9" s="19" t="s">
        <v>265</v>
      </c>
      <c r="BC9" s="19" t="s">
        <v>265</v>
      </c>
      <c r="BD9" s="60"/>
      <c r="BE9" s="60"/>
    </row>
    <row r="10" spans="1:57" x14ac:dyDescent="0.25">
      <c r="A10" s="54" t="s">
        <v>143</v>
      </c>
      <c r="B10" s="66">
        <v>4.2</v>
      </c>
      <c r="C10" s="40">
        <v>4.2</v>
      </c>
      <c r="D10" s="40">
        <v>2.5</v>
      </c>
      <c r="E10" s="40">
        <v>3</v>
      </c>
      <c r="F10" s="40">
        <v>3</v>
      </c>
      <c r="G10" s="40">
        <v>3</v>
      </c>
      <c r="H10" s="40">
        <v>3</v>
      </c>
      <c r="I10" s="40">
        <v>1.7</v>
      </c>
      <c r="J10" s="40">
        <v>2.5</v>
      </c>
      <c r="K10" s="40">
        <v>4.5999999999999996</v>
      </c>
      <c r="L10" s="40">
        <v>1.85</v>
      </c>
      <c r="M10" s="40">
        <v>1.45</v>
      </c>
      <c r="N10" s="40">
        <v>1</v>
      </c>
      <c r="O10" s="40">
        <v>1</v>
      </c>
      <c r="P10" s="61">
        <v>1</v>
      </c>
      <c r="Q10" s="40">
        <v>5</v>
      </c>
      <c r="R10" s="40">
        <v>2.5</v>
      </c>
      <c r="S10" s="40">
        <v>1.5</v>
      </c>
      <c r="T10" s="40">
        <v>3</v>
      </c>
      <c r="U10" s="40">
        <v>2.2999999999999998</v>
      </c>
      <c r="V10" s="40">
        <v>2.75</v>
      </c>
      <c r="W10" s="40">
        <v>1.3</v>
      </c>
      <c r="X10" s="40">
        <v>2</v>
      </c>
      <c r="Y10" s="40">
        <v>1.2</v>
      </c>
      <c r="Z10" s="40">
        <v>2</v>
      </c>
      <c r="AA10" s="40">
        <v>1.1000000000000001</v>
      </c>
      <c r="AB10" s="40">
        <v>2.27</v>
      </c>
      <c r="AC10" s="40">
        <v>2.27</v>
      </c>
      <c r="AD10" s="40">
        <v>2.2799999999999998</v>
      </c>
      <c r="AE10" s="40">
        <v>2.1</v>
      </c>
      <c r="AF10" s="40">
        <v>1.3</v>
      </c>
      <c r="AG10" s="40">
        <v>1.2</v>
      </c>
      <c r="AH10" s="40">
        <v>1.3</v>
      </c>
      <c r="AI10" s="40">
        <v>2.25</v>
      </c>
      <c r="AJ10" s="40">
        <v>3.2</v>
      </c>
      <c r="AK10" s="40">
        <v>1</v>
      </c>
      <c r="AL10" s="40">
        <v>1</v>
      </c>
      <c r="AM10" s="40">
        <v>1</v>
      </c>
      <c r="AN10" s="40">
        <v>5</v>
      </c>
      <c r="AO10" s="40">
        <v>2.2999999999999998</v>
      </c>
      <c r="AP10" s="40">
        <v>6.7</v>
      </c>
      <c r="AQ10" s="40">
        <v>2.2999999999999998</v>
      </c>
      <c r="AR10" s="40">
        <v>6</v>
      </c>
      <c r="AS10" s="40">
        <v>5.5</v>
      </c>
      <c r="AT10" s="40">
        <v>6</v>
      </c>
      <c r="AU10" s="40">
        <v>6</v>
      </c>
      <c r="AV10" s="40">
        <v>5.5</v>
      </c>
      <c r="AW10" s="40">
        <v>6</v>
      </c>
      <c r="AX10" s="40">
        <v>6</v>
      </c>
      <c r="AY10" s="40">
        <v>6</v>
      </c>
      <c r="AZ10" s="40">
        <v>5.5</v>
      </c>
      <c r="BA10" s="40">
        <v>5.5</v>
      </c>
      <c r="BB10" s="40">
        <v>5.5</v>
      </c>
      <c r="BC10" s="40">
        <v>2</v>
      </c>
      <c r="BD10" s="40"/>
      <c r="BE10" s="40"/>
    </row>
    <row r="11" spans="1:57" x14ac:dyDescent="0.25">
      <c r="A11" s="55" t="s">
        <v>144</v>
      </c>
      <c r="B11" s="71">
        <f>ROUND(B10*'DATOS INICIALES'!$B$12,0)</f>
        <v>7353801</v>
      </c>
      <c r="C11" s="71">
        <f>ROUND(C10*'DATOS INICIALES'!$B$12,0)</f>
        <v>7353801</v>
      </c>
      <c r="D11" s="71">
        <f>ROUND(D10*'DATOS INICIALES'!$B$12,0)</f>
        <v>4377263</v>
      </c>
      <c r="E11" s="71">
        <f>ROUND(E10*'DATOS INICIALES'!$B$12,0)</f>
        <v>5252715</v>
      </c>
      <c r="F11" s="71">
        <f>ROUND(F10*'DATOS INICIALES'!$B$12,0)</f>
        <v>5252715</v>
      </c>
      <c r="G11" s="71">
        <f>ROUND(G10*'DATOS INICIALES'!$B$12,0)</f>
        <v>5252715</v>
      </c>
      <c r="H11" s="71">
        <f>ROUND(H10*'DATOS INICIALES'!$B$12,0)</f>
        <v>5252715</v>
      </c>
      <c r="I11" s="71">
        <f>ROUND(I10*'DATOS INICIALES'!$B$12,0)</f>
        <v>2976539</v>
      </c>
      <c r="J11" s="71">
        <f>ROUND(J10*'DATOS INICIALES'!$B$12,0)</f>
        <v>4377263</v>
      </c>
      <c r="K11" s="71">
        <f>ROUND(K10*'DATOS INICIALES'!$B$12,0)</f>
        <v>8054163</v>
      </c>
      <c r="L11" s="71">
        <f>ROUND(L10*'DATOS INICIALES'!$B$12,0)</f>
        <v>3239174</v>
      </c>
      <c r="M11" s="71">
        <f>ROUND(M10*'DATOS INICIALES'!$B$12,0)</f>
        <v>2538812</v>
      </c>
      <c r="N11" s="71">
        <f>ROUND(N10*'DATOS INICIALES'!$B$12,0)</f>
        <v>1750905</v>
      </c>
      <c r="O11" s="71">
        <f>ROUND(O10*'DATOS INICIALES'!$B$12,0)</f>
        <v>1750905</v>
      </c>
      <c r="P11" s="71">
        <f>ROUND(P10*'DATOS INICIALES'!$B$12,0)</f>
        <v>1750905</v>
      </c>
      <c r="Q11" s="71">
        <f>ROUND(Q10*'DATOS INICIALES'!$B$12,0)</f>
        <v>8754525</v>
      </c>
      <c r="R11" s="71">
        <f>ROUND(R10*'DATOS INICIALES'!$B$12,0)</f>
        <v>4377263</v>
      </c>
      <c r="S11" s="71">
        <f>ROUND(S10*'DATOS INICIALES'!$B$12,0)</f>
        <v>2626358</v>
      </c>
      <c r="T11" s="71">
        <f>ROUND(T10*'DATOS INICIALES'!$B$12,0)</f>
        <v>5252715</v>
      </c>
      <c r="U11" s="71">
        <f>ROUND(U10*'DATOS INICIALES'!$B$12,0)</f>
        <v>4027082</v>
      </c>
      <c r="V11" s="71">
        <f>ROUND(V10*'DATOS INICIALES'!$B$12,0)</f>
        <v>4814989</v>
      </c>
      <c r="W11" s="71">
        <f>ROUND(W10*'DATOS INICIALES'!$B$12,0)</f>
        <v>2276177</v>
      </c>
      <c r="X11" s="71">
        <f>ROUND(X10*'DATOS INICIALES'!$B$12,0)</f>
        <v>3501810</v>
      </c>
      <c r="Y11" s="71">
        <f>ROUND(Y10*'DATOS INICIALES'!$B$12,0)</f>
        <v>2101086</v>
      </c>
      <c r="Z11" s="71">
        <f>ROUND(Z10*'DATOS INICIALES'!$B$12,0)</f>
        <v>3501810</v>
      </c>
      <c r="AA11" s="71">
        <f>ROUND(AA10*'DATOS INICIALES'!$B$12,0)</f>
        <v>1925996</v>
      </c>
      <c r="AB11" s="71">
        <f>ROUND(AB10*'DATOS INICIALES'!$B$12,0)</f>
        <v>3974554</v>
      </c>
      <c r="AC11" s="71">
        <f>ROUND(AC10*'DATOS INICIALES'!$B$12,0)</f>
        <v>3974554</v>
      </c>
      <c r="AD11" s="71">
        <f>ROUND(AD10*'DATOS INICIALES'!$B$12,0)</f>
        <v>3992063</v>
      </c>
      <c r="AE11" s="71">
        <f>ROUND(AE10*'DATOS INICIALES'!$B$12,0)</f>
        <v>3676901</v>
      </c>
      <c r="AF11" s="71">
        <f>ROUND(AF10*'DATOS INICIALES'!$B$12,0)</f>
        <v>2276177</v>
      </c>
      <c r="AG11" s="71">
        <f>ROUND(AG10*'DATOS INICIALES'!$B$12,0)</f>
        <v>2101086</v>
      </c>
      <c r="AH11" s="71">
        <f>ROUND(AH10*'DATOS INICIALES'!$B$12,0)</f>
        <v>2276177</v>
      </c>
      <c r="AI11" s="71">
        <f>ROUND(AI10*'DATOS INICIALES'!$B$12,0)</f>
        <v>3939536</v>
      </c>
      <c r="AJ11" s="71">
        <f>ROUND(AJ10*'DATOS INICIALES'!$B$12,0)</f>
        <v>5602896</v>
      </c>
      <c r="AK11" s="71">
        <f>ROUND(AK10*'DATOS INICIALES'!$B$12,0)</f>
        <v>1750905</v>
      </c>
      <c r="AL11" s="71">
        <f>ROUND(AL10*'DATOS INICIALES'!$B$12,0)</f>
        <v>1750905</v>
      </c>
      <c r="AM11" s="71">
        <f>ROUND(AM10*'DATOS INICIALES'!$B$12,0)</f>
        <v>1750905</v>
      </c>
      <c r="AN11" s="71">
        <f>ROUND(AN10*'DATOS INICIALES'!$B$12,0)</f>
        <v>8754525</v>
      </c>
      <c r="AO11" s="71">
        <f>ROUND(AO10*'DATOS INICIALES'!$B$12,0)</f>
        <v>4027082</v>
      </c>
      <c r="AP11" s="71">
        <f>ROUND(AP10*'DATOS INICIALES'!$B$12,0)</f>
        <v>11731064</v>
      </c>
      <c r="AQ11" s="71">
        <f>ROUND(AQ10*'DATOS INICIALES'!$B$12,0)</f>
        <v>4027082</v>
      </c>
      <c r="AR11" s="71">
        <f>ROUND(AR10*'DATOS INICIALES'!$B$12,0)</f>
        <v>10505430</v>
      </c>
      <c r="AS11" s="71">
        <f>ROUND(AS10*'DATOS INICIALES'!$B$12,0)</f>
        <v>9629978</v>
      </c>
      <c r="AT11" s="71">
        <f>ROUND(AT10*'DATOS INICIALES'!$B$12,0)</f>
        <v>10505430</v>
      </c>
      <c r="AU11" s="71">
        <f>ROUND(AU10*'DATOS INICIALES'!$B$12,0)</f>
        <v>10505430</v>
      </c>
      <c r="AV11" s="71">
        <f>ROUND(AV10*'DATOS INICIALES'!$B$12,0)</f>
        <v>9629978</v>
      </c>
      <c r="AW11" s="71">
        <f>ROUND(AW10*'DATOS INICIALES'!$B$12,0)</f>
        <v>10505430</v>
      </c>
      <c r="AX11" s="71">
        <f>ROUND(AX10*'DATOS INICIALES'!$B$12,0)</f>
        <v>10505430</v>
      </c>
      <c r="AY11" s="71">
        <f>ROUND(AY10*'DATOS INICIALES'!$B$12,0)</f>
        <v>10505430</v>
      </c>
      <c r="AZ11" s="71">
        <f>ROUND(AZ10*'DATOS INICIALES'!$B$12,0)</f>
        <v>9629978</v>
      </c>
      <c r="BA11" s="71">
        <f>ROUND(BA10*'DATOS INICIALES'!$B$12,0)</f>
        <v>9629978</v>
      </c>
      <c r="BB11" s="71">
        <f>ROUND(BB10*'DATOS INICIALES'!$B$12,0)</f>
        <v>9629978</v>
      </c>
      <c r="BC11" s="71">
        <f>ROUND(BC10*'DATOS INICIALES'!$B$12,0)</f>
        <v>3501810</v>
      </c>
      <c r="BD11" s="71">
        <f>ROUND(BD10*'DATOS INICIALES'!$B$12,0)</f>
        <v>0</v>
      </c>
      <c r="BE11" s="71">
        <f>ROUND(BE10*'DATOS INICIALES'!$B$12,0)</f>
        <v>0</v>
      </c>
    </row>
    <row r="12" spans="1:57" x14ac:dyDescent="0.25">
      <c r="A12" s="55" t="s">
        <v>145</v>
      </c>
      <c r="B12" s="71">
        <f>IF(B10&lt;=2,'DATOS INICIALES'!$B$13,0)</f>
        <v>0</v>
      </c>
      <c r="C12" s="71">
        <f>IF(C10&lt;=2,'DATOS INICIALES'!$B$13,0)</f>
        <v>0</v>
      </c>
      <c r="D12" s="71">
        <f>IF(D10&lt;=2,'DATOS INICIALES'!$B$13,0)</f>
        <v>0</v>
      </c>
      <c r="E12" s="71">
        <f>IF(E10&lt;=2,'DATOS INICIALES'!$B$13,0)</f>
        <v>0</v>
      </c>
      <c r="F12" s="71">
        <f>IF(F10&lt;=2,'DATOS INICIALES'!$B$13,0)</f>
        <v>0</v>
      </c>
      <c r="G12" s="71">
        <f>IF(G10&lt;=2,'DATOS INICIALES'!$B$13,0)</f>
        <v>0</v>
      </c>
      <c r="H12" s="71">
        <f>IF(H10&lt;=2,'DATOS INICIALES'!$B$13,0)</f>
        <v>0</v>
      </c>
      <c r="I12" s="71">
        <f>IF(I10&lt;=2,'DATOS INICIALES'!$B$13,0)</f>
        <v>249095</v>
      </c>
      <c r="J12" s="71">
        <f>IF(J10&lt;=2,'DATOS INICIALES'!$B$13,0)</f>
        <v>0</v>
      </c>
      <c r="K12" s="71">
        <f>IF(K10&lt;=2,'DATOS INICIALES'!$B$13,0)</f>
        <v>0</v>
      </c>
      <c r="L12" s="71">
        <f>IF(L10&lt;=2,'DATOS INICIALES'!$B$13,0)</f>
        <v>249095</v>
      </c>
      <c r="M12" s="71">
        <f>IF(M10&lt;=2,'DATOS INICIALES'!$B$13,0)</f>
        <v>249095</v>
      </c>
      <c r="N12" s="71">
        <f>IF(N10&lt;=2,'DATOS INICIALES'!$B$13,0)</f>
        <v>249095</v>
      </c>
      <c r="O12" s="71">
        <f>IF(O10&lt;=2,'DATOS INICIALES'!$B$13,0)</f>
        <v>249095</v>
      </c>
      <c r="P12" s="71">
        <f>IF(P10&lt;=2,'DATOS INICIALES'!$B$13,0)</f>
        <v>249095</v>
      </c>
      <c r="Q12" s="71">
        <f>IF(Q10&lt;=2,'DATOS INICIALES'!$B$13,0)</f>
        <v>0</v>
      </c>
      <c r="R12" s="71">
        <f>IF(R10&lt;=2,'DATOS INICIALES'!$B$13,0)</f>
        <v>0</v>
      </c>
      <c r="S12" s="71">
        <f>IF(S10&lt;=2,'DATOS INICIALES'!$B$13,0)</f>
        <v>249095</v>
      </c>
      <c r="T12" s="71">
        <f>IF(T10&lt;=2,'DATOS INICIALES'!$B$13,0)</f>
        <v>0</v>
      </c>
      <c r="U12" s="71">
        <f>IF(U10&lt;=2,'DATOS INICIALES'!$B$13,0)</f>
        <v>0</v>
      </c>
      <c r="V12" s="71">
        <f>IF(V10&lt;=2,'DATOS INICIALES'!$B$13,0)</f>
        <v>0</v>
      </c>
      <c r="W12" s="71">
        <f>IF(W10&lt;=2,'DATOS INICIALES'!$B$13,0)</f>
        <v>249095</v>
      </c>
      <c r="X12" s="71">
        <f>IF(X10&lt;=2,'DATOS INICIALES'!$B$13,0)</f>
        <v>249095</v>
      </c>
      <c r="Y12" s="71">
        <f>IF(Y10&lt;=2,'DATOS INICIALES'!$B$13,0)</f>
        <v>249095</v>
      </c>
      <c r="Z12" s="71">
        <f>IF(Z10&lt;=2,'DATOS INICIALES'!$B$13,0)</f>
        <v>249095</v>
      </c>
      <c r="AA12" s="71">
        <f>IF(AA10&lt;=2,'DATOS INICIALES'!$B$13,0)</f>
        <v>249095</v>
      </c>
      <c r="AB12" s="71">
        <f>IF(AB10&lt;=2,'DATOS INICIALES'!$B$13,0)</f>
        <v>0</v>
      </c>
      <c r="AC12" s="71">
        <f>IF(AC10&lt;=2,'DATOS INICIALES'!$B$13,0)</f>
        <v>0</v>
      </c>
      <c r="AD12" s="71">
        <f>IF(AD10&lt;=2,'DATOS INICIALES'!$B$13,0)</f>
        <v>0</v>
      </c>
      <c r="AE12" s="71">
        <f>IF(AE10&lt;=2,'DATOS INICIALES'!$B$13,0)</f>
        <v>0</v>
      </c>
      <c r="AF12" s="71">
        <f>IF(AF10&lt;=2,'DATOS INICIALES'!$B$13,0)</f>
        <v>249095</v>
      </c>
      <c r="AG12" s="71">
        <f>IF(AG10&lt;=2,'DATOS INICIALES'!$B$13,0)</f>
        <v>249095</v>
      </c>
      <c r="AH12" s="71">
        <f>IF(AH10&lt;=2,'DATOS INICIALES'!$B$13,0)</f>
        <v>249095</v>
      </c>
      <c r="AI12" s="71">
        <f>IF(AI10&lt;=2,'DATOS INICIALES'!$B$13,0)</f>
        <v>0</v>
      </c>
      <c r="AJ12" s="71">
        <f>IF(AJ10&lt;=2,'DATOS INICIALES'!$B$13,0)</f>
        <v>0</v>
      </c>
      <c r="AK12" s="71">
        <f>IF(AK10&lt;=2,'DATOS INICIALES'!$B$13,0)</f>
        <v>249095</v>
      </c>
      <c r="AL12" s="71">
        <f>IF(AL10&lt;=2,'DATOS INICIALES'!$B$13,0)</f>
        <v>249095</v>
      </c>
      <c r="AM12" s="71">
        <f>IF(AM10&lt;=2,'DATOS INICIALES'!$B$13,0)</f>
        <v>249095</v>
      </c>
      <c r="AN12" s="71">
        <f>IF(AN10&lt;=2,'DATOS INICIALES'!$B$13,0)</f>
        <v>0</v>
      </c>
      <c r="AO12" s="71">
        <f>IF(AO10&lt;=2,'DATOS INICIALES'!$B$13,0)</f>
        <v>0</v>
      </c>
      <c r="AP12" s="71">
        <f>IF(AP10&lt;=2,'DATOS INICIALES'!$B$13,0)</f>
        <v>0</v>
      </c>
      <c r="AQ12" s="71">
        <f>IF(AQ10&lt;=2,'DATOS INICIALES'!$B$13,0)</f>
        <v>0</v>
      </c>
      <c r="AR12" s="71">
        <f>IF(AR10&lt;=2,'DATOS INICIALES'!$B$13,0)</f>
        <v>0</v>
      </c>
      <c r="AS12" s="71">
        <f>IF(AS10&lt;=2,'DATOS INICIALES'!$B$13,0)</f>
        <v>0</v>
      </c>
      <c r="AT12" s="71">
        <f>IF(AT10&lt;=2,'DATOS INICIALES'!$B$13,0)</f>
        <v>0</v>
      </c>
      <c r="AU12" s="71">
        <f>IF(AU10&lt;=2,'DATOS INICIALES'!$B$13,0)</f>
        <v>0</v>
      </c>
      <c r="AV12" s="71">
        <f>IF(AV10&lt;=2,'DATOS INICIALES'!$B$13,0)</f>
        <v>0</v>
      </c>
      <c r="AW12" s="71">
        <f>IF(AW10&lt;=2,'DATOS INICIALES'!$B$13,0)</f>
        <v>0</v>
      </c>
      <c r="AX12" s="71">
        <f>IF(AX10&lt;=2,'DATOS INICIALES'!$B$13,0)</f>
        <v>0</v>
      </c>
      <c r="AY12" s="71">
        <f>IF(AY10&lt;=2,'DATOS INICIALES'!$B$13,0)</f>
        <v>0</v>
      </c>
      <c r="AZ12" s="71">
        <f>IF(AZ10&lt;=2,'DATOS INICIALES'!$B$13,0)</f>
        <v>0</v>
      </c>
      <c r="BA12" s="71">
        <f>IF(BA10&lt;=2,'DATOS INICIALES'!$B$13,0)</f>
        <v>0</v>
      </c>
      <c r="BB12" s="71">
        <f>IF(BB10&lt;=2,'DATOS INICIALES'!$B$13,0)</f>
        <v>0</v>
      </c>
      <c r="BC12" s="71">
        <f>IF(BC10&lt;=2,'DATOS INICIALES'!$B$13,0)</f>
        <v>249095</v>
      </c>
      <c r="BD12" s="71">
        <f>IF(BD10&lt;=2,'DATOS INICIALES'!$B$13,0)</f>
        <v>249095</v>
      </c>
      <c r="BE12" s="71">
        <f>IF(BE10&lt;=2,'DATOS INICIALES'!$B$13,0)</f>
        <v>249095</v>
      </c>
    </row>
    <row r="13" spans="1:57" ht="24" x14ac:dyDescent="0.25">
      <c r="A13" s="56" t="s">
        <v>146</v>
      </c>
      <c r="B13" s="71">
        <f>+ROUND(B11*12,0)</f>
        <v>88245612</v>
      </c>
      <c r="C13" s="71">
        <f t="shared" ref="C13:BE13" si="0">+ROUND(C11*12,0)</f>
        <v>88245612</v>
      </c>
      <c r="D13" s="71">
        <f t="shared" si="0"/>
        <v>52527156</v>
      </c>
      <c r="E13" s="71">
        <f t="shared" si="0"/>
        <v>63032580</v>
      </c>
      <c r="F13" s="71">
        <f t="shared" si="0"/>
        <v>63032580</v>
      </c>
      <c r="G13" s="71">
        <f t="shared" si="0"/>
        <v>63032580</v>
      </c>
      <c r="H13" s="71">
        <f t="shared" si="0"/>
        <v>63032580</v>
      </c>
      <c r="I13" s="71">
        <f t="shared" si="0"/>
        <v>35718468</v>
      </c>
      <c r="J13" s="71">
        <f t="shared" si="0"/>
        <v>52527156</v>
      </c>
      <c r="K13" s="71">
        <f t="shared" si="0"/>
        <v>96649956</v>
      </c>
      <c r="L13" s="71">
        <f t="shared" si="0"/>
        <v>38870088</v>
      </c>
      <c r="M13" s="71">
        <f t="shared" si="0"/>
        <v>30465744</v>
      </c>
      <c r="N13" s="71">
        <f t="shared" si="0"/>
        <v>21010860</v>
      </c>
      <c r="O13" s="71">
        <f t="shared" si="0"/>
        <v>21010860</v>
      </c>
      <c r="P13" s="71">
        <f t="shared" si="0"/>
        <v>21010860</v>
      </c>
      <c r="Q13" s="71">
        <f t="shared" si="0"/>
        <v>105054300</v>
      </c>
      <c r="R13" s="71">
        <f t="shared" si="0"/>
        <v>52527156</v>
      </c>
      <c r="S13" s="71">
        <f t="shared" si="0"/>
        <v>31516296</v>
      </c>
      <c r="T13" s="71">
        <f t="shared" si="0"/>
        <v>63032580</v>
      </c>
      <c r="U13" s="71">
        <f t="shared" si="0"/>
        <v>48324984</v>
      </c>
      <c r="V13" s="71">
        <f t="shared" si="0"/>
        <v>57779868</v>
      </c>
      <c r="W13" s="71">
        <f t="shared" si="0"/>
        <v>27314124</v>
      </c>
      <c r="X13" s="71">
        <f t="shared" si="0"/>
        <v>42021720</v>
      </c>
      <c r="Y13" s="71">
        <f t="shared" si="0"/>
        <v>25213032</v>
      </c>
      <c r="Z13" s="71">
        <f t="shared" si="0"/>
        <v>42021720</v>
      </c>
      <c r="AA13" s="71">
        <f t="shared" si="0"/>
        <v>23111952</v>
      </c>
      <c r="AB13" s="71">
        <f t="shared" si="0"/>
        <v>47694648</v>
      </c>
      <c r="AC13" s="71">
        <f t="shared" si="0"/>
        <v>47694648</v>
      </c>
      <c r="AD13" s="71">
        <f t="shared" si="0"/>
        <v>47904756</v>
      </c>
      <c r="AE13" s="71">
        <f t="shared" si="0"/>
        <v>44122812</v>
      </c>
      <c r="AF13" s="71">
        <f t="shared" si="0"/>
        <v>27314124</v>
      </c>
      <c r="AG13" s="71">
        <f t="shared" si="0"/>
        <v>25213032</v>
      </c>
      <c r="AH13" s="71">
        <f t="shared" si="0"/>
        <v>27314124</v>
      </c>
      <c r="AI13" s="71">
        <f t="shared" si="0"/>
        <v>47274432</v>
      </c>
      <c r="AJ13" s="71">
        <f t="shared" si="0"/>
        <v>67234752</v>
      </c>
      <c r="AK13" s="71">
        <f t="shared" si="0"/>
        <v>21010860</v>
      </c>
      <c r="AL13" s="71">
        <f t="shared" si="0"/>
        <v>21010860</v>
      </c>
      <c r="AM13" s="71">
        <f t="shared" si="0"/>
        <v>21010860</v>
      </c>
      <c r="AN13" s="71">
        <f t="shared" si="0"/>
        <v>105054300</v>
      </c>
      <c r="AO13" s="71">
        <f t="shared" si="0"/>
        <v>48324984</v>
      </c>
      <c r="AP13" s="71">
        <f t="shared" si="0"/>
        <v>140772768</v>
      </c>
      <c r="AQ13" s="71">
        <f t="shared" si="0"/>
        <v>48324984</v>
      </c>
      <c r="AR13" s="71">
        <f t="shared" si="0"/>
        <v>126065160</v>
      </c>
      <c r="AS13" s="71">
        <f t="shared" si="0"/>
        <v>115559736</v>
      </c>
      <c r="AT13" s="71">
        <f t="shared" si="0"/>
        <v>126065160</v>
      </c>
      <c r="AU13" s="71">
        <f t="shared" si="0"/>
        <v>126065160</v>
      </c>
      <c r="AV13" s="71">
        <f t="shared" si="0"/>
        <v>115559736</v>
      </c>
      <c r="AW13" s="71">
        <f t="shared" si="0"/>
        <v>126065160</v>
      </c>
      <c r="AX13" s="71">
        <f t="shared" si="0"/>
        <v>126065160</v>
      </c>
      <c r="AY13" s="71">
        <f t="shared" si="0"/>
        <v>126065160</v>
      </c>
      <c r="AZ13" s="71">
        <f t="shared" si="0"/>
        <v>115559736</v>
      </c>
      <c r="BA13" s="71">
        <f t="shared" si="0"/>
        <v>115559736</v>
      </c>
      <c r="BB13" s="71">
        <f t="shared" si="0"/>
        <v>115559736</v>
      </c>
      <c r="BC13" s="71">
        <f t="shared" si="0"/>
        <v>42021720</v>
      </c>
      <c r="BD13" s="71">
        <f t="shared" si="0"/>
        <v>0</v>
      </c>
      <c r="BE13" s="71">
        <f t="shared" si="0"/>
        <v>0</v>
      </c>
    </row>
    <row r="14" spans="1:57" ht="36" x14ac:dyDescent="0.25">
      <c r="A14" s="56" t="s">
        <v>147</v>
      </c>
      <c r="B14" s="71">
        <f>+ROUND(B12*12,0)</f>
        <v>0</v>
      </c>
      <c r="C14" s="71">
        <f t="shared" ref="C14:BE14" si="1">+ROUND(C12*12,0)</f>
        <v>0</v>
      </c>
      <c r="D14" s="71">
        <f t="shared" si="1"/>
        <v>0</v>
      </c>
      <c r="E14" s="71">
        <f t="shared" si="1"/>
        <v>0</v>
      </c>
      <c r="F14" s="71">
        <f t="shared" si="1"/>
        <v>0</v>
      </c>
      <c r="G14" s="71">
        <f t="shared" si="1"/>
        <v>0</v>
      </c>
      <c r="H14" s="71">
        <f t="shared" si="1"/>
        <v>0</v>
      </c>
      <c r="I14" s="71">
        <f t="shared" si="1"/>
        <v>2989140</v>
      </c>
      <c r="J14" s="71">
        <f t="shared" si="1"/>
        <v>0</v>
      </c>
      <c r="K14" s="71">
        <f t="shared" si="1"/>
        <v>0</v>
      </c>
      <c r="L14" s="71">
        <f t="shared" si="1"/>
        <v>2989140</v>
      </c>
      <c r="M14" s="71">
        <f t="shared" si="1"/>
        <v>2989140</v>
      </c>
      <c r="N14" s="71">
        <f t="shared" si="1"/>
        <v>2989140</v>
      </c>
      <c r="O14" s="71">
        <f t="shared" si="1"/>
        <v>2989140</v>
      </c>
      <c r="P14" s="71">
        <f t="shared" si="1"/>
        <v>2989140</v>
      </c>
      <c r="Q14" s="71">
        <f t="shared" si="1"/>
        <v>0</v>
      </c>
      <c r="R14" s="71">
        <f t="shared" si="1"/>
        <v>0</v>
      </c>
      <c r="S14" s="71">
        <f t="shared" si="1"/>
        <v>2989140</v>
      </c>
      <c r="T14" s="71">
        <f t="shared" si="1"/>
        <v>0</v>
      </c>
      <c r="U14" s="71">
        <f t="shared" si="1"/>
        <v>0</v>
      </c>
      <c r="V14" s="71">
        <f t="shared" si="1"/>
        <v>0</v>
      </c>
      <c r="W14" s="71">
        <f t="shared" si="1"/>
        <v>2989140</v>
      </c>
      <c r="X14" s="71">
        <f t="shared" si="1"/>
        <v>2989140</v>
      </c>
      <c r="Y14" s="71">
        <f t="shared" si="1"/>
        <v>2989140</v>
      </c>
      <c r="Z14" s="71">
        <f t="shared" si="1"/>
        <v>2989140</v>
      </c>
      <c r="AA14" s="71">
        <f t="shared" si="1"/>
        <v>2989140</v>
      </c>
      <c r="AB14" s="71">
        <f t="shared" si="1"/>
        <v>0</v>
      </c>
      <c r="AC14" s="71">
        <f t="shared" si="1"/>
        <v>0</v>
      </c>
      <c r="AD14" s="71">
        <f t="shared" si="1"/>
        <v>0</v>
      </c>
      <c r="AE14" s="71">
        <f t="shared" si="1"/>
        <v>0</v>
      </c>
      <c r="AF14" s="71">
        <f t="shared" si="1"/>
        <v>2989140</v>
      </c>
      <c r="AG14" s="71">
        <f t="shared" si="1"/>
        <v>2989140</v>
      </c>
      <c r="AH14" s="71">
        <f t="shared" si="1"/>
        <v>2989140</v>
      </c>
      <c r="AI14" s="71">
        <f t="shared" si="1"/>
        <v>0</v>
      </c>
      <c r="AJ14" s="71">
        <f t="shared" si="1"/>
        <v>0</v>
      </c>
      <c r="AK14" s="71">
        <f t="shared" si="1"/>
        <v>2989140</v>
      </c>
      <c r="AL14" s="71">
        <f t="shared" si="1"/>
        <v>2989140</v>
      </c>
      <c r="AM14" s="71">
        <f t="shared" si="1"/>
        <v>2989140</v>
      </c>
      <c r="AN14" s="71">
        <f t="shared" si="1"/>
        <v>0</v>
      </c>
      <c r="AO14" s="71">
        <f t="shared" si="1"/>
        <v>0</v>
      </c>
      <c r="AP14" s="71">
        <f t="shared" si="1"/>
        <v>0</v>
      </c>
      <c r="AQ14" s="71">
        <f t="shared" si="1"/>
        <v>0</v>
      </c>
      <c r="AR14" s="71">
        <f t="shared" si="1"/>
        <v>0</v>
      </c>
      <c r="AS14" s="71">
        <f t="shared" si="1"/>
        <v>0</v>
      </c>
      <c r="AT14" s="71">
        <f t="shared" si="1"/>
        <v>0</v>
      </c>
      <c r="AU14" s="71">
        <f t="shared" si="1"/>
        <v>0</v>
      </c>
      <c r="AV14" s="71">
        <f t="shared" si="1"/>
        <v>0</v>
      </c>
      <c r="AW14" s="71">
        <f t="shared" si="1"/>
        <v>0</v>
      </c>
      <c r="AX14" s="71">
        <f t="shared" si="1"/>
        <v>0</v>
      </c>
      <c r="AY14" s="71">
        <f t="shared" si="1"/>
        <v>0</v>
      </c>
      <c r="AZ14" s="71">
        <f t="shared" si="1"/>
        <v>0</v>
      </c>
      <c r="BA14" s="71">
        <f t="shared" si="1"/>
        <v>0</v>
      </c>
      <c r="BB14" s="71">
        <f t="shared" si="1"/>
        <v>0</v>
      </c>
      <c r="BC14" s="71">
        <f t="shared" si="1"/>
        <v>2989140</v>
      </c>
      <c r="BD14" s="71">
        <f t="shared" si="1"/>
        <v>2989140</v>
      </c>
      <c r="BE14" s="71">
        <f t="shared" si="1"/>
        <v>2989140</v>
      </c>
    </row>
    <row r="15" spans="1:57" ht="24" x14ac:dyDescent="0.25">
      <c r="A15" s="56" t="s">
        <v>267</v>
      </c>
      <c r="B15" s="71">
        <f>ROUND((B13+B14)*0.12,0)</f>
        <v>10589473</v>
      </c>
      <c r="C15" s="71">
        <f t="shared" ref="C15:BE15" si="2">ROUND((C13+C14)*0.12,0)</f>
        <v>10589473</v>
      </c>
      <c r="D15" s="71">
        <f t="shared" si="2"/>
        <v>6303259</v>
      </c>
      <c r="E15" s="71">
        <f t="shared" si="2"/>
        <v>7563910</v>
      </c>
      <c r="F15" s="71">
        <f t="shared" si="2"/>
        <v>7563910</v>
      </c>
      <c r="G15" s="71">
        <f t="shared" si="2"/>
        <v>7563910</v>
      </c>
      <c r="H15" s="71">
        <f t="shared" si="2"/>
        <v>7563910</v>
      </c>
      <c r="I15" s="71">
        <f t="shared" si="2"/>
        <v>4644913</v>
      </c>
      <c r="J15" s="71">
        <f t="shared" si="2"/>
        <v>6303259</v>
      </c>
      <c r="K15" s="71">
        <f t="shared" si="2"/>
        <v>11597995</v>
      </c>
      <c r="L15" s="71">
        <f t="shared" si="2"/>
        <v>5023107</v>
      </c>
      <c r="M15" s="71">
        <f t="shared" si="2"/>
        <v>4014586</v>
      </c>
      <c r="N15" s="71">
        <f t="shared" si="2"/>
        <v>2880000</v>
      </c>
      <c r="O15" s="71">
        <f t="shared" si="2"/>
        <v>2880000</v>
      </c>
      <c r="P15" s="71">
        <f t="shared" si="2"/>
        <v>2880000</v>
      </c>
      <c r="Q15" s="71">
        <f t="shared" si="2"/>
        <v>12606516</v>
      </c>
      <c r="R15" s="71">
        <f t="shared" si="2"/>
        <v>6303259</v>
      </c>
      <c r="S15" s="71">
        <f t="shared" si="2"/>
        <v>4140652</v>
      </c>
      <c r="T15" s="71">
        <f t="shared" si="2"/>
        <v>7563910</v>
      </c>
      <c r="U15" s="71">
        <f t="shared" si="2"/>
        <v>5798998</v>
      </c>
      <c r="V15" s="71">
        <f t="shared" si="2"/>
        <v>6933584</v>
      </c>
      <c r="W15" s="71">
        <f t="shared" si="2"/>
        <v>3636392</v>
      </c>
      <c r="X15" s="71">
        <f t="shared" si="2"/>
        <v>5401303</v>
      </c>
      <c r="Y15" s="71">
        <f t="shared" si="2"/>
        <v>3384261</v>
      </c>
      <c r="Z15" s="71">
        <f t="shared" si="2"/>
        <v>5401303</v>
      </c>
      <c r="AA15" s="71">
        <f t="shared" si="2"/>
        <v>3132131</v>
      </c>
      <c r="AB15" s="71">
        <f t="shared" si="2"/>
        <v>5723358</v>
      </c>
      <c r="AC15" s="71">
        <f t="shared" si="2"/>
        <v>5723358</v>
      </c>
      <c r="AD15" s="71">
        <f t="shared" si="2"/>
        <v>5748571</v>
      </c>
      <c r="AE15" s="71">
        <f t="shared" si="2"/>
        <v>5294737</v>
      </c>
      <c r="AF15" s="71">
        <f t="shared" si="2"/>
        <v>3636392</v>
      </c>
      <c r="AG15" s="71">
        <f t="shared" si="2"/>
        <v>3384261</v>
      </c>
      <c r="AH15" s="71">
        <f t="shared" si="2"/>
        <v>3636392</v>
      </c>
      <c r="AI15" s="71">
        <f t="shared" si="2"/>
        <v>5672932</v>
      </c>
      <c r="AJ15" s="71">
        <f t="shared" si="2"/>
        <v>8068170</v>
      </c>
      <c r="AK15" s="71">
        <f t="shared" si="2"/>
        <v>2880000</v>
      </c>
      <c r="AL15" s="71">
        <f t="shared" si="2"/>
        <v>2880000</v>
      </c>
      <c r="AM15" s="71">
        <f t="shared" si="2"/>
        <v>2880000</v>
      </c>
      <c r="AN15" s="71">
        <f t="shared" si="2"/>
        <v>12606516</v>
      </c>
      <c r="AO15" s="71">
        <f t="shared" si="2"/>
        <v>5798998</v>
      </c>
      <c r="AP15" s="71">
        <f t="shared" si="2"/>
        <v>16892732</v>
      </c>
      <c r="AQ15" s="71">
        <f t="shared" si="2"/>
        <v>5798998</v>
      </c>
      <c r="AR15" s="71">
        <f t="shared" si="2"/>
        <v>15127819</v>
      </c>
      <c r="AS15" s="71">
        <f t="shared" si="2"/>
        <v>13867168</v>
      </c>
      <c r="AT15" s="71">
        <f t="shared" si="2"/>
        <v>15127819</v>
      </c>
      <c r="AU15" s="71">
        <f t="shared" si="2"/>
        <v>15127819</v>
      </c>
      <c r="AV15" s="71">
        <f t="shared" si="2"/>
        <v>13867168</v>
      </c>
      <c r="AW15" s="71">
        <f t="shared" si="2"/>
        <v>15127819</v>
      </c>
      <c r="AX15" s="71">
        <f t="shared" si="2"/>
        <v>15127819</v>
      </c>
      <c r="AY15" s="71">
        <f t="shared" si="2"/>
        <v>15127819</v>
      </c>
      <c r="AZ15" s="71">
        <f t="shared" si="2"/>
        <v>13867168</v>
      </c>
      <c r="BA15" s="71">
        <f t="shared" si="2"/>
        <v>13867168</v>
      </c>
      <c r="BB15" s="71">
        <f t="shared" si="2"/>
        <v>13867168</v>
      </c>
      <c r="BC15" s="71">
        <f t="shared" si="2"/>
        <v>5401303</v>
      </c>
      <c r="BD15" s="71">
        <f t="shared" si="2"/>
        <v>358697</v>
      </c>
      <c r="BE15" s="71">
        <f t="shared" si="2"/>
        <v>358697</v>
      </c>
    </row>
    <row r="16" spans="1:57" ht="24" x14ac:dyDescent="0.25">
      <c r="A16" s="56" t="s">
        <v>148</v>
      </c>
      <c r="B16" s="71">
        <f>ROUND(B15*0.12,0)</f>
        <v>1270737</v>
      </c>
      <c r="C16" s="71">
        <f t="shared" ref="C16:BE16" si="3">ROUND(C15*0.12,0)</f>
        <v>1270737</v>
      </c>
      <c r="D16" s="71">
        <f t="shared" si="3"/>
        <v>756391</v>
      </c>
      <c r="E16" s="71">
        <f t="shared" si="3"/>
        <v>907669</v>
      </c>
      <c r="F16" s="71">
        <f t="shared" si="3"/>
        <v>907669</v>
      </c>
      <c r="G16" s="71">
        <f t="shared" si="3"/>
        <v>907669</v>
      </c>
      <c r="H16" s="71">
        <f t="shared" si="3"/>
        <v>907669</v>
      </c>
      <c r="I16" s="71">
        <f t="shared" si="3"/>
        <v>557390</v>
      </c>
      <c r="J16" s="71">
        <f t="shared" si="3"/>
        <v>756391</v>
      </c>
      <c r="K16" s="71">
        <f t="shared" si="3"/>
        <v>1391759</v>
      </c>
      <c r="L16" s="71">
        <f t="shared" si="3"/>
        <v>602773</v>
      </c>
      <c r="M16" s="71">
        <f t="shared" si="3"/>
        <v>481750</v>
      </c>
      <c r="N16" s="71">
        <f t="shared" si="3"/>
        <v>345600</v>
      </c>
      <c r="O16" s="71">
        <f t="shared" si="3"/>
        <v>345600</v>
      </c>
      <c r="P16" s="71">
        <f t="shared" si="3"/>
        <v>345600</v>
      </c>
      <c r="Q16" s="71">
        <f t="shared" si="3"/>
        <v>1512782</v>
      </c>
      <c r="R16" s="71">
        <f t="shared" si="3"/>
        <v>756391</v>
      </c>
      <c r="S16" s="71">
        <f t="shared" si="3"/>
        <v>496878</v>
      </c>
      <c r="T16" s="71">
        <f t="shared" si="3"/>
        <v>907669</v>
      </c>
      <c r="U16" s="71">
        <f t="shared" si="3"/>
        <v>695880</v>
      </c>
      <c r="V16" s="71">
        <f t="shared" si="3"/>
        <v>832030</v>
      </c>
      <c r="W16" s="71">
        <f t="shared" si="3"/>
        <v>436367</v>
      </c>
      <c r="X16" s="71">
        <f t="shared" si="3"/>
        <v>648156</v>
      </c>
      <c r="Y16" s="71">
        <f t="shared" si="3"/>
        <v>406111</v>
      </c>
      <c r="Z16" s="71">
        <f t="shared" si="3"/>
        <v>648156</v>
      </c>
      <c r="AA16" s="71">
        <f t="shared" si="3"/>
        <v>375856</v>
      </c>
      <c r="AB16" s="71">
        <f t="shared" si="3"/>
        <v>686803</v>
      </c>
      <c r="AC16" s="71">
        <f t="shared" si="3"/>
        <v>686803</v>
      </c>
      <c r="AD16" s="71">
        <f t="shared" si="3"/>
        <v>689829</v>
      </c>
      <c r="AE16" s="71">
        <f t="shared" si="3"/>
        <v>635368</v>
      </c>
      <c r="AF16" s="71">
        <f t="shared" si="3"/>
        <v>436367</v>
      </c>
      <c r="AG16" s="71">
        <f t="shared" si="3"/>
        <v>406111</v>
      </c>
      <c r="AH16" s="71">
        <f t="shared" si="3"/>
        <v>436367</v>
      </c>
      <c r="AI16" s="71">
        <f t="shared" si="3"/>
        <v>680752</v>
      </c>
      <c r="AJ16" s="71">
        <f t="shared" si="3"/>
        <v>968180</v>
      </c>
      <c r="AK16" s="71">
        <f t="shared" si="3"/>
        <v>345600</v>
      </c>
      <c r="AL16" s="71">
        <f t="shared" si="3"/>
        <v>345600</v>
      </c>
      <c r="AM16" s="71">
        <f t="shared" si="3"/>
        <v>345600</v>
      </c>
      <c r="AN16" s="71">
        <f t="shared" si="3"/>
        <v>1512782</v>
      </c>
      <c r="AO16" s="71">
        <f t="shared" si="3"/>
        <v>695880</v>
      </c>
      <c r="AP16" s="71">
        <f t="shared" si="3"/>
        <v>2027128</v>
      </c>
      <c r="AQ16" s="71">
        <f t="shared" si="3"/>
        <v>695880</v>
      </c>
      <c r="AR16" s="71">
        <f t="shared" si="3"/>
        <v>1815338</v>
      </c>
      <c r="AS16" s="71">
        <f t="shared" si="3"/>
        <v>1664060</v>
      </c>
      <c r="AT16" s="71">
        <f t="shared" si="3"/>
        <v>1815338</v>
      </c>
      <c r="AU16" s="71">
        <f t="shared" si="3"/>
        <v>1815338</v>
      </c>
      <c r="AV16" s="71">
        <f t="shared" si="3"/>
        <v>1664060</v>
      </c>
      <c r="AW16" s="71">
        <f t="shared" si="3"/>
        <v>1815338</v>
      </c>
      <c r="AX16" s="71">
        <f t="shared" si="3"/>
        <v>1815338</v>
      </c>
      <c r="AY16" s="71">
        <f t="shared" si="3"/>
        <v>1815338</v>
      </c>
      <c r="AZ16" s="71">
        <f t="shared" si="3"/>
        <v>1664060</v>
      </c>
      <c r="BA16" s="71">
        <f t="shared" si="3"/>
        <v>1664060</v>
      </c>
      <c r="BB16" s="71">
        <f t="shared" si="3"/>
        <v>1664060</v>
      </c>
      <c r="BC16" s="71">
        <f t="shared" si="3"/>
        <v>648156</v>
      </c>
      <c r="BD16" s="71">
        <f t="shared" si="3"/>
        <v>43044</v>
      </c>
      <c r="BE16" s="71">
        <f t="shared" si="3"/>
        <v>43044</v>
      </c>
    </row>
    <row r="17" spans="1:57" ht="24" x14ac:dyDescent="0.25">
      <c r="A17" s="56" t="s">
        <v>149</v>
      </c>
      <c r="B17" s="71">
        <f>ROUND((B11+B12)/2,0)</f>
        <v>3676901</v>
      </c>
      <c r="C17" s="71">
        <f t="shared" ref="C17:BE17" si="4">ROUND((C11+C12)/2,0)</f>
        <v>3676901</v>
      </c>
      <c r="D17" s="71">
        <f t="shared" si="4"/>
        <v>2188632</v>
      </c>
      <c r="E17" s="71">
        <f t="shared" si="4"/>
        <v>2626358</v>
      </c>
      <c r="F17" s="71">
        <f t="shared" si="4"/>
        <v>2626358</v>
      </c>
      <c r="G17" s="71">
        <f t="shared" si="4"/>
        <v>2626358</v>
      </c>
      <c r="H17" s="71">
        <f t="shared" si="4"/>
        <v>2626358</v>
      </c>
      <c r="I17" s="71">
        <f t="shared" si="4"/>
        <v>1612817</v>
      </c>
      <c r="J17" s="71">
        <f t="shared" si="4"/>
        <v>2188632</v>
      </c>
      <c r="K17" s="71">
        <f t="shared" si="4"/>
        <v>4027082</v>
      </c>
      <c r="L17" s="71">
        <f t="shared" si="4"/>
        <v>1744135</v>
      </c>
      <c r="M17" s="71">
        <f t="shared" si="4"/>
        <v>1393954</v>
      </c>
      <c r="N17" s="71">
        <f t="shared" si="4"/>
        <v>1000000</v>
      </c>
      <c r="O17" s="71">
        <f t="shared" si="4"/>
        <v>1000000</v>
      </c>
      <c r="P17" s="71">
        <f t="shared" si="4"/>
        <v>1000000</v>
      </c>
      <c r="Q17" s="71">
        <f t="shared" si="4"/>
        <v>4377263</v>
      </c>
      <c r="R17" s="71">
        <f t="shared" si="4"/>
        <v>2188632</v>
      </c>
      <c r="S17" s="71">
        <f t="shared" si="4"/>
        <v>1437727</v>
      </c>
      <c r="T17" s="71">
        <f t="shared" si="4"/>
        <v>2626358</v>
      </c>
      <c r="U17" s="71">
        <f t="shared" si="4"/>
        <v>2013541</v>
      </c>
      <c r="V17" s="71">
        <f t="shared" si="4"/>
        <v>2407495</v>
      </c>
      <c r="W17" s="71">
        <f t="shared" si="4"/>
        <v>1262636</v>
      </c>
      <c r="X17" s="71">
        <f t="shared" si="4"/>
        <v>1875453</v>
      </c>
      <c r="Y17" s="71">
        <f t="shared" si="4"/>
        <v>1175091</v>
      </c>
      <c r="Z17" s="71">
        <f t="shared" si="4"/>
        <v>1875453</v>
      </c>
      <c r="AA17" s="71">
        <f t="shared" si="4"/>
        <v>1087546</v>
      </c>
      <c r="AB17" s="71">
        <f t="shared" si="4"/>
        <v>1987277</v>
      </c>
      <c r="AC17" s="71">
        <f t="shared" si="4"/>
        <v>1987277</v>
      </c>
      <c r="AD17" s="71">
        <f t="shared" si="4"/>
        <v>1996032</v>
      </c>
      <c r="AE17" s="71">
        <f t="shared" si="4"/>
        <v>1838451</v>
      </c>
      <c r="AF17" s="71">
        <f t="shared" si="4"/>
        <v>1262636</v>
      </c>
      <c r="AG17" s="71">
        <f t="shared" si="4"/>
        <v>1175091</v>
      </c>
      <c r="AH17" s="71">
        <f t="shared" si="4"/>
        <v>1262636</v>
      </c>
      <c r="AI17" s="71">
        <f t="shared" si="4"/>
        <v>1969768</v>
      </c>
      <c r="AJ17" s="71">
        <f t="shared" si="4"/>
        <v>2801448</v>
      </c>
      <c r="AK17" s="71">
        <f t="shared" si="4"/>
        <v>1000000</v>
      </c>
      <c r="AL17" s="71">
        <f t="shared" si="4"/>
        <v>1000000</v>
      </c>
      <c r="AM17" s="71">
        <f t="shared" si="4"/>
        <v>1000000</v>
      </c>
      <c r="AN17" s="71">
        <f t="shared" si="4"/>
        <v>4377263</v>
      </c>
      <c r="AO17" s="71">
        <f t="shared" si="4"/>
        <v>2013541</v>
      </c>
      <c r="AP17" s="71">
        <f t="shared" si="4"/>
        <v>5865532</v>
      </c>
      <c r="AQ17" s="71">
        <f t="shared" si="4"/>
        <v>2013541</v>
      </c>
      <c r="AR17" s="71">
        <f t="shared" si="4"/>
        <v>5252715</v>
      </c>
      <c r="AS17" s="71">
        <f t="shared" si="4"/>
        <v>4814989</v>
      </c>
      <c r="AT17" s="71">
        <f t="shared" si="4"/>
        <v>5252715</v>
      </c>
      <c r="AU17" s="71">
        <f t="shared" si="4"/>
        <v>5252715</v>
      </c>
      <c r="AV17" s="71">
        <f t="shared" si="4"/>
        <v>4814989</v>
      </c>
      <c r="AW17" s="71">
        <f t="shared" si="4"/>
        <v>5252715</v>
      </c>
      <c r="AX17" s="71">
        <f t="shared" si="4"/>
        <v>5252715</v>
      </c>
      <c r="AY17" s="71">
        <f t="shared" si="4"/>
        <v>5252715</v>
      </c>
      <c r="AZ17" s="71">
        <f t="shared" si="4"/>
        <v>4814989</v>
      </c>
      <c r="BA17" s="71">
        <f t="shared" si="4"/>
        <v>4814989</v>
      </c>
      <c r="BB17" s="71">
        <f t="shared" si="4"/>
        <v>4814989</v>
      </c>
      <c r="BC17" s="71">
        <f t="shared" si="4"/>
        <v>1875453</v>
      </c>
      <c r="BD17" s="71">
        <f t="shared" si="4"/>
        <v>124548</v>
      </c>
      <c r="BE17" s="71">
        <f t="shared" si="4"/>
        <v>124548</v>
      </c>
    </row>
    <row r="18" spans="1:57" ht="24" x14ac:dyDescent="0.25">
      <c r="A18" s="56" t="s">
        <v>150</v>
      </c>
      <c r="B18" s="71">
        <f>B11+B12</f>
        <v>7353801</v>
      </c>
      <c r="C18" s="71">
        <f t="shared" ref="C18:BE18" si="5">C11+C12</f>
        <v>7353801</v>
      </c>
      <c r="D18" s="71">
        <f t="shared" si="5"/>
        <v>4377263</v>
      </c>
      <c r="E18" s="71">
        <f t="shared" si="5"/>
        <v>5252715</v>
      </c>
      <c r="F18" s="71">
        <f t="shared" si="5"/>
        <v>5252715</v>
      </c>
      <c r="G18" s="71">
        <f t="shared" si="5"/>
        <v>5252715</v>
      </c>
      <c r="H18" s="71">
        <f t="shared" si="5"/>
        <v>5252715</v>
      </c>
      <c r="I18" s="71">
        <f t="shared" si="5"/>
        <v>3225634</v>
      </c>
      <c r="J18" s="71">
        <f t="shared" si="5"/>
        <v>4377263</v>
      </c>
      <c r="K18" s="71">
        <f t="shared" si="5"/>
        <v>8054163</v>
      </c>
      <c r="L18" s="71">
        <f t="shared" si="5"/>
        <v>3488269</v>
      </c>
      <c r="M18" s="71">
        <f t="shared" si="5"/>
        <v>2787907</v>
      </c>
      <c r="N18" s="71">
        <f t="shared" si="5"/>
        <v>2000000</v>
      </c>
      <c r="O18" s="71">
        <f t="shared" si="5"/>
        <v>2000000</v>
      </c>
      <c r="P18" s="71">
        <f t="shared" si="5"/>
        <v>2000000</v>
      </c>
      <c r="Q18" s="71">
        <f t="shared" si="5"/>
        <v>8754525</v>
      </c>
      <c r="R18" s="71">
        <f t="shared" si="5"/>
        <v>4377263</v>
      </c>
      <c r="S18" s="71">
        <f t="shared" si="5"/>
        <v>2875453</v>
      </c>
      <c r="T18" s="71">
        <f t="shared" si="5"/>
        <v>5252715</v>
      </c>
      <c r="U18" s="71">
        <f t="shared" si="5"/>
        <v>4027082</v>
      </c>
      <c r="V18" s="71">
        <f t="shared" si="5"/>
        <v>4814989</v>
      </c>
      <c r="W18" s="71">
        <f t="shared" si="5"/>
        <v>2525272</v>
      </c>
      <c r="X18" s="71">
        <f t="shared" si="5"/>
        <v>3750905</v>
      </c>
      <c r="Y18" s="71">
        <f t="shared" si="5"/>
        <v>2350181</v>
      </c>
      <c r="Z18" s="71">
        <f t="shared" si="5"/>
        <v>3750905</v>
      </c>
      <c r="AA18" s="71">
        <f t="shared" si="5"/>
        <v>2175091</v>
      </c>
      <c r="AB18" s="71">
        <f t="shared" si="5"/>
        <v>3974554</v>
      </c>
      <c r="AC18" s="71">
        <f t="shared" si="5"/>
        <v>3974554</v>
      </c>
      <c r="AD18" s="71">
        <f t="shared" si="5"/>
        <v>3992063</v>
      </c>
      <c r="AE18" s="71">
        <f t="shared" si="5"/>
        <v>3676901</v>
      </c>
      <c r="AF18" s="71">
        <f t="shared" si="5"/>
        <v>2525272</v>
      </c>
      <c r="AG18" s="71">
        <f t="shared" si="5"/>
        <v>2350181</v>
      </c>
      <c r="AH18" s="71">
        <f t="shared" si="5"/>
        <v>2525272</v>
      </c>
      <c r="AI18" s="71">
        <f t="shared" si="5"/>
        <v>3939536</v>
      </c>
      <c r="AJ18" s="71">
        <f t="shared" si="5"/>
        <v>5602896</v>
      </c>
      <c r="AK18" s="71">
        <f t="shared" si="5"/>
        <v>2000000</v>
      </c>
      <c r="AL18" s="71">
        <f t="shared" si="5"/>
        <v>2000000</v>
      </c>
      <c r="AM18" s="71">
        <f t="shared" si="5"/>
        <v>2000000</v>
      </c>
      <c r="AN18" s="71">
        <f t="shared" si="5"/>
        <v>8754525</v>
      </c>
      <c r="AO18" s="71">
        <f t="shared" si="5"/>
        <v>4027082</v>
      </c>
      <c r="AP18" s="71">
        <f t="shared" si="5"/>
        <v>11731064</v>
      </c>
      <c r="AQ18" s="71">
        <f t="shared" si="5"/>
        <v>4027082</v>
      </c>
      <c r="AR18" s="71">
        <f t="shared" si="5"/>
        <v>10505430</v>
      </c>
      <c r="AS18" s="71">
        <f t="shared" si="5"/>
        <v>9629978</v>
      </c>
      <c r="AT18" s="71">
        <f t="shared" si="5"/>
        <v>10505430</v>
      </c>
      <c r="AU18" s="71">
        <f t="shared" si="5"/>
        <v>10505430</v>
      </c>
      <c r="AV18" s="71">
        <f t="shared" si="5"/>
        <v>9629978</v>
      </c>
      <c r="AW18" s="71">
        <f t="shared" si="5"/>
        <v>10505430</v>
      </c>
      <c r="AX18" s="71">
        <f t="shared" si="5"/>
        <v>10505430</v>
      </c>
      <c r="AY18" s="71">
        <f t="shared" si="5"/>
        <v>10505430</v>
      </c>
      <c r="AZ18" s="71">
        <f t="shared" si="5"/>
        <v>9629978</v>
      </c>
      <c r="BA18" s="71">
        <f t="shared" si="5"/>
        <v>9629978</v>
      </c>
      <c r="BB18" s="71">
        <f t="shared" si="5"/>
        <v>9629978</v>
      </c>
      <c r="BC18" s="71">
        <f t="shared" si="5"/>
        <v>3750905</v>
      </c>
      <c r="BD18" s="71">
        <f t="shared" si="5"/>
        <v>249095</v>
      </c>
      <c r="BE18" s="71">
        <f t="shared" si="5"/>
        <v>249095</v>
      </c>
    </row>
    <row r="19" spans="1:57" ht="36" x14ac:dyDescent="0.25">
      <c r="A19" s="56" t="s">
        <v>151</v>
      </c>
      <c r="B19" s="71">
        <f>ROUND(('DATOS INICIALES'!$B$12*12)/40,0)</f>
        <v>525272</v>
      </c>
      <c r="C19" s="71">
        <f>ROUND(('DATOS INICIALES'!$B$12*12)/40,0)</f>
        <v>525272</v>
      </c>
      <c r="D19" s="71">
        <f>ROUND(('DATOS INICIALES'!$B$12*12)/40,0)</f>
        <v>525272</v>
      </c>
      <c r="E19" s="71">
        <f>ROUND(('DATOS INICIALES'!$B$12*12)/40,0)</f>
        <v>525272</v>
      </c>
      <c r="F19" s="71">
        <f>ROUND(('DATOS INICIALES'!$B$12*12)/40,0)</f>
        <v>525272</v>
      </c>
      <c r="G19" s="71">
        <f>ROUND(('DATOS INICIALES'!$B$12*12)/40,0)</f>
        <v>525272</v>
      </c>
      <c r="H19" s="71">
        <f>ROUND(('DATOS INICIALES'!$B$12*12)/40,0)</f>
        <v>525272</v>
      </c>
      <c r="I19" s="71">
        <f>ROUND(('DATOS INICIALES'!$B$12*12)/40,0)</f>
        <v>525272</v>
      </c>
      <c r="J19" s="71">
        <f>ROUND(('DATOS INICIALES'!$B$12*12)/40,0)</f>
        <v>525272</v>
      </c>
      <c r="K19" s="71">
        <f>ROUND(('DATOS INICIALES'!$B$12*12)/40,0)</f>
        <v>525272</v>
      </c>
      <c r="L19" s="71">
        <f>ROUND(('DATOS INICIALES'!$B$12*12)/40,0)</f>
        <v>525272</v>
      </c>
      <c r="M19" s="71">
        <f>ROUND(('DATOS INICIALES'!$B$12*12)/40,0)</f>
        <v>525272</v>
      </c>
      <c r="N19" s="71">
        <f>ROUND(('DATOS INICIALES'!$B$12*12)/40,0)</f>
        <v>525272</v>
      </c>
      <c r="O19" s="71">
        <f>ROUND(('DATOS INICIALES'!$B$12*12)/40,0)</f>
        <v>525272</v>
      </c>
      <c r="P19" s="71">
        <f>ROUND(('DATOS INICIALES'!$B$12*12)/40,0)</f>
        <v>525272</v>
      </c>
      <c r="Q19" s="71">
        <f>ROUND(('DATOS INICIALES'!$B$12*12)/40,0)</f>
        <v>525272</v>
      </c>
      <c r="R19" s="71">
        <f>ROUND(('DATOS INICIALES'!$B$12*12)/40,0)</f>
        <v>525272</v>
      </c>
      <c r="S19" s="71">
        <f>ROUND(('DATOS INICIALES'!$B$12*12)/40,0)</f>
        <v>525272</v>
      </c>
      <c r="T19" s="71">
        <f>ROUND(('DATOS INICIALES'!$B$12*12)/40,0)</f>
        <v>525272</v>
      </c>
      <c r="U19" s="71">
        <f>ROUND(('DATOS INICIALES'!$B$12*12)/40,0)</f>
        <v>525272</v>
      </c>
      <c r="V19" s="71">
        <f>ROUND(('DATOS INICIALES'!$B$12*12)/40,0)</f>
        <v>525272</v>
      </c>
      <c r="W19" s="71">
        <f>ROUND(('DATOS INICIALES'!$B$12*12)/40,0)</f>
        <v>525272</v>
      </c>
      <c r="X19" s="71">
        <f>ROUND(('DATOS INICIALES'!$B$12*12)/40,0)</f>
        <v>525272</v>
      </c>
      <c r="Y19" s="71">
        <f>ROUND(('DATOS INICIALES'!$B$12*12)/40,0)</f>
        <v>525272</v>
      </c>
      <c r="Z19" s="71">
        <f>ROUND(('DATOS INICIALES'!$B$12*12)/40,0)</f>
        <v>525272</v>
      </c>
      <c r="AA19" s="71">
        <f>ROUND(('DATOS INICIALES'!$B$12*12)/40,0)</f>
        <v>525272</v>
      </c>
      <c r="AB19" s="71">
        <f>ROUND(('DATOS INICIALES'!$B$12*12)/40,0)</f>
        <v>525272</v>
      </c>
      <c r="AC19" s="71">
        <f>ROUND(('DATOS INICIALES'!$B$12*12)/40,0)</f>
        <v>525272</v>
      </c>
      <c r="AD19" s="71">
        <f>ROUND(('DATOS INICIALES'!$B$12*12)/40,0)</f>
        <v>525272</v>
      </c>
      <c r="AE19" s="71">
        <f>ROUND(('DATOS INICIALES'!$B$12*12)/40,0)</f>
        <v>525272</v>
      </c>
      <c r="AF19" s="71">
        <f>ROUND(('DATOS INICIALES'!$B$12*12)/40,0)</f>
        <v>525272</v>
      </c>
      <c r="AG19" s="71">
        <f>ROUND(('DATOS INICIALES'!$B$12*12)/40,0)</f>
        <v>525272</v>
      </c>
      <c r="AH19" s="71">
        <f>ROUND(('DATOS INICIALES'!$B$12*12)/40,0)</f>
        <v>525272</v>
      </c>
      <c r="AI19" s="71">
        <f>ROUND(('DATOS INICIALES'!$B$12*12)/40,0)</f>
        <v>525272</v>
      </c>
      <c r="AJ19" s="71">
        <f>ROUND(('DATOS INICIALES'!$B$12*12)/40,0)</f>
        <v>525272</v>
      </c>
      <c r="AK19" s="71">
        <f>ROUND(('DATOS INICIALES'!$B$12*12)/40,0)</f>
        <v>525272</v>
      </c>
      <c r="AL19" s="71">
        <f>ROUND(('DATOS INICIALES'!$B$12*12)/40,0)</f>
        <v>525272</v>
      </c>
      <c r="AM19" s="71">
        <f>ROUND(('DATOS INICIALES'!$B$12*12)/40,0)</f>
        <v>525272</v>
      </c>
      <c r="AN19" s="71">
        <f>ROUND(('DATOS INICIALES'!$B$12*12)/40,0)</f>
        <v>525272</v>
      </c>
      <c r="AO19" s="71">
        <f>ROUND(('DATOS INICIALES'!$B$12*12)/40,0)</f>
        <v>525272</v>
      </c>
      <c r="AP19" s="71">
        <f>ROUND(('DATOS INICIALES'!$B$12*12)/40,0)</f>
        <v>525272</v>
      </c>
      <c r="AQ19" s="71">
        <f>ROUND(('DATOS INICIALES'!$B$12*12)/40,0)</f>
        <v>525272</v>
      </c>
      <c r="AR19" s="71">
        <f>ROUND(('DATOS INICIALES'!$B$12*12)/40,0)</f>
        <v>525272</v>
      </c>
      <c r="AS19" s="71">
        <f>ROUND(('DATOS INICIALES'!$B$12*12)/40,0)</f>
        <v>525272</v>
      </c>
      <c r="AT19" s="71">
        <f>ROUND(('DATOS INICIALES'!$B$12*12)/40,0)</f>
        <v>525272</v>
      </c>
      <c r="AU19" s="71">
        <f>ROUND(('DATOS INICIALES'!$B$12*12)/40,0)</f>
        <v>525272</v>
      </c>
      <c r="AV19" s="71">
        <f>ROUND(('DATOS INICIALES'!$B$12*12)/40,0)</f>
        <v>525272</v>
      </c>
      <c r="AW19" s="71">
        <f>ROUND(('DATOS INICIALES'!$B$12*12)/40,0)</f>
        <v>525272</v>
      </c>
      <c r="AX19" s="71">
        <f>ROUND(('DATOS INICIALES'!$B$12*12)/40,0)</f>
        <v>525272</v>
      </c>
      <c r="AY19" s="71">
        <f>ROUND(('DATOS INICIALES'!$B$12*12)/40,0)</f>
        <v>525272</v>
      </c>
      <c r="AZ19" s="71">
        <f>ROUND(('DATOS INICIALES'!$B$12*12)/40,0)</f>
        <v>525272</v>
      </c>
      <c r="BA19" s="71">
        <f>ROUND(('DATOS INICIALES'!$B$12*12)/40,0)</f>
        <v>525272</v>
      </c>
      <c r="BB19" s="71">
        <f>ROUND(('DATOS INICIALES'!$B$12*12)/40,0)</f>
        <v>525272</v>
      </c>
      <c r="BC19" s="71">
        <f>ROUND(('DATOS INICIALES'!$B$12*12)/40,0)</f>
        <v>525272</v>
      </c>
      <c r="BD19" s="71">
        <f>ROUND(('DATOS INICIALES'!$B$12*12)/40,0)</f>
        <v>525272</v>
      </c>
      <c r="BE19" s="71">
        <f>ROUND(('DATOS INICIALES'!$B$12*12)/40,0)</f>
        <v>525272</v>
      </c>
    </row>
    <row r="20" spans="1:57" ht="36" x14ac:dyDescent="0.25">
      <c r="A20" s="56" t="s">
        <v>152</v>
      </c>
      <c r="B20" s="71">
        <f>IF('DATOS INICIALES'!B14="NO",('FACTOR PRESTACIONAL'!B13+'FACTOR PRESTACIONAL'!B14)*0.085,0)</f>
        <v>0</v>
      </c>
      <c r="C20" s="71">
        <f>IF('DATOS INICIALES'!C14="NO",('FACTOR PRESTACIONAL'!C13+'FACTOR PRESTACIONAL'!C14)*0.085,0)</f>
        <v>0</v>
      </c>
      <c r="D20" s="71">
        <f>IF('DATOS INICIALES'!D14="NO",('FACTOR PRESTACIONAL'!D13+'FACTOR PRESTACIONAL'!D14)*0.085,0)</f>
        <v>0</v>
      </c>
      <c r="E20" s="71">
        <f>IF('DATOS INICIALES'!E14="NO",('FACTOR PRESTACIONAL'!E13+'FACTOR PRESTACIONAL'!E14)*0.085,0)</f>
        <v>0</v>
      </c>
      <c r="F20" s="71">
        <f>IF('DATOS INICIALES'!F14="NO",('FACTOR PRESTACIONAL'!F13+'FACTOR PRESTACIONAL'!F14)*0.085,0)</f>
        <v>0</v>
      </c>
      <c r="G20" s="71">
        <f>IF('DATOS INICIALES'!G14="NO",('FACTOR PRESTACIONAL'!G13+'FACTOR PRESTACIONAL'!G14)*0.085,0)</f>
        <v>0</v>
      </c>
      <c r="H20" s="71">
        <f>IF('DATOS INICIALES'!H14="NO",('FACTOR PRESTACIONAL'!H13+'FACTOR PRESTACIONAL'!H14)*0.085,0)</f>
        <v>0</v>
      </c>
      <c r="I20" s="71">
        <f>IF('DATOS INICIALES'!I14="NO",('FACTOR PRESTACIONAL'!I13+'FACTOR PRESTACIONAL'!I14)*0.085,0)</f>
        <v>0</v>
      </c>
      <c r="J20" s="71">
        <f>IF('DATOS INICIALES'!J14="NO",('FACTOR PRESTACIONAL'!J13+'FACTOR PRESTACIONAL'!J14)*0.085,0)</f>
        <v>0</v>
      </c>
      <c r="K20" s="71">
        <f>IF('DATOS INICIALES'!K14="NO",('FACTOR PRESTACIONAL'!K13+'FACTOR PRESTACIONAL'!K14)*0.085,0)</f>
        <v>0</v>
      </c>
      <c r="L20" s="71">
        <f>IF('DATOS INICIALES'!L14="NO",('FACTOR PRESTACIONAL'!L13+'FACTOR PRESTACIONAL'!L14)*0.085,0)</f>
        <v>0</v>
      </c>
      <c r="M20" s="71">
        <f>IF('DATOS INICIALES'!M14="NO",('FACTOR PRESTACIONAL'!M13+'FACTOR PRESTACIONAL'!M14)*0.085,0)</f>
        <v>0</v>
      </c>
      <c r="N20" s="71">
        <f>IF('DATOS INICIALES'!N14="NO",('FACTOR PRESTACIONAL'!N13+'FACTOR PRESTACIONAL'!N14)*0.085,0)</f>
        <v>0</v>
      </c>
      <c r="O20" s="71">
        <f>IF('DATOS INICIALES'!O14="NO",('FACTOR PRESTACIONAL'!O13+'FACTOR PRESTACIONAL'!O14)*0.085,0)</f>
        <v>0</v>
      </c>
      <c r="P20" s="71">
        <f>IF('DATOS INICIALES'!P14="NO",('FACTOR PRESTACIONAL'!P13+'FACTOR PRESTACIONAL'!P14)*0.085,0)</f>
        <v>0</v>
      </c>
      <c r="Q20" s="71">
        <f>IF('DATOS INICIALES'!Q14="NO",('FACTOR PRESTACIONAL'!Q13+'FACTOR PRESTACIONAL'!Q14)*0.085,0)</f>
        <v>0</v>
      </c>
      <c r="R20" s="71">
        <f>IF('DATOS INICIALES'!R14="NO",('FACTOR PRESTACIONAL'!R13+'FACTOR PRESTACIONAL'!R14)*0.085,0)</f>
        <v>0</v>
      </c>
      <c r="S20" s="71">
        <f>IF('DATOS INICIALES'!S14="NO",('FACTOR PRESTACIONAL'!S13+'FACTOR PRESTACIONAL'!S14)*0.085,0)</f>
        <v>0</v>
      </c>
      <c r="T20" s="71">
        <f>IF('DATOS INICIALES'!T14="NO",('FACTOR PRESTACIONAL'!T13+'FACTOR PRESTACIONAL'!T14)*0.085,0)</f>
        <v>0</v>
      </c>
      <c r="U20" s="71">
        <f>IF('DATOS INICIALES'!U14="NO",('FACTOR PRESTACIONAL'!U13+'FACTOR PRESTACIONAL'!U14)*0.085,0)</f>
        <v>0</v>
      </c>
      <c r="V20" s="71">
        <f>IF('DATOS INICIALES'!V14="NO",('FACTOR PRESTACIONAL'!V13+'FACTOR PRESTACIONAL'!V14)*0.085,0)</f>
        <v>0</v>
      </c>
      <c r="W20" s="71">
        <f>IF('DATOS INICIALES'!W14="NO",('FACTOR PRESTACIONAL'!W13+'FACTOR PRESTACIONAL'!W14)*0.085,0)</f>
        <v>0</v>
      </c>
      <c r="X20" s="71">
        <f>IF('DATOS INICIALES'!X14="NO",('FACTOR PRESTACIONAL'!X13+'FACTOR PRESTACIONAL'!X14)*0.085,0)</f>
        <v>0</v>
      </c>
      <c r="Y20" s="71">
        <f>IF('DATOS INICIALES'!Y14="NO",('FACTOR PRESTACIONAL'!Y13+'FACTOR PRESTACIONAL'!Y14)*0.085,0)</f>
        <v>0</v>
      </c>
      <c r="Z20" s="71">
        <f>IF('DATOS INICIALES'!Z14="NO",('FACTOR PRESTACIONAL'!Z13+'FACTOR PRESTACIONAL'!Z14)*0.085,0)</f>
        <v>0</v>
      </c>
      <c r="AA20" s="71">
        <f>IF('DATOS INICIALES'!AA14="NO",('FACTOR PRESTACIONAL'!AA13+'FACTOR PRESTACIONAL'!AA14)*0.085,0)</f>
        <v>0</v>
      </c>
      <c r="AB20" s="71">
        <f>IF('DATOS INICIALES'!AB14="NO",('FACTOR PRESTACIONAL'!AB13+'FACTOR PRESTACIONAL'!AB14)*0.085,0)</f>
        <v>0</v>
      </c>
      <c r="AC20" s="71">
        <f>IF('DATOS INICIALES'!AC14="NO",('FACTOR PRESTACIONAL'!AC13+'FACTOR PRESTACIONAL'!AC14)*0.085,0)</f>
        <v>0</v>
      </c>
      <c r="AD20" s="71">
        <f>IF('DATOS INICIALES'!AD14="NO",('FACTOR PRESTACIONAL'!AD13+'FACTOR PRESTACIONAL'!AD14)*0.085,0)</f>
        <v>0</v>
      </c>
      <c r="AE20" s="71">
        <f>IF('DATOS INICIALES'!AE14="NO",('FACTOR PRESTACIONAL'!AE13+'FACTOR PRESTACIONAL'!AE14)*0.085,0)</f>
        <v>0</v>
      </c>
      <c r="AF20" s="71">
        <f>IF('DATOS INICIALES'!AF14="NO",('FACTOR PRESTACIONAL'!AF13+'FACTOR PRESTACIONAL'!AF14)*0.085,0)</f>
        <v>0</v>
      </c>
      <c r="AG20" s="71">
        <f>IF('DATOS INICIALES'!AG14="NO",('FACTOR PRESTACIONAL'!AG13+'FACTOR PRESTACIONAL'!AG14)*0.085,0)</f>
        <v>0</v>
      </c>
      <c r="AH20" s="71">
        <f>IF('DATOS INICIALES'!AH14="NO",('FACTOR PRESTACIONAL'!AH13+'FACTOR PRESTACIONAL'!AH14)*0.085,0)</f>
        <v>0</v>
      </c>
      <c r="AI20" s="71">
        <f>IF('DATOS INICIALES'!AI14="NO",('FACTOR PRESTACIONAL'!AI13+'FACTOR PRESTACIONAL'!AI14)*0.085,0)</f>
        <v>0</v>
      </c>
      <c r="AJ20" s="71">
        <f>IF('DATOS INICIALES'!AJ14="NO",('FACTOR PRESTACIONAL'!AJ13+'FACTOR PRESTACIONAL'!AJ14)*0.085,0)</f>
        <v>0</v>
      </c>
      <c r="AK20" s="71">
        <f>IF('DATOS INICIALES'!AK14="NO",('FACTOR PRESTACIONAL'!AK13+'FACTOR PRESTACIONAL'!AK14)*0.085,0)</f>
        <v>0</v>
      </c>
      <c r="AL20" s="71">
        <f>IF('DATOS INICIALES'!AL14="NO",('FACTOR PRESTACIONAL'!AL13+'FACTOR PRESTACIONAL'!AL14)*0.085,0)</f>
        <v>0</v>
      </c>
      <c r="AM20" s="71">
        <f>IF('DATOS INICIALES'!AM14="NO",('FACTOR PRESTACIONAL'!AM13+'FACTOR PRESTACIONAL'!AM14)*0.085,0)</f>
        <v>0</v>
      </c>
      <c r="AN20" s="71">
        <f>IF('DATOS INICIALES'!AN14="NO",('FACTOR PRESTACIONAL'!AN13+'FACTOR PRESTACIONAL'!AN14)*0.085,0)</f>
        <v>0</v>
      </c>
      <c r="AO20" s="71">
        <f>IF('DATOS INICIALES'!AO14="NO",('FACTOR PRESTACIONAL'!AO13+'FACTOR PRESTACIONAL'!AO14)*0.085,0)</f>
        <v>0</v>
      </c>
      <c r="AP20" s="71">
        <f>IF('DATOS INICIALES'!AP14="NO",('FACTOR PRESTACIONAL'!AP13+'FACTOR PRESTACIONAL'!AP14)*0.085,0)</f>
        <v>0</v>
      </c>
      <c r="AQ20" s="71">
        <f>IF('DATOS INICIALES'!AQ14="NO",('FACTOR PRESTACIONAL'!AQ13+'FACTOR PRESTACIONAL'!AQ14)*0.085,0)</f>
        <v>0</v>
      </c>
      <c r="AR20" s="71">
        <f>IF('DATOS INICIALES'!AR14="NO",('FACTOR PRESTACIONAL'!AR13+'FACTOR PRESTACIONAL'!AR14)*0.085,0)</f>
        <v>0</v>
      </c>
      <c r="AS20" s="71">
        <f>IF('DATOS INICIALES'!AS14="NO",('FACTOR PRESTACIONAL'!AS13+'FACTOR PRESTACIONAL'!AS14)*0.085,0)</f>
        <v>0</v>
      </c>
      <c r="AT20" s="71">
        <f>IF('DATOS INICIALES'!AT14="NO",('FACTOR PRESTACIONAL'!AT13+'FACTOR PRESTACIONAL'!AT14)*0.085,0)</f>
        <v>0</v>
      </c>
      <c r="AU20" s="71">
        <f>IF('DATOS INICIALES'!AU14="NO",('FACTOR PRESTACIONAL'!AU13+'FACTOR PRESTACIONAL'!AU14)*0.085,0)</f>
        <v>0</v>
      </c>
      <c r="AV20" s="71">
        <f>IF('DATOS INICIALES'!AV14="NO",('FACTOR PRESTACIONAL'!AV13+'FACTOR PRESTACIONAL'!AV14)*0.085,0)</f>
        <v>0</v>
      </c>
      <c r="AW20" s="71">
        <f>IF('DATOS INICIALES'!AW14="NO",('FACTOR PRESTACIONAL'!AW13+'FACTOR PRESTACIONAL'!AW14)*0.085,0)</f>
        <v>0</v>
      </c>
      <c r="AX20" s="71">
        <f>IF('DATOS INICIALES'!AX14="NO",('FACTOR PRESTACIONAL'!AX13+'FACTOR PRESTACIONAL'!AX14)*0.085,0)</f>
        <v>0</v>
      </c>
      <c r="AY20" s="71">
        <f>IF('DATOS INICIALES'!AY14="NO",('FACTOR PRESTACIONAL'!AY13+'FACTOR PRESTACIONAL'!AY14)*0.085,0)</f>
        <v>0</v>
      </c>
      <c r="AZ20" s="71">
        <f>IF('DATOS INICIALES'!AZ14="NO",('FACTOR PRESTACIONAL'!AZ13+'FACTOR PRESTACIONAL'!AZ14)*0.085,0)</f>
        <v>0</v>
      </c>
      <c r="BA20" s="71">
        <f>IF('DATOS INICIALES'!BA14="NO",('FACTOR PRESTACIONAL'!BA13+'FACTOR PRESTACIONAL'!BA14)*0.085,0)</f>
        <v>0</v>
      </c>
      <c r="BB20" s="71">
        <f>IF('DATOS INICIALES'!BB14="NO",('FACTOR PRESTACIONAL'!BB13+'FACTOR PRESTACIONAL'!BB14)*0.085,0)</f>
        <v>0</v>
      </c>
      <c r="BC20" s="71">
        <f>IF('DATOS INICIALES'!BC14="NO",('FACTOR PRESTACIONAL'!BC13+'FACTOR PRESTACIONAL'!BC14)*0.085,0)</f>
        <v>0</v>
      </c>
      <c r="BD20" s="71">
        <f>IF('DATOS INICIALES'!BD14="NO",('FACTOR PRESTACIONAL'!BD13+'FACTOR PRESTACIONAL'!BD14)*0.085,0)</f>
        <v>0</v>
      </c>
      <c r="BE20" s="71">
        <f>IF('DATOS INICIALES'!BE14="NO",('FACTOR PRESTACIONAL'!BE13+'FACTOR PRESTACIONAL'!BE14)*0.085,0)</f>
        <v>0</v>
      </c>
    </row>
    <row r="21" spans="1:57" ht="24" x14ac:dyDescent="0.25">
      <c r="A21" s="56" t="s">
        <v>153</v>
      </c>
      <c r="B21" s="71">
        <f>ROUND((B13+B14)*0.12,0)</f>
        <v>10589473</v>
      </c>
      <c r="C21" s="71">
        <f t="shared" ref="C21:BE21" si="6">ROUND((C13+C14)*0.12,0)</f>
        <v>10589473</v>
      </c>
      <c r="D21" s="71">
        <f t="shared" si="6"/>
        <v>6303259</v>
      </c>
      <c r="E21" s="71">
        <f t="shared" si="6"/>
        <v>7563910</v>
      </c>
      <c r="F21" s="71">
        <f t="shared" si="6"/>
        <v>7563910</v>
      </c>
      <c r="G21" s="71">
        <f t="shared" si="6"/>
        <v>7563910</v>
      </c>
      <c r="H21" s="71">
        <f t="shared" si="6"/>
        <v>7563910</v>
      </c>
      <c r="I21" s="71">
        <f t="shared" si="6"/>
        <v>4644913</v>
      </c>
      <c r="J21" s="71">
        <f t="shared" si="6"/>
        <v>6303259</v>
      </c>
      <c r="K21" s="71">
        <f t="shared" si="6"/>
        <v>11597995</v>
      </c>
      <c r="L21" s="71">
        <f t="shared" si="6"/>
        <v>5023107</v>
      </c>
      <c r="M21" s="71">
        <f t="shared" si="6"/>
        <v>4014586</v>
      </c>
      <c r="N21" s="71">
        <f t="shared" si="6"/>
        <v>2880000</v>
      </c>
      <c r="O21" s="71">
        <f t="shared" si="6"/>
        <v>2880000</v>
      </c>
      <c r="P21" s="71">
        <f t="shared" si="6"/>
        <v>2880000</v>
      </c>
      <c r="Q21" s="71">
        <f t="shared" si="6"/>
        <v>12606516</v>
      </c>
      <c r="R21" s="71">
        <f t="shared" si="6"/>
        <v>6303259</v>
      </c>
      <c r="S21" s="71">
        <f t="shared" si="6"/>
        <v>4140652</v>
      </c>
      <c r="T21" s="71">
        <f t="shared" si="6"/>
        <v>7563910</v>
      </c>
      <c r="U21" s="71">
        <f t="shared" si="6"/>
        <v>5798998</v>
      </c>
      <c r="V21" s="71">
        <f t="shared" si="6"/>
        <v>6933584</v>
      </c>
      <c r="W21" s="71">
        <f t="shared" si="6"/>
        <v>3636392</v>
      </c>
      <c r="X21" s="71">
        <f t="shared" si="6"/>
        <v>5401303</v>
      </c>
      <c r="Y21" s="71">
        <f t="shared" si="6"/>
        <v>3384261</v>
      </c>
      <c r="Z21" s="71">
        <f t="shared" si="6"/>
        <v>5401303</v>
      </c>
      <c r="AA21" s="71">
        <f t="shared" si="6"/>
        <v>3132131</v>
      </c>
      <c r="AB21" s="71">
        <f t="shared" si="6"/>
        <v>5723358</v>
      </c>
      <c r="AC21" s="71">
        <f t="shared" si="6"/>
        <v>5723358</v>
      </c>
      <c r="AD21" s="71">
        <f t="shared" si="6"/>
        <v>5748571</v>
      </c>
      <c r="AE21" s="71">
        <f t="shared" si="6"/>
        <v>5294737</v>
      </c>
      <c r="AF21" s="71">
        <f t="shared" si="6"/>
        <v>3636392</v>
      </c>
      <c r="AG21" s="71">
        <f t="shared" si="6"/>
        <v>3384261</v>
      </c>
      <c r="AH21" s="71">
        <f t="shared" si="6"/>
        <v>3636392</v>
      </c>
      <c r="AI21" s="71">
        <f t="shared" si="6"/>
        <v>5672932</v>
      </c>
      <c r="AJ21" s="71">
        <f t="shared" si="6"/>
        <v>8068170</v>
      </c>
      <c r="AK21" s="71">
        <f t="shared" si="6"/>
        <v>2880000</v>
      </c>
      <c r="AL21" s="71">
        <f t="shared" si="6"/>
        <v>2880000</v>
      </c>
      <c r="AM21" s="71">
        <f t="shared" si="6"/>
        <v>2880000</v>
      </c>
      <c r="AN21" s="71">
        <f t="shared" si="6"/>
        <v>12606516</v>
      </c>
      <c r="AO21" s="71">
        <f t="shared" si="6"/>
        <v>5798998</v>
      </c>
      <c r="AP21" s="71">
        <f t="shared" si="6"/>
        <v>16892732</v>
      </c>
      <c r="AQ21" s="71">
        <f t="shared" si="6"/>
        <v>5798998</v>
      </c>
      <c r="AR21" s="71">
        <f t="shared" si="6"/>
        <v>15127819</v>
      </c>
      <c r="AS21" s="71">
        <f t="shared" si="6"/>
        <v>13867168</v>
      </c>
      <c r="AT21" s="71">
        <f t="shared" si="6"/>
        <v>15127819</v>
      </c>
      <c r="AU21" s="71">
        <f t="shared" si="6"/>
        <v>15127819</v>
      </c>
      <c r="AV21" s="71">
        <f t="shared" si="6"/>
        <v>13867168</v>
      </c>
      <c r="AW21" s="71">
        <f t="shared" si="6"/>
        <v>15127819</v>
      </c>
      <c r="AX21" s="71">
        <f t="shared" si="6"/>
        <v>15127819</v>
      </c>
      <c r="AY21" s="71">
        <f t="shared" si="6"/>
        <v>15127819</v>
      </c>
      <c r="AZ21" s="71">
        <f t="shared" si="6"/>
        <v>13867168</v>
      </c>
      <c r="BA21" s="71">
        <f t="shared" si="6"/>
        <v>13867168</v>
      </c>
      <c r="BB21" s="71">
        <f t="shared" si="6"/>
        <v>13867168</v>
      </c>
      <c r="BC21" s="71">
        <f t="shared" si="6"/>
        <v>5401303</v>
      </c>
      <c r="BD21" s="71">
        <f t="shared" si="6"/>
        <v>358697</v>
      </c>
      <c r="BE21" s="71">
        <f t="shared" si="6"/>
        <v>358697</v>
      </c>
    </row>
    <row r="22" spans="1:57" ht="24" x14ac:dyDescent="0.25">
      <c r="A22" s="56" t="s">
        <v>154</v>
      </c>
      <c r="B22" s="71">
        <f>ROUND((B13+B14)*'DATOS INICIALES'!$B$17,0)</f>
        <v>6141895</v>
      </c>
      <c r="C22" s="71">
        <f>ROUND((C13+C14)*'DATOS INICIALES'!$B$17,0)</f>
        <v>6141895</v>
      </c>
      <c r="D22" s="71">
        <f>ROUND((D13+D14)*'DATOS INICIALES'!$B$17,0)</f>
        <v>3655890</v>
      </c>
      <c r="E22" s="71">
        <f>ROUND((E13+E14)*'DATOS INICIALES'!$B$17,0)</f>
        <v>4387068</v>
      </c>
      <c r="F22" s="71">
        <f>ROUND((F13+F14)*'DATOS INICIALES'!$B$17,0)</f>
        <v>4387068</v>
      </c>
      <c r="G22" s="71">
        <f>ROUND((G13+G14)*'DATOS INICIALES'!$B$17,0)</f>
        <v>4387068</v>
      </c>
      <c r="H22" s="71">
        <f>ROUND((H13+H14)*'DATOS INICIALES'!$B$17,0)</f>
        <v>4387068</v>
      </c>
      <c r="I22" s="71">
        <f>ROUND((I13+I14)*'DATOS INICIALES'!$B$17,0)</f>
        <v>2694050</v>
      </c>
      <c r="J22" s="71">
        <f>ROUND((J13+J14)*'DATOS INICIALES'!$B$17,0)</f>
        <v>3655890</v>
      </c>
      <c r="K22" s="71">
        <f>ROUND((K13+K14)*'DATOS INICIALES'!$B$17,0)</f>
        <v>6726837</v>
      </c>
      <c r="L22" s="71">
        <f>ROUND((L13+L14)*'DATOS INICIALES'!$B$17,0)</f>
        <v>2913402</v>
      </c>
      <c r="M22" s="71">
        <f>ROUND((M13+M14)*'DATOS INICIALES'!$B$17,0)</f>
        <v>2328460</v>
      </c>
      <c r="N22" s="71">
        <f>ROUND((N13+N14)*'DATOS INICIALES'!$B$17,0)</f>
        <v>1670400</v>
      </c>
      <c r="O22" s="71">
        <f>ROUND((O13+O14)*'DATOS INICIALES'!$B$17,0)</f>
        <v>1670400</v>
      </c>
      <c r="P22" s="71">
        <f>ROUND((P13+P14)*'DATOS INICIALES'!$B$17,0)</f>
        <v>1670400</v>
      </c>
      <c r="Q22" s="71">
        <f>ROUND((Q13+Q14)*'DATOS INICIALES'!$B$17,0)</f>
        <v>7311779</v>
      </c>
      <c r="R22" s="71">
        <f>ROUND((R13+R14)*'DATOS INICIALES'!$B$17,0)</f>
        <v>3655890</v>
      </c>
      <c r="S22" s="71">
        <f>ROUND((S13+S14)*'DATOS INICIALES'!$B$17,0)</f>
        <v>2401578</v>
      </c>
      <c r="T22" s="71">
        <f>ROUND((T13+T14)*'DATOS INICIALES'!$B$17,0)</f>
        <v>4387068</v>
      </c>
      <c r="U22" s="71">
        <f>ROUND((U13+U14)*'DATOS INICIALES'!$B$17,0)</f>
        <v>3363419</v>
      </c>
      <c r="V22" s="71">
        <f>ROUND((V13+V14)*'DATOS INICIALES'!$B$17,0)</f>
        <v>4021479</v>
      </c>
      <c r="W22" s="71">
        <f>ROUND((W13+W14)*'DATOS INICIALES'!$B$17,0)</f>
        <v>2109107</v>
      </c>
      <c r="X22" s="71">
        <f>ROUND((X13+X14)*'DATOS INICIALES'!$B$17,0)</f>
        <v>3132756</v>
      </c>
      <c r="Y22" s="71">
        <f>ROUND((Y13+Y14)*'DATOS INICIALES'!$B$17,0)</f>
        <v>1962871</v>
      </c>
      <c r="Z22" s="71">
        <f>ROUND((Z13+Z14)*'DATOS INICIALES'!$B$17,0)</f>
        <v>3132756</v>
      </c>
      <c r="AA22" s="71">
        <f>ROUND((AA13+AA14)*'DATOS INICIALES'!$B$17,0)</f>
        <v>1816636</v>
      </c>
      <c r="AB22" s="71">
        <f>ROUND((AB13+AB14)*'DATOS INICIALES'!$B$17,0)</f>
        <v>3319548</v>
      </c>
      <c r="AC22" s="71">
        <f>ROUND((AC13+AC14)*'DATOS INICIALES'!$B$17,0)</f>
        <v>3319548</v>
      </c>
      <c r="AD22" s="71">
        <f>ROUND((AD13+AD14)*'DATOS INICIALES'!$B$17,0)</f>
        <v>3334171</v>
      </c>
      <c r="AE22" s="71">
        <f>ROUND((AE13+AE14)*'DATOS INICIALES'!$B$17,0)</f>
        <v>3070948</v>
      </c>
      <c r="AF22" s="71">
        <f>ROUND((AF13+AF14)*'DATOS INICIALES'!$B$17,0)</f>
        <v>2109107</v>
      </c>
      <c r="AG22" s="71">
        <f>ROUND((AG13+AG14)*'DATOS INICIALES'!$B$17,0)</f>
        <v>1962871</v>
      </c>
      <c r="AH22" s="71">
        <f>ROUND((AH13+AH14)*'DATOS INICIALES'!$B$17,0)</f>
        <v>2109107</v>
      </c>
      <c r="AI22" s="71">
        <f>ROUND((AI13+AI14)*'DATOS INICIALES'!$B$17,0)</f>
        <v>3290300</v>
      </c>
      <c r="AJ22" s="71">
        <f>ROUND((AJ13+AJ14)*'DATOS INICIALES'!$B$17,0)</f>
        <v>4679539</v>
      </c>
      <c r="AK22" s="71">
        <f>ROUND((AK13+AK14)*'DATOS INICIALES'!$B$17,0)</f>
        <v>1670400</v>
      </c>
      <c r="AL22" s="71">
        <f>ROUND((AL13+AL14)*'DATOS INICIALES'!$B$17,0)</f>
        <v>1670400</v>
      </c>
      <c r="AM22" s="71">
        <f>ROUND((AM13+AM14)*'DATOS INICIALES'!$B$17,0)</f>
        <v>1670400</v>
      </c>
      <c r="AN22" s="71">
        <f>ROUND((AN13+AN14)*'DATOS INICIALES'!$B$17,0)</f>
        <v>7311779</v>
      </c>
      <c r="AO22" s="71">
        <f>ROUND((AO13+AO14)*'DATOS INICIALES'!$B$17,0)</f>
        <v>3363419</v>
      </c>
      <c r="AP22" s="71">
        <f>ROUND((AP13+AP14)*'DATOS INICIALES'!$B$17,0)</f>
        <v>9797785</v>
      </c>
      <c r="AQ22" s="71">
        <f>ROUND((AQ13+AQ14)*'DATOS INICIALES'!$B$17,0)</f>
        <v>3363419</v>
      </c>
      <c r="AR22" s="71">
        <f>ROUND((AR13+AR14)*'DATOS INICIALES'!$B$17,0)</f>
        <v>8774135</v>
      </c>
      <c r="AS22" s="71">
        <f>ROUND((AS13+AS14)*'DATOS INICIALES'!$B$17,0)</f>
        <v>8042958</v>
      </c>
      <c r="AT22" s="71">
        <f>ROUND((AT13+AT14)*'DATOS INICIALES'!$B$17,0)</f>
        <v>8774135</v>
      </c>
      <c r="AU22" s="71">
        <f>ROUND((AU13+AU14)*'DATOS INICIALES'!$B$17,0)</f>
        <v>8774135</v>
      </c>
      <c r="AV22" s="71">
        <f>ROUND((AV13+AV14)*'DATOS INICIALES'!$B$17,0)</f>
        <v>8042958</v>
      </c>
      <c r="AW22" s="71">
        <f>ROUND((AW13+AW14)*'DATOS INICIALES'!$B$17,0)</f>
        <v>8774135</v>
      </c>
      <c r="AX22" s="71">
        <f>ROUND((AX13+AX14)*'DATOS INICIALES'!$B$17,0)</f>
        <v>8774135</v>
      </c>
      <c r="AY22" s="71">
        <f>ROUND((AY13+AY14)*'DATOS INICIALES'!$B$17,0)</f>
        <v>8774135</v>
      </c>
      <c r="AZ22" s="71">
        <f>ROUND((AZ13+AZ14)*'DATOS INICIALES'!$B$17,0)</f>
        <v>8042958</v>
      </c>
      <c r="BA22" s="71">
        <f>ROUND((BA13+BA14)*'DATOS INICIALES'!$B$17,0)</f>
        <v>8042958</v>
      </c>
      <c r="BB22" s="71">
        <f>ROUND((BB13+BB14)*'DATOS INICIALES'!$B$17,0)</f>
        <v>8042958</v>
      </c>
      <c r="BC22" s="71">
        <f>ROUND((BC13+BC14)*'DATOS INICIALES'!$B$17,0)</f>
        <v>3132756</v>
      </c>
      <c r="BD22" s="71">
        <f>ROUND((BD13+BD14)*'DATOS INICIALES'!$B$17,0)</f>
        <v>208044</v>
      </c>
      <c r="BE22" s="71">
        <f>ROUND((BE13+BE14)*'DATOS INICIALES'!$B$17,0)</f>
        <v>208044</v>
      </c>
    </row>
    <row r="23" spans="1:57" ht="24" x14ac:dyDescent="0.25">
      <c r="A23" s="56" t="s">
        <v>155</v>
      </c>
      <c r="B23" s="71">
        <f>ROUND((B13+B14)*0.04,0)</f>
        <v>3529824</v>
      </c>
      <c r="C23" s="71">
        <f t="shared" ref="C23:BE23" si="7">ROUND((C13+C14)*0.04,0)</f>
        <v>3529824</v>
      </c>
      <c r="D23" s="71">
        <f t="shared" si="7"/>
        <v>2101086</v>
      </c>
      <c r="E23" s="71">
        <f t="shared" si="7"/>
        <v>2521303</v>
      </c>
      <c r="F23" s="71">
        <f t="shared" si="7"/>
        <v>2521303</v>
      </c>
      <c r="G23" s="71">
        <f t="shared" si="7"/>
        <v>2521303</v>
      </c>
      <c r="H23" s="71">
        <f t="shared" si="7"/>
        <v>2521303</v>
      </c>
      <c r="I23" s="71">
        <f t="shared" si="7"/>
        <v>1548304</v>
      </c>
      <c r="J23" s="71">
        <f t="shared" si="7"/>
        <v>2101086</v>
      </c>
      <c r="K23" s="71">
        <f t="shared" si="7"/>
        <v>3865998</v>
      </c>
      <c r="L23" s="71">
        <f t="shared" si="7"/>
        <v>1674369</v>
      </c>
      <c r="M23" s="71">
        <f t="shared" si="7"/>
        <v>1338195</v>
      </c>
      <c r="N23" s="71">
        <f t="shared" si="7"/>
        <v>960000</v>
      </c>
      <c r="O23" s="71">
        <f t="shared" si="7"/>
        <v>960000</v>
      </c>
      <c r="P23" s="71">
        <f t="shared" si="7"/>
        <v>960000</v>
      </c>
      <c r="Q23" s="71">
        <f t="shared" si="7"/>
        <v>4202172</v>
      </c>
      <c r="R23" s="71">
        <f t="shared" si="7"/>
        <v>2101086</v>
      </c>
      <c r="S23" s="71">
        <f t="shared" si="7"/>
        <v>1380217</v>
      </c>
      <c r="T23" s="71">
        <f t="shared" si="7"/>
        <v>2521303</v>
      </c>
      <c r="U23" s="71">
        <f t="shared" si="7"/>
        <v>1932999</v>
      </c>
      <c r="V23" s="71">
        <f t="shared" si="7"/>
        <v>2311195</v>
      </c>
      <c r="W23" s="71">
        <f t="shared" si="7"/>
        <v>1212131</v>
      </c>
      <c r="X23" s="71">
        <f t="shared" si="7"/>
        <v>1800434</v>
      </c>
      <c r="Y23" s="71">
        <f t="shared" si="7"/>
        <v>1128087</v>
      </c>
      <c r="Z23" s="71">
        <f t="shared" si="7"/>
        <v>1800434</v>
      </c>
      <c r="AA23" s="71">
        <f t="shared" si="7"/>
        <v>1044044</v>
      </c>
      <c r="AB23" s="71">
        <f t="shared" si="7"/>
        <v>1907786</v>
      </c>
      <c r="AC23" s="71">
        <f t="shared" si="7"/>
        <v>1907786</v>
      </c>
      <c r="AD23" s="71">
        <f t="shared" si="7"/>
        <v>1916190</v>
      </c>
      <c r="AE23" s="71">
        <f t="shared" si="7"/>
        <v>1764912</v>
      </c>
      <c r="AF23" s="71">
        <f t="shared" si="7"/>
        <v>1212131</v>
      </c>
      <c r="AG23" s="71">
        <f t="shared" si="7"/>
        <v>1128087</v>
      </c>
      <c r="AH23" s="71">
        <f t="shared" si="7"/>
        <v>1212131</v>
      </c>
      <c r="AI23" s="71">
        <f t="shared" si="7"/>
        <v>1890977</v>
      </c>
      <c r="AJ23" s="71">
        <f t="shared" si="7"/>
        <v>2689390</v>
      </c>
      <c r="AK23" s="71">
        <f t="shared" si="7"/>
        <v>960000</v>
      </c>
      <c r="AL23" s="71">
        <f t="shared" si="7"/>
        <v>960000</v>
      </c>
      <c r="AM23" s="71">
        <f t="shared" si="7"/>
        <v>960000</v>
      </c>
      <c r="AN23" s="71">
        <f t="shared" si="7"/>
        <v>4202172</v>
      </c>
      <c r="AO23" s="71">
        <f t="shared" si="7"/>
        <v>1932999</v>
      </c>
      <c r="AP23" s="71">
        <f t="shared" si="7"/>
        <v>5630911</v>
      </c>
      <c r="AQ23" s="71">
        <f t="shared" si="7"/>
        <v>1932999</v>
      </c>
      <c r="AR23" s="71">
        <f t="shared" si="7"/>
        <v>5042606</v>
      </c>
      <c r="AS23" s="71">
        <f t="shared" si="7"/>
        <v>4622389</v>
      </c>
      <c r="AT23" s="71">
        <f t="shared" si="7"/>
        <v>5042606</v>
      </c>
      <c r="AU23" s="71">
        <f t="shared" si="7"/>
        <v>5042606</v>
      </c>
      <c r="AV23" s="71">
        <f t="shared" si="7"/>
        <v>4622389</v>
      </c>
      <c r="AW23" s="71">
        <f t="shared" si="7"/>
        <v>5042606</v>
      </c>
      <c r="AX23" s="71">
        <f t="shared" si="7"/>
        <v>5042606</v>
      </c>
      <c r="AY23" s="71">
        <f t="shared" si="7"/>
        <v>5042606</v>
      </c>
      <c r="AZ23" s="71">
        <f t="shared" si="7"/>
        <v>4622389</v>
      </c>
      <c r="BA23" s="71">
        <f t="shared" si="7"/>
        <v>4622389</v>
      </c>
      <c r="BB23" s="71">
        <f t="shared" si="7"/>
        <v>4622389</v>
      </c>
      <c r="BC23" s="71">
        <f t="shared" si="7"/>
        <v>1800434</v>
      </c>
      <c r="BD23" s="71">
        <f t="shared" si="7"/>
        <v>119566</v>
      </c>
      <c r="BE23" s="71">
        <f t="shared" si="7"/>
        <v>119566</v>
      </c>
    </row>
    <row r="24" spans="1:57" ht="24" x14ac:dyDescent="0.25">
      <c r="A24" s="56" t="s">
        <v>156</v>
      </c>
      <c r="B24" s="71">
        <f>IF('DATOS INICIALES'!B14="NO",('FACTOR PRESTACIONAL'!B13+'FACTOR PRESTACIONAL'!B14)*0.02,0)</f>
        <v>0</v>
      </c>
      <c r="C24" s="71">
        <f>IF('DATOS INICIALES'!C14="NO",('FACTOR PRESTACIONAL'!C13+'FACTOR PRESTACIONAL'!C14)*0.02,0)</f>
        <v>0</v>
      </c>
      <c r="D24" s="71">
        <f>IF('DATOS INICIALES'!D14="NO",('FACTOR PRESTACIONAL'!D13+'FACTOR PRESTACIONAL'!D14)*0.02,0)</f>
        <v>0</v>
      </c>
      <c r="E24" s="71">
        <f>IF('DATOS INICIALES'!E14="NO",('FACTOR PRESTACIONAL'!E13+'FACTOR PRESTACIONAL'!E14)*0.02,0)</f>
        <v>0</v>
      </c>
      <c r="F24" s="71">
        <f>IF('DATOS INICIALES'!F14="NO",('FACTOR PRESTACIONAL'!F13+'FACTOR PRESTACIONAL'!F14)*0.02,0)</f>
        <v>0</v>
      </c>
      <c r="G24" s="71">
        <f>IF('DATOS INICIALES'!G14="NO",('FACTOR PRESTACIONAL'!G13+'FACTOR PRESTACIONAL'!G14)*0.02,0)</f>
        <v>0</v>
      </c>
      <c r="H24" s="71">
        <f>IF('DATOS INICIALES'!H14="NO",('FACTOR PRESTACIONAL'!H13+'FACTOR PRESTACIONAL'!H14)*0.02,0)</f>
        <v>0</v>
      </c>
      <c r="I24" s="71">
        <f>IF('DATOS INICIALES'!I14="NO",('FACTOR PRESTACIONAL'!I13+'FACTOR PRESTACIONAL'!I14)*0.02,0)</f>
        <v>0</v>
      </c>
      <c r="J24" s="71">
        <f>IF('DATOS INICIALES'!J14="NO",('FACTOR PRESTACIONAL'!J13+'FACTOR PRESTACIONAL'!J14)*0.02,0)</f>
        <v>0</v>
      </c>
      <c r="K24" s="71">
        <f>IF('DATOS INICIALES'!K14="NO",('FACTOR PRESTACIONAL'!K13+'FACTOR PRESTACIONAL'!K14)*0.02,0)</f>
        <v>0</v>
      </c>
      <c r="L24" s="71">
        <f>IF('DATOS INICIALES'!L14="NO",('FACTOR PRESTACIONAL'!L13+'FACTOR PRESTACIONAL'!L14)*0.02,0)</f>
        <v>0</v>
      </c>
      <c r="M24" s="71">
        <f>IF('DATOS INICIALES'!M14="NO",('FACTOR PRESTACIONAL'!M13+'FACTOR PRESTACIONAL'!M14)*0.02,0)</f>
        <v>0</v>
      </c>
      <c r="N24" s="71">
        <f>IF('DATOS INICIALES'!N14="NO",('FACTOR PRESTACIONAL'!N13+'FACTOR PRESTACIONAL'!N14)*0.02,0)</f>
        <v>0</v>
      </c>
      <c r="O24" s="71">
        <f>IF('DATOS INICIALES'!O14="NO",('FACTOR PRESTACIONAL'!O13+'FACTOR PRESTACIONAL'!O14)*0.02,0)</f>
        <v>0</v>
      </c>
      <c r="P24" s="71">
        <f>IF('DATOS INICIALES'!P14="NO",('FACTOR PRESTACIONAL'!P13+'FACTOR PRESTACIONAL'!P14)*0.02,0)</f>
        <v>0</v>
      </c>
      <c r="Q24" s="71">
        <f>IF('DATOS INICIALES'!Q14="NO",('FACTOR PRESTACIONAL'!Q13+'FACTOR PRESTACIONAL'!Q14)*0.02,0)</f>
        <v>0</v>
      </c>
      <c r="R24" s="71">
        <f>IF('DATOS INICIALES'!R14="NO",('FACTOR PRESTACIONAL'!R13+'FACTOR PRESTACIONAL'!R14)*0.02,0)</f>
        <v>0</v>
      </c>
      <c r="S24" s="71">
        <f>IF('DATOS INICIALES'!S14="NO",('FACTOR PRESTACIONAL'!S13+'FACTOR PRESTACIONAL'!S14)*0.02,0)</f>
        <v>0</v>
      </c>
      <c r="T24" s="71">
        <f>IF('DATOS INICIALES'!T14="NO",('FACTOR PRESTACIONAL'!T13+'FACTOR PRESTACIONAL'!T14)*0.02,0)</f>
        <v>0</v>
      </c>
      <c r="U24" s="71">
        <f>IF('DATOS INICIALES'!U14="NO",('FACTOR PRESTACIONAL'!U13+'FACTOR PRESTACIONAL'!U14)*0.02,0)</f>
        <v>0</v>
      </c>
      <c r="V24" s="71">
        <f>IF('DATOS INICIALES'!V14="NO",('FACTOR PRESTACIONAL'!V13+'FACTOR PRESTACIONAL'!V14)*0.02,0)</f>
        <v>0</v>
      </c>
      <c r="W24" s="71">
        <f>IF('DATOS INICIALES'!W14="NO",('FACTOR PRESTACIONAL'!W13+'FACTOR PRESTACIONAL'!W14)*0.02,0)</f>
        <v>0</v>
      </c>
      <c r="X24" s="71">
        <f>IF('DATOS INICIALES'!X14="NO",('FACTOR PRESTACIONAL'!X13+'FACTOR PRESTACIONAL'!X14)*0.02,0)</f>
        <v>0</v>
      </c>
      <c r="Y24" s="71">
        <f>IF('DATOS INICIALES'!Y14="NO",('FACTOR PRESTACIONAL'!Y13+'FACTOR PRESTACIONAL'!Y14)*0.02,0)</f>
        <v>0</v>
      </c>
      <c r="Z24" s="71">
        <f>IF('DATOS INICIALES'!Z14="NO",('FACTOR PRESTACIONAL'!Z13+'FACTOR PRESTACIONAL'!Z14)*0.02,0)</f>
        <v>0</v>
      </c>
      <c r="AA24" s="71">
        <f>IF('DATOS INICIALES'!AA14="NO",('FACTOR PRESTACIONAL'!AA13+'FACTOR PRESTACIONAL'!AA14)*0.02,0)</f>
        <v>0</v>
      </c>
      <c r="AB24" s="71">
        <f>IF('DATOS INICIALES'!AB14="NO",('FACTOR PRESTACIONAL'!AB13+'FACTOR PRESTACIONAL'!AB14)*0.02,0)</f>
        <v>0</v>
      </c>
      <c r="AC24" s="71">
        <f>IF('DATOS INICIALES'!AC14="NO",('FACTOR PRESTACIONAL'!AC13+'FACTOR PRESTACIONAL'!AC14)*0.02,0)</f>
        <v>0</v>
      </c>
      <c r="AD24" s="71">
        <f>IF('DATOS INICIALES'!AD14="NO",('FACTOR PRESTACIONAL'!AD13+'FACTOR PRESTACIONAL'!AD14)*0.02,0)</f>
        <v>0</v>
      </c>
      <c r="AE24" s="71">
        <f>IF('DATOS INICIALES'!AE14="NO",('FACTOR PRESTACIONAL'!AE13+'FACTOR PRESTACIONAL'!AE14)*0.02,0)</f>
        <v>0</v>
      </c>
      <c r="AF24" s="71">
        <f>IF('DATOS INICIALES'!AF14="NO",('FACTOR PRESTACIONAL'!AF13+'FACTOR PRESTACIONAL'!AF14)*0.02,0)</f>
        <v>0</v>
      </c>
      <c r="AG24" s="71">
        <f>IF('DATOS INICIALES'!AG14="NO",('FACTOR PRESTACIONAL'!AG13+'FACTOR PRESTACIONAL'!AG14)*0.02,0)</f>
        <v>0</v>
      </c>
      <c r="AH24" s="71">
        <f>IF('DATOS INICIALES'!AH14="NO",('FACTOR PRESTACIONAL'!AH13+'FACTOR PRESTACIONAL'!AH14)*0.02,0)</f>
        <v>0</v>
      </c>
      <c r="AI24" s="71">
        <f>IF('DATOS INICIALES'!AI14="NO",('FACTOR PRESTACIONAL'!AI13+'FACTOR PRESTACIONAL'!AI14)*0.02,0)</f>
        <v>0</v>
      </c>
      <c r="AJ24" s="71">
        <f>IF('DATOS INICIALES'!AJ14="NO",('FACTOR PRESTACIONAL'!AJ13+'FACTOR PRESTACIONAL'!AJ14)*0.02,0)</f>
        <v>0</v>
      </c>
      <c r="AK24" s="71">
        <f>IF('DATOS INICIALES'!AK14="NO",('FACTOR PRESTACIONAL'!AK13+'FACTOR PRESTACIONAL'!AK14)*0.02,0)</f>
        <v>0</v>
      </c>
      <c r="AL24" s="71">
        <f>IF('DATOS INICIALES'!AL14="NO",('FACTOR PRESTACIONAL'!AL13+'FACTOR PRESTACIONAL'!AL14)*0.02,0)</f>
        <v>0</v>
      </c>
      <c r="AM24" s="71">
        <f>IF('DATOS INICIALES'!AM14="NO",('FACTOR PRESTACIONAL'!AM13+'FACTOR PRESTACIONAL'!AM14)*0.02,0)</f>
        <v>0</v>
      </c>
      <c r="AN24" s="71">
        <f>IF('DATOS INICIALES'!AN14="NO",('FACTOR PRESTACIONAL'!AN13+'FACTOR PRESTACIONAL'!AN14)*0.02,0)</f>
        <v>0</v>
      </c>
      <c r="AO24" s="71">
        <f>IF('DATOS INICIALES'!AO14="NO",('FACTOR PRESTACIONAL'!AO13+'FACTOR PRESTACIONAL'!AO14)*0.02,0)</f>
        <v>0</v>
      </c>
      <c r="AP24" s="71">
        <f>IF('DATOS INICIALES'!AP14="NO",('FACTOR PRESTACIONAL'!AP13+'FACTOR PRESTACIONAL'!AP14)*0.02,0)</f>
        <v>0</v>
      </c>
      <c r="AQ24" s="71">
        <f>IF('DATOS INICIALES'!AQ14="NO",('FACTOR PRESTACIONAL'!AQ13+'FACTOR PRESTACIONAL'!AQ14)*0.02,0)</f>
        <v>0</v>
      </c>
      <c r="AR24" s="71">
        <f>IF('DATOS INICIALES'!AR14="NO",('FACTOR PRESTACIONAL'!AR13+'FACTOR PRESTACIONAL'!AR14)*0.02,0)</f>
        <v>0</v>
      </c>
      <c r="AS24" s="71">
        <f>IF('DATOS INICIALES'!AS14="NO",('FACTOR PRESTACIONAL'!AS13+'FACTOR PRESTACIONAL'!AS14)*0.02,0)</f>
        <v>0</v>
      </c>
      <c r="AT24" s="71">
        <f>IF('DATOS INICIALES'!AT14="NO",('FACTOR PRESTACIONAL'!AT13+'FACTOR PRESTACIONAL'!AT14)*0.02,0)</f>
        <v>0</v>
      </c>
      <c r="AU24" s="71">
        <f>IF('DATOS INICIALES'!AU14="NO",('FACTOR PRESTACIONAL'!AU13+'FACTOR PRESTACIONAL'!AU14)*0.02,0)</f>
        <v>0</v>
      </c>
      <c r="AV24" s="71">
        <f>IF('DATOS INICIALES'!AV14="NO",('FACTOR PRESTACIONAL'!AV13+'FACTOR PRESTACIONAL'!AV14)*0.02,0)</f>
        <v>0</v>
      </c>
      <c r="AW24" s="71">
        <f>IF('DATOS INICIALES'!AW14="NO",('FACTOR PRESTACIONAL'!AW13+'FACTOR PRESTACIONAL'!AW14)*0.02,0)</f>
        <v>0</v>
      </c>
      <c r="AX24" s="71">
        <f>IF('DATOS INICIALES'!AX14="NO",('FACTOR PRESTACIONAL'!AX13+'FACTOR PRESTACIONAL'!AX14)*0.02,0)</f>
        <v>0</v>
      </c>
      <c r="AY24" s="71">
        <f>IF('DATOS INICIALES'!AY14="NO",('FACTOR PRESTACIONAL'!AY13+'FACTOR PRESTACIONAL'!AY14)*0.02,0)</f>
        <v>0</v>
      </c>
      <c r="AZ24" s="71">
        <f>IF('DATOS INICIALES'!AZ14="NO",('FACTOR PRESTACIONAL'!AZ13+'FACTOR PRESTACIONAL'!AZ14)*0.02,0)</f>
        <v>0</v>
      </c>
      <c r="BA24" s="71">
        <f>IF('DATOS INICIALES'!BA14="NO",('FACTOR PRESTACIONAL'!BA13+'FACTOR PRESTACIONAL'!BA14)*0.02,0)</f>
        <v>0</v>
      </c>
      <c r="BB24" s="71">
        <f>IF('DATOS INICIALES'!BB14="NO",('FACTOR PRESTACIONAL'!BB13+'FACTOR PRESTACIONAL'!BB14)*0.02,0)</f>
        <v>0</v>
      </c>
      <c r="BC24" s="71">
        <f>IF('DATOS INICIALES'!BC14="NO",('FACTOR PRESTACIONAL'!BC13+'FACTOR PRESTACIONAL'!BC14)*0.02,0)</f>
        <v>0</v>
      </c>
      <c r="BD24" s="71">
        <f>IF('DATOS INICIALES'!BD14="NO",('FACTOR PRESTACIONAL'!BD13+'FACTOR PRESTACIONAL'!BD14)*0.02,0)</f>
        <v>0</v>
      </c>
      <c r="BE24" s="71">
        <f>IF('DATOS INICIALES'!BE14="NO",('FACTOR PRESTACIONAL'!BE13+'FACTOR PRESTACIONAL'!BE14)*0.02,0)</f>
        <v>0</v>
      </c>
    </row>
    <row r="25" spans="1:57" ht="24" x14ac:dyDescent="0.25">
      <c r="A25" s="56" t="s">
        <v>157</v>
      </c>
      <c r="B25" s="71">
        <f>IF('DATOS INICIALES'!B14="NO",('FACTOR PRESTACIONAL'!B13+'FACTOR PRESTACIONAL'!B14)*0.03,0)</f>
        <v>0</v>
      </c>
      <c r="C25" s="71">
        <f>IF('DATOS INICIALES'!C14="NO",('FACTOR PRESTACIONAL'!C13+'FACTOR PRESTACIONAL'!C14)*0.03,0)</f>
        <v>0</v>
      </c>
      <c r="D25" s="71">
        <f>IF('DATOS INICIALES'!D14="NO",('FACTOR PRESTACIONAL'!D13+'FACTOR PRESTACIONAL'!D14)*0.03,0)</f>
        <v>0</v>
      </c>
      <c r="E25" s="71">
        <f>IF('DATOS INICIALES'!E14="NO",('FACTOR PRESTACIONAL'!E13+'FACTOR PRESTACIONAL'!E14)*0.03,0)</f>
        <v>0</v>
      </c>
      <c r="F25" s="71">
        <f>IF('DATOS INICIALES'!F14="NO",('FACTOR PRESTACIONAL'!F13+'FACTOR PRESTACIONAL'!F14)*0.03,0)</f>
        <v>0</v>
      </c>
      <c r="G25" s="71">
        <f>IF('DATOS INICIALES'!G14="NO",('FACTOR PRESTACIONAL'!G13+'FACTOR PRESTACIONAL'!G14)*0.03,0)</f>
        <v>0</v>
      </c>
      <c r="H25" s="71">
        <f>IF('DATOS INICIALES'!H14="NO",('FACTOR PRESTACIONAL'!H13+'FACTOR PRESTACIONAL'!H14)*0.03,0)</f>
        <v>0</v>
      </c>
      <c r="I25" s="71">
        <f>IF('DATOS INICIALES'!I14="NO",('FACTOR PRESTACIONAL'!I13+'FACTOR PRESTACIONAL'!I14)*0.03,0)</f>
        <v>0</v>
      </c>
      <c r="J25" s="71">
        <f>IF('DATOS INICIALES'!J14="NO",('FACTOR PRESTACIONAL'!J13+'FACTOR PRESTACIONAL'!J14)*0.03,0)</f>
        <v>0</v>
      </c>
      <c r="K25" s="71">
        <f>IF('DATOS INICIALES'!K14="NO",('FACTOR PRESTACIONAL'!K13+'FACTOR PRESTACIONAL'!K14)*0.03,0)</f>
        <v>0</v>
      </c>
      <c r="L25" s="71">
        <f>IF('DATOS INICIALES'!L14="NO",('FACTOR PRESTACIONAL'!L13+'FACTOR PRESTACIONAL'!L14)*0.03,0)</f>
        <v>0</v>
      </c>
      <c r="M25" s="71">
        <f>IF('DATOS INICIALES'!M14="NO",('FACTOR PRESTACIONAL'!M13+'FACTOR PRESTACIONAL'!M14)*0.03,0)</f>
        <v>0</v>
      </c>
      <c r="N25" s="71">
        <f>IF('DATOS INICIALES'!N14="NO",('FACTOR PRESTACIONAL'!N13+'FACTOR PRESTACIONAL'!N14)*0.03,0)</f>
        <v>0</v>
      </c>
      <c r="O25" s="71">
        <f>IF('DATOS INICIALES'!O14="NO",('FACTOR PRESTACIONAL'!O13+'FACTOR PRESTACIONAL'!O14)*0.03,0)</f>
        <v>0</v>
      </c>
      <c r="P25" s="71">
        <f>IF('DATOS INICIALES'!P14="NO",('FACTOR PRESTACIONAL'!P13+'FACTOR PRESTACIONAL'!P14)*0.03,0)</f>
        <v>0</v>
      </c>
      <c r="Q25" s="71">
        <f>IF('DATOS INICIALES'!Q14="NO",('FACTOR PRESTACIONAL'!Q13+'FACTOR PRESTACIONAL'!Q14)*0.03,0)</f>
        <v>0</v>
      </c>
      <c r="R25" s="71">
        <f>IF('DATOS INICIALES'!R14="NO",('FACTOR PRESTACIONAL'!R13+'FACTOR PRESTACIONAL'!R14)*0.03,0)</f>
        <v>0</v>
      </c>
      <c r="S25" s="71">
        <f>IF('DATOS INICIALES'!S14="NO",('FACTOR PRESTACIONAL'!S13+'FACTOR PRESTACIONAL'!S14)*0.03,0)</f>
        <v>0</v>
      </c>
      <c r="T25" s="71">
        <f>IF('DATOS INICIALES'!T14="NO",('FACTOR PRESTACIONAL'!T13+'FACTOR PRESTACIONAL'!T14)*0.03,0)</f>
        <v>0</v>
      </c>
      <c r="U25" s="71">
        <f>IF('DATOS INICIALES'!U14="NO",('FACTOR PRESTACIONAL'!U13+'FACTOR PRESTACIONAL'!U14)*0.03,0)</f>
        <v>0</v>
      </c>
      <c r="V25" s="71">
        <f>IF('DATOS INICIALES'!V14="NO",('FACTOR PRESTACIONAL'!V13+'FACTOR PRESTACIONAL'!V14)*0.03,0)</f>
        <v>0</v>
      </c>
      <c r="W25" s="71">
        <f>IF('DATOS INICIALES'!W14="NO",('FACTOR PRESTACIONAL'!W13+'FACTOR PRESTACIONAL'!W14)*0.03,0)</f>
        <v>0</v>
      </c>
      <c r="X25" s="71">
        <f>IF('DATOS INICIALES'!X14="NO",('FACTOR PRESTACIONAL'!X13+'FACTOR PRESTACIONAL'!X14)*0.03,0)</f>
        <v>0</v>
      </c>
      <c r="Y25" s="71">
        <f>IF('DATOS INICIALES'!Y14="NO",('FACTOR PRESTACIONAL'!Y13+'FACTOR PRESTACIONAL'!Y14)*0.03,0)</f>
        <v>0</v>
      </c>
      <c r="Z25" s="71">
        <f>IF('DATOS INICIALES'!Z14="NO",('FACTOR PRESTACIONAL'!Z13+'FACTOR PRESTACIONAL'!Z14)*0.03,0)</f>
        <v>0</v>
      </c>
      <c r="AA25" s="71">
        <f>IF('DATOS INICIALES'!AA14="NO",('FACTOR PRESTACIONAL'!AA13+'FACTOR PRESTACIONAL'!AA14)*0.03,0)</f>
        <v>0</v>
      </c>
      <c r="AB25" s="71">
        <f>IF('DATOS INICIALES'!AB14="NO",('FACTOR PRESTACIONAL'!AB13+'FACTOR PRESTACIONAL'!AB14)*0.03,0)</f>
        <v>0</v>
      </c>
      <c r="AC25" s="71">
        <f>IF('DATOS INICIALES'!AC14="NO",('FACTOR PRESTACIONAL'!AC13+'FACTOR PRESTACIONAL'!AC14)*0.03,0)</f>
        <v>0</v>
      </c>
      <c r="AD25" s="71">
        <f>IF('DATOS INICIALES'!AD14="NO",('FACTOR PRESTACIONAL'!AD13+'FACTOR PRESTACIONAL'!AD14)*0.03,0)</f>
        <v>0</v>
      </c>
      <c r="AE25" s="71">
        <f>IF('DATOS INICIALES'!AE14="NO",('FACTOR PRESTACIONAL'!AE13+'FACTOR PRESTACIONAL'!AE14)*0.03,0)</f>
        <v>0</v>
      </c>
      <c r="AF25" s="71">
        <f>IF('DATOS INICIALES'!AF14="NO",('FACTOR PRESTACIONAL'!AF13+'FACTOR PRESTACIONAL'!AF14)*0.03,0)</f>
        <v>0</v>
      </c>
      <c r="AG25" s="71">
        <f>IF('DATOS INICIALES'!AG14="NO",('FACTOR PRESTACIONAL'!AG13+'FACTOR PRESTACIONAL'!AG14)*0.03,0)</f>
        <v>0</v>
      </c>
      <c r="AH25" s="71">
        <f>IF('DATOS INICIALES'!AH14="NO",('FACTOR PRESTACIONAL'!AH13+'FACTOR PRESTACIONAL'!AH14)*0.03,0)</f>
        <v>0</v>
      </c>
      <c r="AI25" s="71">
        <f>IF('DATOS INICIALES'!AI14="NO",('FACTOR PRESTACIONAL'!AI13+'FACTOR PRESTACIONAL'!AI14)*0.03,0)</f>
        <v>0</v>
      </c>
      <c r="AJ25" s="71">
        <f>IF('DATOS INICIALES'!AJ14="NO",('FACTOR PRESTACIONAL'!AJ13+'FACTOR PRESTACIONAL'!AJ14)*0.03,0)</f>
        <v>0</v>
      </c>
      <c r="AK25" s="71">
        <f>IF('DATOS INICIALES'!AK14="NO",('FACTOR PRESTACIONAL'!AK13+'FACTOR PRESTACIONAL'!AK14)*0.03,0)</f>
        <v>0</v>
      </c>
      <c r="AL25" s="71">
        <f>IF('DATOS INICIALES'!AL14="NO",('FACTOR PRESTACIONAL'!AL13+'FACTOR PRESTACIONAL'!AL14)*0.03,0)</f>
        <v>0</v>
      </c>
      <c r="AM25" s="71">
        <f>IF('DATOS INICIALES'!AM14="NO",('FACTOR PRESTACIONAL'!AM13+'FACTOR PRESTACIONAL'!AM14)*0.03,0)</f>
        <v>0</v>
      </c>
      <c r="AN25" s="71">
        <f>IF('DATOS INICIALES'!AN14="NO",('FACTOR PRESTACIONAL'!AN13+'FACTOR PRESTACIONAL'!AN14)*0.03,0)</f>
        <v>0</v>
      </c>
      <c r="AO25" s="71">
        <f>IF('DATOS INICIALES'!AO14="NO",('FACTOR PRESTACIONAL'!AO13+'FACTOR PRESTACIONAL'!AO14)*0.03,0)</f>
        <v>0</v>
      </c>
      <c r="AP25" s="71">
        <f>IF('DATOS INICIALES'!AP14="NO",('FACTOR PRESTACIONAL'!AP13+'FACTOR PRESTACIONAL'!AP14)*0.03,0)</f>
        <v>0</v>
      </c>
      <c r="AQ25" s="71">
        <f>IF('DATOS INICIALES'!AQ14="NO",('FACTOR PRESTACIONAL'!AQ13+'FACTOR PRESTACIONAL'!AQ14)*0.03,0)</f>
        <v>0</v>
      </c>
      <c r="AR25" s="71">
        <f>IF('DATOS INICIALES'!AR14="NO",('FACTOR PRESTACIONAL'!AR13+'FACTOR PRESTACIONAL'!AR14)*0.03,0)</f>
        <v>0</v>
      </c>
      <c r="AS25" s="71">
        <f>IF('DATOS INICIALES'!AS14="NO",('FACTOR PRESTACIONAL'!AS13+'FACTOR PRESTACIONAL'!AS14)*0.03,0)</f>
        <v>0</v>
      </c>
      <c r="AT25" s="71">
        <f>IF('DATOS INICIALES'!AT14="NO",('FACTOR PRESTACIONAL'!AT13+'FACTOR PRESTACIONAL'!AT14)*0.03,0)</f>
        <v>0</v>
      </c>
      <c r="AU25" s="71">
        <f>IF('DATOS INICIALES'!AU14="NO",('FACTOR PRESTACIONAL'!AU13+'FACTOR PRESTACIONAL'!AU14)*0.03,0)</f>
        <v>0</v>
      </c>
      <c r="AV25" s="71">
        <f>IF('DATOS INICIALES'!AV14="NO",('FACTOR PRESTACIONAL'!AV13+'FACTOR PRESTACIONAL'!AV14)*0.03,0)</f>
        <v>0</v>
      </c>
      <c r="AW25" s="71">
        <f>IF('DATOS INICIALES'!AW14="NO",('FACTOR PRESTACIONAL'!AW13+'FACTOR PRESTACIONAL'!AW14)*0.03,0)</f>
        <v>0</v>
      </c>
      <c r="AX25" s="71">
        <f>IF('DATOS INICIALES'!AX14="NO",('FACTOR PRESTACIONAL'!AX13+'FACTOR PRESTACIONAL'!AX14)*0.03,0)</f>
        <v>0</v>
      </c>
      <c r="AY25" s="71">
        <f>IF('DATOS INICIALES'!AY14="NO",('FACTOR PRESTACIONAL'!AY13+'FACTOR PRESTACIONAL'!AY14)*0.03,0)</f>
        <v>0</v>
      </c>
      <c r="AZ25" s="71">
        <f>IF('DATOS INICIALES'!AZ14="NO",('FACTOR PRESTACIONAL'!AZ13+'FACTOR PRESTACIONAL'!AZ14)*0.03,0)</f>
        <v>0</v>
      </c>
      <c r="BA25" s="71">
        <f>IF('DATOS INICIALES'!BA14="NO",('FACTOR PRESTACIONAL'!BA13+'FACTOR PRESTACIONAL'!BA14)*0.03,0)</f>
        <v>0</v>
      </c>
      <c r="BB25" s="71">
        <f>IF('DATOS INICIALES'!BB14="NO",('FACTOR PRESTACIONAL'!BB13+'FACTOR PRESTACIONAL'!BB14)*0.03,0)</f>
        <v>0</v>
      </c>
      <c r="BC25" s="71">
        <f>IF('DATOS INICIALES'!BC14="NO",('FACTOR PRESTACIONAL'!BC13+'FACTOR PRESTACIONAL'!BC14)*0.03,0)</f>
        <v>0</v>
      </c>
      <c r="BD25" s="71">
        <f>IF('DATOS INICIALES'!BD14="NO",('FACTOR PRESTACIONAL'!BD13+'FACTOR PRESTACIONAL'!BD14)*0.03,0)</f>
        <v>0</v>
      </c>
      <c r="BE25" s="71">
        <f>IF('DATOS INICIALES'!BE14="NO",('FACTOR PRESTACIONAL'!BE13+'FACTOR PRESTACIONAL'!BE14)*0.03,0)</f>
        <v>0</v>
      </c>
    </row>
    <row r="26" spans="1:57" ht="24" x14ac:dyDescent="0.25">
      <c r="A26" s="56" t="s">
        <v>158</v>
      </c>
      <c r="B26" s="71">
        <v>100000</v>
      </c>
      <c r="C26" s="71">
        <v>100000</v>
      </c>
      <c r="D26" s="71">
        <v>100000</v>
      </c>
      <c r="E26" s="71">
        <v>100000</v>
      </c>
      <c r="F26" s="71">
        <v>100000</v>
      </c>
      <c r="G26" s="71">
        <v>100000</v>
      </c>
      <c r="H26" s="71">
        <v>100000</v>
      </c>
      <c r="I26" s="71">
        <v>100000</v>
      </c>
      <c r="J26" s="71">
        <v>100000</v>
      </c>
      <c r="K26" s="71">
        <v>100000</v>
      </c>
      <c r="L26" s="71">
        <v>100000</v>
      </c>
      <c r="M26" s="71">
        <v>100000</v>
      </c>
      <c r="N26" s="71">
        <v>100000</v>
      </c>
      <c r="O26" s="71">
        <v>100000</v>
      </c>
      <c r="P26" s="71">
        <v>100000</v>
      </c>
      <c r="Q26" s="71">
        <v>100000</v>
      </c>
      <c r="R26" s="71">
        <v>100000</v>
      </c>
      <c r="S26" s="71">
        <v>100000</v>
      </c>
      <c r="T26" s="71">
        <v>100000</v>
      </c>
      <c r="U26" s="71">
        <v>100000</v>
      </c>
      <c r="V26" s="71">
        <v>100000</v>
      </c>
      <c r="W26" s="71">
        <v>100000</v>
      </c>
      <c r="X26" s="71">
        <v>100000</v>
      </c>
      <c r="Y26" s="71">
        <v>100000</v>
      </c>
      <c r="Z26" s="71">
        <v>100000</v>
      </c>
      <c r="AA26" s="71">
        <v>100000</v>
      </c>
      <c r="AB26" s="71">
        <v>100000</v>
      </c>
      <c r="AC26" s="71">
        <v>100000</v>
      </c>
      <c r="AD26" s="71">
        <v>100000</v>
      </c>
      <c r="AE26" s="71">
        <v>100000</v>
      </c>
      <c r="AF26" s="71">
        <v>100000</v>
      </c>
      <c r="AG26" s="71">
        <v>200000</v>
      </c>
      <c r="AH26" s="71">
        <v>100000</v>
      </c>
      <c r="AI26" s="71">
        <v>100000</v>
      </c>
      <c r="AJ26" s="71">
        <v>100000</v>
      </c>
      <c r="AK26" s="71">
        <v>100000</v>
      </c>
      <c r="AL26" s="71">
        <v>100000</v>
      </c>
      <c r="AM26" s="71">
        <v>100000</v>
      </c>
      <c r="AN26" s="71">
        <v>100000</v>
      </c>
      <c r="AO26" s="71">
        <v>100000</v>
      </c>
      <c r="AP26" s="71">
        <v>100000</v>
      </c>
      <c r="AQ26" s="71">
        <v>100000</v>
      </c>
      <c r="AR26" s="71">
        <v>100000</v>
      </c>
      <c r="AS26" s="71">
        <v>100000</v>
      </c>
      <c r="AT26" s="71">
        <v>100000</v>
      </c>
      <c r="AU26" s="71">
        <v>100000</v>
      </c>
      <c r="AV26" s="71">
        <v>100000</v>
      </c>
      <c r="AW26" s="71">
        <v>100000</v>
      </c>
      <c r="AX26" s="71">
        <v>100000</v>
      </c>
      <c r="AY26" s="71">
        <v>100000</v>
      </c>
      <c r="AZ26" s="71">
        <v>100000</v>
      </c>
      <c r="BA26" s="71">
        <v>100000</v>
      </c>
      <c r="BB26" s="71">
        <v>100000</v>
      </c>
      <c r="BC26" s="71">
        <v>100000</v>
      </c>
      <c r="BD26" s="71">
        <v>100000</v>
      </c>
      <c r="BE26" s="71">
        <v>100000</v>
      </c>
    </row>
    <row r="27" spans="1:57" x14ac:dyDescent="0.25">
      <c r="A27" s="56" t="s">
        <v>159</v>
      </c>
      <c r="B27" s="71">
        <f>IF(B10&lt;=2,$C$43,0)</f>
        <v>0</v>
      </c>
      <c r="C27" s="71">
        <f t="shared" ref="C27:BE27" si="8">IF(C10&lt;=2,$C$43,0)</f>
        <v>0</v>
      </c>
      <c r="D27" s="71">
        <f t="shared" si="8"/>
        <v>0</v>
      </c>
      <c r="E27" s="71">
        <f t="shared" si="8"/>
        <v>0</v>
      </c>
      <c r="F27" s="71">
        <f t="shared" si="8"/>
        <v>0</v>
      </c>
      <c r="G27" s="71">
        <f t="shared" si="8"/>
        <v>0</v>
      </c>
      <c r="H27" s="71">
        <f t="shared" si="8"/>
        <v>0</v>
      </c>
      <c r="I27" s="71">
        <f t="shared" si="8"/>
        <v>378000</v>
      </c>
      <c r="J27" s="71">
        <f t="shared" si="8"/>
        <v>0</v>
      </c>
      <c r="K27" s="71">
        <f t="shared" si="8"/>
        <v>0</v>
      </c>
      <c r="L27" s="71">
        <f t="shared" si="8"/>
        <v>378000</v>
      </c>
      <c r="M27" s="71">
        <f t="shared" si="8"/>
        <v>378000</v>
      </c>
      <c r="N27" s="71">
        <f t="shared" si="8"/>
        <v>378000</v>
      </c>
      <c r="O27" s="71">
        <f t="shared" si="8"/>
        <v>378000</v>
      </c>
      <c r="P27" s="71">
        <f t="shared" si="8"/>
        <v>378000</v>
      </c>
      <c r="Q27" s="71">
        <f t="shared" si="8"/>
        <v>0</v>
      </c>
      <c r="R27" s="71">
        <f>IF(R10&lt;=2.35,$C$43,0)</f>
        <v>0</v>
      </c>
      <c r="S27" s="71">
        <f t="shared" si="8"/>
        <v>378000</v>
      </c>
      <c r="T27" s="71">
        <f t="shared" si="8"/>
        <v>0</v>
      </c>
      <c r="U27" s="71">
        <f t="shared" si="8"/>
        <v>0</v>
      </c>
      <c r="V27" s="71">
        <f>IF(V10&lt;=2.75,$C$43,0)</f>
        <v>378000</v>
      </c>
      <c r="W27" s="71">
        <f t="shared" si="8"/>
        <v>378000</v>
      </c>
      <c r="X27" s="71">
        <f t="shared" si="8"/>
        <v>378000</v>
      </c>
      <c r="Y27" s="71">
        <f t="shared" si="8"/>
        <v>378000</v>
      </c>
      <c r="Z27" s="71">
        <f t="shared" si="8"/>
        <v>378000</v>
      </c>
      <c r="AA27" s="71">
        <f t="shared" si="8"/>
        <v>378000</v>
      </c>
      <c r="AB27" s="71">
        <f t="shared" si="8"/>
        <v>0</v>
      </c>
      <c r="AC27" s="71">
        <f t="shared" si="8"/>
        <v>0</v>
      </c>
      <c r="AD27" s="71">
        <f t="shared" si="8"/>
        <v>0</v>
      </c>
      <c r="AE27" s="71">
        <f t="shared" si="8"/>
        <v>0</v>
      </c>
      <c r="AF27" s="71">
        <f t="shared" si="8"/>
        <v>378000</v>
      </c>
      <c r="AG27" s="71">
        <v>500000</v>
      </c>
      <c r="AH27" s="71">
        <f t="shared" si="8"/>
        <v>378000</v>
      </c>
      <c r="AI27" s="71">
        <f>IF(AI10&lt;=2.25,$C$43,0)</f>
        <v>378000</v>
      </c>
      <c r="AJ27" s="71">
        <f>IF(AJ10&lt;=3.2,$C$43,0)</f>
        <v>378000</v>
      </c>
      <c r="AK27" s="71">
        <f t="shared" si="8"/>
        <v>378000</v>
      </c>
      <c r="AL27" s="71">
        <f t="shared" si="8"/>
        <v>378000</v>
      </c>
      <c r="AM27" s="71">
        <f t="shared" si="8"/>
        <v>378000</v>
      </c>
      <c r="AN27" s="71">
        <f t="shared" si="8"/>
        <v>0</v>
      </c>
      <c r="AO27" s="71">
        <f t="shared" si="8"/>
        <v>0</v>
      </c>
      <c r="AP27" s="71">
        <f t="shared" si="8"/>
        <v>0</v>
      </c>
      <c r="AQ27" s="71">
        <f t="shared" si="8"/>
        <v>0</v>
      </c>
      <c r="AR27" s="71">
        <f t="shared" si="8"/>
        <v>0</v>
      </c>
      <c r="AS27" s="71">
        <f t="shared" si="8"/>
        <v>0</v>
      </c>
      <c r="AT27" s="71">
        <f t="shared" si="8"/>
        <v>0</v>
      </c>
      <c r="AU27" s="71">
        <f t="shared" si="8"/>
        <v>0</v>
      </c>
      <c r="AV27" s="71">
        <f t="shared" si="8"/>
        <v>0</v>
      </c>
      <c r="AW27" s="71">
        <f t="shared" si="8"/>
        <v>0</v>
      </c>
      <c r="AX27" s="71">
        <f t="shared" si="8"/>
        <v>0</v>
      </c>
      <c r="AY27" s="71">
        <f t="shared" si="8"/>
        <v>0</v>
      </c>
      <c r="AZ27" s="71">
        <f t="shared" si="8"/>
        <v>0</v>
      </c>
      <c r="BA27" s="71">
        <f t="shared" si="8"/>
        <v>0</v>
      </c>
      <c r="BB27" s="71">
        <f t="shared" si="8"/>
        <v>0</v>
      </c>
      <c r="BC27" s="71">
        <f t="shared" si="8"/>
        <v>378000</v>
      </c>
      <c r="BD27" s="71">
        <f t="shared" si="8"/>
        <v>378000</v>
      </c>
      <c r="BE27" s="71">
        <f t="shared" si="8"/>
        <v>378000</v>
      </c>
    </row>
    <row r="28" spans="1:57" ht="24" x14ac:dyDescent="0.25">
      <c r="A28" s="56" t="s">
        <v>160</v>
      </c>
      <c r="B28" s="71">
        <f>IF(B9="ADMÓN",$F$70,$F$59)</f>
        <v>390500</v>
      </c>
      <c r="C28" s="71">
        <f t="shared" ref="C28:BE28" si="9">IF(C9="ADMÓN",$F$70,$F$59)</f>
        <v>390500</v>
      </c>
      <c r="D28" s="71">
        <f t="shared" si="9"/>
        <v>390500</v>
      </c>
      <c r="E28" s="71">
        <f t="shared" si="9"/>
        <v>390500</v>
      </c>
      <c r="F28" s="71">
        <f t="shared" si="9"/>
        <v>390500</v>
      </c>
      <c r="G28" s="71">
        <f t="shared" si="9"/>
        <v>390500</v>
      </c>
      <c r="H28" s="71">
        <f t="shared" si="9"/>
        <v>390500</v>
      </c>
      <c r="I28" s="71">
        <f t="shared" si="9"/>
        <v>390500</v>
      </c>
      <c r="J28" s="71">
        <f t="shared" si="9"/>
        <v>390500</v>
      </c>
      <c r="K28" s="71">
        <f t="shared" si="9"/>
        <v>390500</v>
      </c>
      <c r="L28" s="71">
        <f t="shared" si="9"/>
        <v>390500</v>
      </c>
      <c r="M28" s="71">
        <f t="shared" si="9"/>
        <v>390500</v>
      </c>
      <c r="N28" s="71">
        <f t="shared" si="9"/>
        <v>390500</v>
      </c>
      <c r="O28" s="71">
        <f t="shared" si="9"/>
        <v>390500</v>
      </c>
      <c r="P28" s="71">
        <f t="shared" si="9"/>
        <v>390500</v>
      </c>
      <c r="Q28" s="71">
        <f t="shared" si="9"/>
        <v>662200</v>
      </c>
      <c r="R28" s="71">
        <f t="shared" si="9"/>
        <v>662200</v>
      </c>
      <c r="S28" s="71">
        <f t="shared" si="9"/>
        <v>662200</v>
      </c>
      <c r="T28" s="71">
        <f t="shared" si="9"/>
        <v>662200</v>
      </c>
      <c r="U28" s="71">
        <f t="shared" si="9"/>
        <v>662200</v>
      </c>
      <c r="V28" s="71">
        <f t="shared" si="9"/>
        <v>662200</v>
      </c>
      <c r="W28" s="71">
        <f t="shared" si="9"/>
        <v>662200</v>
      </c>
      <c r="X28" s="71">
        <f t="shared" si="9"/>
        <v>662200</v>
      </c>
      <c r="Y28" s="71">
        <f t="shared" si="9"/>
        <v>662200</v>
      </c>
      <c r="Z28" s="71">
        <f t="shared" si="9"/>
        <v>662200</v>
      </c>
      <c r="AA28" s="71">
        <f t="shared" si="9"/>
        <v>662200</v>
      </c>
      <c r="AB28" s="71">
        <f t="shared" si="9"/>
        <v>662200</v>
      </c>
      <c r="AC28" s="71">
        <f t="shared" si="9"/>
        <v>662200</v>
      </c>
      <c r="AD28" s="71">
        <f t="shared" si="9"/>
        <v>662200</v>
      </c>
      <c r="AE28" s="71">
        <f t="shared" si="9"/>
        <v>662200</v>
      </c>
      <c r="AF28" s="71">
        <f t="shared" si="9"/>
        <v>662200</v>
      </c>
      <c r="AG28" s="71">
        <f t="shared" si="9"/>
        <v>662200</v>
      </c>
      <c r="AH28" s="71">
        <f t="shared" si="9"/>
        <v>662200</v>
      </c>
      <c r="AI28" s="71">
        <f t="shared" si="9"/>
        <v>662200</v>
      </c>
      <c r="AJ28" s="71">
        <f t="shared" si="9"/>
        <v>662200</v>
      </c>
      <c r="AK28" s="71">
        <f t="shared" si="9"/>
        <v>662200</v>
      </c>
      <c r="AL28" s="71">
        <f t="shared" si="9"/>
        <v>662200</v>
      </c>
      <c r="AM28" s="71">
        <f t="shared" si="9"/>
        <v>662200</v>
      </c>
      <c r="AN28" s="71">
        <f t="shared" si="9"/>
        <v>390500</v>
      </c>
      <c r="AO28" s="71">
        <f t="shared" si="9"/>
        <v>390500</v>
      </c>
      <c r="AP28" s="71">
        <f t="shared" si="9"/>
        <v>390500</v>
      </c>
      <c r="AQ28" s="71">
        <f t="shared" si="9"/>
        <v>390500</v>
      </c>
      <c r="AR28" s="71">
        <f t="shared" si="9"/>
        <v>390500</v>
      </c>
      <c r="AS28" s="71">
        <f t="shared" si="9"/>
        <v>390500</v>
      </c>
      <c r="AT28" s="71">
        <f t="shared" si="9"/>
        <v>390500</v>
      </c>
      <c r="AU28" s="71">
        <f t="shared" si="9"/>
        <v>390500</v>
      </c>
      <c r="AV28" s="71">
        <f t="shared" si="9"/>
        <v>390500</v>
      </c>
      <c r="AW28" s="71">
        <f t="shared" si="9"/>
        <v>390500</v>
      </c>
      <c r="AX28" s="71">
        <f t="shared" si="9"/>
        <v>390500</v>
      </c>
      <c r="AY28" s="71">
        <f t="shared" si="9"/>
        <v>390500</v>
      </c>
      <c r="AZ28" s="71">
        <f t="shared" si="9"/>
        <v>390500</v>
      </c>
      <c r="BA28" s="71">
        <f t="shared" si="9"/>
        <v>390500</v>
      </c>
      <c r="BB28" s="71">
        <f t="shared" si="9"/>
        <v>390500</v>
      </c>
      <c r="BC28" s="71">
        <f t="shared" si="9"/>
        <v>390500</v>
      </c>
      <c r="BD28" s="71">
        <f t="shared" si="9"/>
        <v>662200</v>
      </c>
      <c r="BE28" s="71">
        <f t="shared" si="9"/>
        <v>662200</v>
      </c>
    </row>
    <row r="29" spans="1:57" x14ac:dyDescent="0.25">
      <c r="A29" s="57" t="s">
        <v>161</v>
      </c>
      <c r="B29" s="88">
        <f>SUM(B13:B28)</f>
        <v>132413488</v>
      </c>
      <c r="C29" s="88">
        <f t="shared" ref="C29:BE29" si="10">SUM(C13:C28)</f>
        <v>132413488</v>
      </c>
      <c r="D29" s="88">
        <f t="shared" si="10"/>
        <v>79228708</v>
      </c>
      <c r="E29" s="88">
        <f t="shared" si="10"/>
        <v>94871285</v>
      </c>
      <c r="F29" s="88">
        <f t="shared" si="10"/>
        <v>94871285</v>
      </c>
      <c r="G29" s="88">
        <f t="shared" si="10"/>
        <v>94871285</v>
      </c>
      <c r="H29" s="88">
        <f t="shared" si="10"/>
        <v>94871285</v>
      </c>
      <c r="I29" s="88">
        <f t="shared" si="10"/>
        <v>59029401</v>
      </c>
      <c r="J29" s="88">
        <f t="shared" si="10"/>
        <v>79228708</v>
      </c>
      <c r="K29" s="88">
        <f t="shared" si="10"/>
        <v>144927557</v>
      </c>
      <c r="L29" s="88">
        <f t="shared" si="10"/>
        <v>63722162</v>
      </c>
      <c r="M29" s="88">
        <f t="shared" si="10"/>
        <v>51208094</v>
      </c>
      <c r="N29" s="88">
        <f t="shared" si="10"/>
        <v>37129772</v>
      </c>
      <c r="O29" s="88">
        <f t="shared" si="10"/>
        <v>37129772</v>
      </c>
      <c r="P29" s="88">
        <f t="shared" si="10"/>
        <v>37129772</v>
      </c>
      <c r="Q29" s="88">
        <f t="shared" si="10"/>
        <v>157713325</v>
      </c>
      <c r="R29" s="88">
        <f t="shared" si="10"/>
        <v>79500408</v>
      </c>
      <c r="S29" s="88">
        <f t="shared" si="10"/>
        <v>53044065</v>
      </c>
      <c r="T29" s="88">
        <f t="shared" si="10"/>
        <v>95142985</v>
      </c>
      <c r="U29" s="88">
        <f t="shared" si="10"/>
        <v>73243373</v>
      </c>
      <c r="V29" s="88">
        <f t="shared" si="10"/>
        <v>87699696</v>
      </c>
      <c r="W29" s="88">
        <f t="shared" si="10"/>
        <v>46787033</v>
      </c>
      <c r="X29" s="88">
        <f t="shared" si="10"/>
        <v>68686642</v>
      </c>
      <c r="Y29" s="88">
        <f t="shared" si="10"/>
        <v>43658507</v>
      </c>
      <c r="Z29" s="88">
        <f t="shared" si="10"/>
        <v>68686642</v>
      </c>
      <c r="AA29" s="88">
        <f t="shared" si="10"/>
        <v>40529999</v>
      </c>
      <c r="AB29" s="88">
        <f t="shared" si="10"/>
        <v>72304804</v>
      </c>
      <c r="AC29" s="88">
        <f t="shared" si="10"/>
        <v>72304804</v>
      </c>
      <c r="AD29" s="88">
        <f t="shared" si="10"/>
        <v>72617655</v>
      </c>
      <c r="AE29" s="88">
        <f t="shared" si="10"/>
        <v>66986338</v>
      </c>
      <c r="AF29" s="88">
        <f t="shared" si="10"/>
        <v>46787033</v>
      </c>
      <c r="AG29" s="88">
        <f>SUM(AG13:AG28)</f>
        <v>43880507</v>
      </c>
      <c r="AH29" s="88">
        <f t="shared" si="10"/>
        <v>46787033</v>
      </c>
      <c r="AI29" s="88">
        <f t="shared" si="10"/>
        <v>72057101</v>
      </c>
      <c r="AJ29" s="88">
        <f t="shared" si="10"/>
        <v>101778017</v>
      </c>
      <c r="AK29" s="88">
        <f t="shared" si="10"/>
        <v>37401472</v>
      </c>
      <c r="AL29" s="88">
        <f t="shared" si="10"/>
        <v>37401472</v>
      </c>
      <c r="AM29" s="88">
        <f t="shared" si="10"/>
        <v>37401472</v>
      </c>
      <c r="AN29" s="88">
        <f t="shared" si="10"/>
        <v>157441625</v>
      </c>
      <c r="AO29" s="88">
        <f t="shared" si="10"/>
        <v>72971673</v>
      </c>
      <c r="AP29" s="88">
        <f t="shared" si="10"/>
        <v>210626424</v>
      </c>
      <c r="AQ29" s="88">
        <f t="shared" si="10"/>
        <v>72971673</v>
      </c>
      <c r="AR29" s="88">
        <f t="shared" si="10"/>
        <v>188726794</v>
      </c>
      <c r="AS29" s="88">
        <f t="shared" si="10"/>
        <v>173084218</v>
      </c>
      <c r="AT29" s="88">
        <f t="shared" si="10"/>
        <v>188726794</v>
      </c>
      <c r="AU29" s="88">
        <f t="shared" si="10"/>
        <v>188726794</v>
      </c>
      <c r="AV29" s="88">
        <f t="shared" si="10"/>
        <v>173084218</v>
      </c>
      <c r="AW29" s="88">
        <f t="shared" si="10"/>
        <v>188726794</v>
      </c>
      <c r="AX29" s="88">
        <f t="shared" si="10"/>
        <v>188726794</v>
      </c>
      <c r="AY29" s="88">
        <f t="shared" si="10"/>
        <v>188726794</v>
      </c>
      <c r="AZ29" s="88">
        <f t="shared" si="10"/>
        <v>173084218</v>
      </c>
      <c r="BA29" s="88">
        <f t="shared" si="10"/>
        <v>173084218</v>
      </c>
      <c r="BB29" s="88">
        <f t="shared" si="10"/>
        <v>173084218</v>
      </c>
      <c r="BC29" s="88">
        <f t="shared" si="10"/>
        <v>68414942</v>
      </c>
      <c r="BD29" s="88">
        <f t="shared" si="10"/>
        <v>6116303</v>
      </c>
      <c r="BE29" s="88">
        <f t="shared" si="10"/>
        <v>6116303</v>
      </c>
    </row>
    <row r="30" spans="1:57" x14ac:dyDescent="0.25">
      <c r="A30" s="57" t="s">
        <v>140</v>
      </c>
      <c r="B30" s="88">
        <f>ROUND(B13/365,0)</f>
        <v>241769</v>
      </c>
      <c r="C30" s="88">
        <f t="shared" ref="C30:BE30" si="11">ROUND(C13/365,0)</f>
        <v>241769</v>
      </c>
      <c r="D30" s="88">
        <f t="shared" si="11"/>
        <v>143910</v>
      </c>
      <c r="E30" s="88">
        <f t="shared" si="11"/>
        <v>172692</v>
      </c>
      <c r="F30" s="88">
        <f t="shared" si="11"/>
        <v>172692</v>
      </c>
      <c r="G30" s="88">
        <f t="shared" si="11"/>
        <v>172692</v>
      </c>
      <c r="H30" s="88">
        <f t="shared" si="11"/>
        <v>172692</v>
      </c>
      <c r="I30" s="88">
        <f t="shared" si="11"/>
        <v>97859</v>
      </c>
      <c r="J30" s="88">
        <f t="shared" si="11"/>
        <v>143910</v>
      </c>
      <c r="K30" s="88">
        <f t="shared" si="11"/>
        <v>264794</v>
      </c>
      <c r="L30" s="88">
        <f t="shared" si="11"/>
        <v>106493</v>
      </c>
      <c r="M30" s="88">
        <f t="shared" si="11"/>
        <v>83468</v>
      </c>
      <c r="N30" s="88">
        <f t="shared" si="11"/>
        <v>57564</v>
      </c>
      <c r="O30" s="88">
        <f t="shared" si="11"/>
        <v>57564</v>
      </c>
      <c r="P30" s="88">
        <f t="shared" si="11"/>
        <v>57564</v>
      </c>
      <c r="Q30" s="88">
        <f t="shared" si="11"/>
        <v>287820</v>
      </c>
      <c r="R30" s="88">
        <f t="shared" si="11"/>
        <v>143910</v>
      </c>
      <c r="S30" s="88">
        <f t="shared" si="11"/>
        <v>86346</v>
      </c>
      <c r="T30" s="88">
        <f t="shared" si="11"/>
        <v>172692</v>
      </c>
      <c r="U30" s="88">
        <f t="shared" si="11"/>
        <v>132397</v>
      </c>
      <c r="V30" s="88">
        <f t="shared" si="11"/>
        <v>158301</v>
      </c>
      <c r="W30" s="88">
        <f t="shared" si="11"/>
        <v>74833</v>
      </c>
      <c r="X30" s="88">
        <f t="shared" si="11"/>
        <v>115128</v>
      </c>
      <c r="Y30" s="88">
        <f t="shared" si="11"/>
        <v>69077</v>
      </c>
      <c r="Z30" s="88">
        <v>90000</v>
      </c>
      <c r="AA30" s="88">
        <f t="shared" si="11"/>
        <v>63320</v>
      </c>
      <c r="AB30" s="88">
        <v>90000</v>
      </c>
      <c r="AC30" s="88">
        <v>90000</v>
      </c>
      <c r="AD30" s="88">
        <v>90000</v>
      </c>
      <c r="AE30" s="88">
        <v>90000</v>
      </c>
      <c r="AF30" s="88">
        <f t="shared" si="11"/>
        <v>74833</v>
      </c>
      <c r="AG30" s="88">
        <v>54000</v>
      </c>
      <c r="AH30" s="88">
        <f t="shared" si="11"/>
        <v>74833</v>
      </c>
      <c r="AI30" s="88">
        <f t="shared" si="11"/>
        <v>129519</v>
      </c>
      <c r="AJ30" s="88">
        <f t="shared" si="11"/>
        <v>184205</v>
      </c>
      <c r="AK30" s="88">
        <f t="shared" si="11"/>
        <v>57564</v>
      </c>
      <c r="AL30" s="88">
        <f t="shared" si="11"/>
        <v>57564</v>
      </c>
      <c r="AM30" s="88">
        <f t="shared" si="11"/>
        <v>57564</v>
      </c>
      <c r="AN30" s="88">
        <f t="shared" si="11"/>
        <v>287820</v>
      </c>
      <c r="AO30" s="88">
        <f t="shared" si="11"/>
        <v>132397</v>
      </c>
      <c r="AP30" s="88">
        <f t="shared" si="11"/>
        <v>385679</v>
      </c>
      <c r="AQ30" s="88">
        <f t="shared" si="11"/>
        <v>132397</v>
      </c>
      <c r="AR30" s="88">
        <f t="shared" si="11"/>
        <v>345384</v>
      </c>
      <c r="AS30" s="88">
        <f t="shared" si="11"/>
        <v>316602</v>
      </c>
      <c r="AT30" s="88">
        <f t="shared" si="11"/>
        <v>345384</v>
      </c>
      <c r="AU30" s="88">
        <f t="shared" si="11"/>
        <v>345384</v>
      </c>
      <c r="AV30" s="88">
        <f t="shared" si="11"/>
        <v>316602</v>
      </c>
      <c r="AW30" s="88">
        <f t="shared" si="11"/>
        <v>345384</v>
      </c>
      <c r="AX30" s="88">
        <f t="shared" si="11"/>
        <v>345384</v>
      </c>
      <c r="AY30" s="88">
        <f t="shared" si="11"/>
        <v>345384</v>
      </c>
      <c r="AZ30" s="88">
        <f t="shared" si="11"/>
        <v>316602</v>
      </c>
      <c r="BA30" s="88">
        <f t="shared" si="11"/>
        <v>316602</v>
      </c>
      <c r="BB30" s="88">
        <f t="shared" si="11"/>
        <v>316602</v>
      </c>
      <c r="BC30" s="88">
        <f t="shared" si="11"/>
        <v>115128</v>
      </c>
      <c r="BD30" s="88">
        <f t="shared" si="11"/>
        <v>0</v>
      </c>
      <c r="BE30" s="88">
        <f t="shared" si="11"/>
        <v>0</v>
      </c>
    </row>
    <row r="31" spans="1:57" x14ac:dyDescent="0.25">
      <c r="A31" s="57" t="s">
        <v>141</v>
      </c>
      <c r="B31" s="88">
        <f>ROUND((B29/365-B30),0)</f>
        <v>121008</v>
      </c>
      <c r="C31" s="88">
        <f t="shared" ref="C31:BE31" si="12">ROUND((C29/365-C30),0)</f>
        <v>121008</v>
      </c>
      <c r="D31" s="88">
        <f t="shared" si="12"/>
        <v>73155</v>
      </c>
      <c r="E31" s="88">
        <f t="shared" si="12"/>
        <v>87229</v>
      </c>
      <c r="F31" s="88">
        <f t="shared" si="12"/>
        <v>87229</v>
      </c>
      <c r="G31" s="88">
        <f t="shared" si="12"/>
        <v>87229</v>
      </c>
      <c r="H31" s="88">
        <f t="shared" si="12"/>
        <v>87229</v>
      </c>
      <c r="I31" s="88">
        <f t="shared" si="12"/>
        <v>63865</v>
      </c>
      <c r="J31" s="88">
        <f t="shared" si="12"/>
        <v>73155</v>
      </c>
      <c r="K31" s="88">
        <f t="shared" si="12"/>
        <v>132268</v>
      </c>
      <c r="L31" s="88">
        <f t="shared" si="12"/>
        <v>68088</v>
      </c>
      <c r="M31" s="88">
        <f t="shared" si="12"/>
        <v>56828</v>
      </c>
      <c r="N31" s="88">
        <f t="shared" si="12"/>
        <v>44161</v>
      </c>
      <c r="O31" s="88">
        <f t="shared" si="12"/>
        <v>44161</v>
      </c>
      <c r="P31" s="88">
        <f t="shared" si="12"/>
        <v>44161</v>
      </c>
      <c r="Q31" s="88">
        <f t="shared" si="12"/>
        <v>144271</v>
      </c>
      <c r="R31" s="88">
        <f t="shared" si="12"/>
        <v>73899</v>
      </c>
      <c r="S31" s="88">
        <f t="shared" si="12"/>
        <v>58980</v>
      </c>
      <c r="T31" s="88">
        <f t="shared" si="12"/>
        <v>87974</v>
      </c>
      <c r="U31" s="88">
        <f t="shared" si="12"/>
        <v>68270</v>
      </c>
      <c r="V31" s="88">
        <f t="shared" si="12"/>
        <v>81972</v>
      </c>
      <c r="W31" s="88">
        <f t="shared" si="12"/>
        <v>53351</v>
      </c>
      <c r="X31" s="88">
        <f t="shared" si="12"/>
        <v>73055</v>
      </c>
      <c r="Y31" s="88">
        <f t="shared" si="12"/>
        <v>50535</v>
      </c>
      <c r="Z31" s="88">
        <v>76500</v>
      </c>
      <c r="AA31" s="88">
        <f t="shared" si="12"/>
        <v>47721</v>
      </c>
      <c r="AB31" s="88">
        <v>76500</v>
      </c>
      <c r="AC31" s="88">
        <v>76500</v>
      </c>
      <c r="AD31" s="88">
        <v>76500</v>
      </c>
      <c r="AE31" s="88">
        <v>76500</v>
      </c>
      <c r="AF31" s="88">
        <f t="shared" si="12"/>
        <v>53351</v>
      </c>
      <c r="AG31" s="88">
        <v>45900</v>
      </c>
      <c r="AH31" s="88">
        <f t="shared" si="12"/>
        <v>53351</v>
      </c>
      <c r="AI31" s="88">
        <f t="shared" si="12"/>
        <v>67898</v>
      </c>
      <c r="AJ31" s="88">
        <f t="shared" si="12"/>
        <v>94639</v>
      </c>
      <c r="AK31" s="88">
        <f t="shared" si="12"/>
        <v>44906</v>
      </c>
      <c r="AL31" s="88">
        <f t="shared" si="12"/>
        <v>44906</v>
      </c>
      <c r="AM31" s="88">
        <f t="shared" si="12"/>
        <v>44906</v>
      </c>
      <c r="AN31" s="88">
        <f t="shared" si="12"/>
        <v>143527</v>
      </c>
      <c r="AO31" s="88">
        <f t="shared" si="12"/>
        <v>67525</v>
      </c>
      <c r="AP31" s="88">
        <f t="shared" si="12"/>
        <v>191380</v>
      </c>
      <c r="AQ31" s="88">
        <f t="shared" si="12"/>
        <v>67525</v>
      </c>
      <c r="AR31" s="88">
        <f t="shared" si="12"/>
        <v>171676</v>
      </c>
      <c r="AS31" s="88">
        <f t="shared" si="12"/>
        <v>157601</v>
      </c>
      <c r="AT31" s="88">
        <f t="shared" si="12"/>
        <v>171676</v>
      </c>
      <c r="AU31" s="88">
        <f t="shared" si="12"/>
        <v>171676</v>
      </c>
      <c r="AV31" s="88">
        <f t="shared" si="12"/>
        <v>157601</v>
      </c>
      <c r="AW31" s="88">
        <f t="shared" si="12"/>
        <v>171676</v>
      </c>
      <c r="AX31" s="88">
        <f t="shared" si="12"/>
        <v>171676</v>
      </c>
      <c r="AY31" s="88">
        <f t="shared" si="12"/>
        <v>171676</v>
      </c>
      <c r="AZ31" s="88">
        <f t="shared" si="12"/>
        <v>157601</v>
      </c>
      <c r="BA31" s="88">
        <f t="shared" si="12"/>
        <v>157601</v>
      </c>
      <c r="BB31" s="88">
        <f t="shared" si="12"/>
        <v>157601</v>
      </c>
      <c r="BC31" s="88">
        <f t="shared" si="12"/>
        <v>72310</v>
      </c>
      <c r="BD31" s="88">
        <f t="shared" si="12"/>
        <v>16757</v>
      </c>
      <c r="BE31" s="88">
        <f t="shared" si="12"/>
        <v>16757</v>
      </c>
    </row>
    <row r="32" spans="1:57" x14ac:dyDescent="0.25">
      <c r="A32" s="58" t="s">
        <v>139</v>
      </c>
      <c r="B32" s="89">
        <f>IFERROR(ROUND((B29/B13),2),0)</f>
        <v>1.5</v>
      </c>
      <c r="C32" s="89">
        <f t="shared" ref="C32:BE32" si="13">IFERROR(ROUND((C29/C13),2),0)</f>
        <v>1.5</v>
      </c>
      <c r="D32" s="89">
        <f t="shared" si="13"/>
        <v>1.51</v>
      </c>
      <c r="E32" s="89">
        <f t="shared" si="13"/>
        <v>1.51</v>
      </c>
      <c r="F32" s="89">
        <f t="shared" si="13"/>
        <v>1.51</v>
      </c>
      <c r="G32" s="89">
        <f t="shared" si="13"/>
        <v>1.51</v>
      </c>
      <c r="H32" s="89">
        <f t="shared" si="13"/>
        <v>1.51</v>
      </c>
      <c r="I32" s="89">
        <f t="shared" si="13"/>
        <v>1.65</v>
      </c>
      <c r="J32" s="89">
        <f t="shared" si="13"/>
        <v>1.51</v>
      </c>
      <c r="K32" s="89">
        <f t="shared" si="13"/>
        <v>1.5</v>
      </c>
      <c r="L32" s="89">
        <f t="shared" si="13"/>
        <v>1.64</v>
      </c>
      <c r="M32" s="89">
        <f t="shared" si="13"/>
        <v>1.68</v>
      </c>
      <c r="N32" s="89">
        <f t="shared" si="13"/>
        <v>1.77</v>
      </c>
      <c r="O32" s="89">
        <f t="shared" si="13"/>
        <v>1.77</v>
      </c>
      <c r="P32" s="89">
        <f t="shared" si="13"/>
        <v>1.77</v>
      </c>
      <c r="Q32" s="89">
        <f t="shared" si="13"/>
        <v>1.5</v>
      </c>
      <c r="R32" s="89">
        <f t="shared" si="13"/>
        <v>1.51</v>
      </c>
      <c r="S32" s="89">
        <f t="shared" si="13"/>
        <v>1.68</v>
      </c>
      <c r="T32" s="89">
        <f t="shared" si="13"/>
        <v>1.51</v>
      </c>
      <c r="U32" s="89">
        <f t="shared" si="13"/>
        <v>1.52</v>
      </c>
      <c r="V32" s="89">
        <f t="shared" si="13"/>
        <v>1.52</v>
      </c>
      <c r="W32" s="89">
        <f t="shared" si="13"/>
        <v>1.71</v>
      </c>
      <c r="X32" s="89">
        <f t="shared" si="13"/>
        <v>1.63</v>
      </c>
      <c r="Y32" s="89">
        <f t="shared" si="13"/>
        <v>1.73</v>
      </c>
      <c r="Z32" s="89">
        <v>1.85</v>
      </c>
      <c r="AA32" s="89">
        <f t="shared" si="13"/>
        <v>1.75</v>
      </c>
      <c r="AB32" s="89">
        <v>1.85</v>
      </c>
      <c r="AC32" s="89">
        <v>1.85</v>
      </c>
      <c r="AD32" s="89">
        <v>1.85</v>
      </c>
      <c r="AE32" s="89">
        <v>1.85</v>
      </c>
      <c r="AF32" s="89">
        <f t="shared" si="13"/>
        <v>1.71</v>
      </c>
      <c r="AG32" s="89">
        <v>1.85</v>
      </c>
      <c r="AH32" s="89">
        <f t="shared" si="13"/>
        <v>1.71</v>
      </c>
      <c r="AI32" s="89">
        <f t="shared" si="13"/>
        <v>1.52</v>
      </c>
      <c r="AJ32" s="89">
        <f t="shared" si="13"/>
        <v>1.51</v>
      </c>
      <c r="AK32" s="89">
        <f t="shared" si="13"/>
        <v>1.78</v>
      </c>
      <c r="AL32" s="89">
        <f t="shared" si="13"/>
        <v>1.78</v>
      </c>
      <c r="AM32" s="89">
        <f t="shared" si="13"/>
        <v>1.78</v>
      </c>
      <c r="AN32" s="89">
        <f t="shared" si="13"/>
        <v>1.5</v>
      </c>
      <c r="AO32" s="89">
        <f t="shared" si="13"/>
        <v>1.51</v>
      </c>
      <c r="AP32" s="89">
        <f t="shared" si="13"/>
        <v>1.5</v>
      </c>
      <c r="AQ32" s="89">
        <f t="shared" si="13"/>
        <v>1.51</v>
      </c>
      <c r="AR32" s="89">
        <f t="shared" si="13"/>
        <v>1.5</v>
      </c>
      <c r="AS32" s="89">
        <f t="shared" si="13"/>
        <v>1.5</v>
      </c>
      <c r="AT32" s="89">
        <f t="shared" si="13"/>
        <v>1.5</v>
      </c>
      <c r="AU32" s="89">
        <f t="shared" si="13"/>
        <v>1.5</v>
      </c>
      <c r="AV32" s="89">
        <f t="shared" si="13"/>
        <v>1.5</v>
      </c>
      <c r="AW32" s="89">
        <f t="shared" si="13"/>
        <v>1.5</v>
      </c>
      <c r="AX32" s="89">
        <f t="shared" si="13"/>
        <v>1.5</v>
      </c>
      <c r="AY32" s="89">
        <f t="shared" si="13"/>
        <v>1.5</v>
      </c>
      <c r="AZ32" s="89">
        <f t="shared" si="13"/>
        <v>1.5</v>
      </c>
      <c r="BA32" s="89">
        <f t="shared" si="13"/>
        <v>1.5</v>
      </c>
      <c r="BB32" s="89">
        <f t="shared" si="13"/>
        <v>1.5</v>
      </c>
      <c r="BC32" s="89">
        <f t="shared" si="13"/>
        <v>1.63</v>
      </c>
      <c r="BD32" s="89">
        <f t="shared" si="13"/>
        <v>0</v>
      </c>
      <c r="BE32" s="89">
        <f t="shared" si="13"/>
        <v>0</v>
      </c>
    </row>
    <row r="33" spans="1:33" x14ac:dyDescent="0.25">
      <c r="H33" s="87"/>
      <c r="J33" s="87"/>
      <c r="AD33" s="161">
        <f>AD30+AD31</f>
        <v>166500</v>
      </c>
      <c r="AG33" s="161">
        <f>AG30+AG31</f>
        <v>99900</v>
      </c>
    </row>
    <row r="37" spans="1:33" s="18" customFormat="1" x14ac:dyDescent="0.25">
      <c r="A37" s="72" t="s">
        <v>46</v>
      </c>
      <c r="B37" s="73" t="s">
        <v>47</v>
      </c>
      <c r="C37" s="72" t="s">
        <v>268</v>
      </c>
      <c r="D37" s="517" t="s">
        <v>269</v>
      </c>
      <c r="E37" s="517"/>
    </row>
    <row r="38" spans="1:33" ht="26.45" customHeight="1" x14ac:dyDescent="0.25">
      <c r="A38" s="74" t="s">
        <v>270</v>
      </c>
      <c r="B38" s="75" t="s">
        <v>273</v>
      </c>
      <c r="C38" s="75">
        <v>56000</v>
      </c>
      <c r="D38" s="518" t="s">
        <v>278</v>
      </c>
      <c r="E38" s="519"/>
    </row>
    <row r="39" spans="1:33" ht="25.15" customHeight="1" x14ac:dyDescent="0.25">
      <c r="A39" s="74" t="s">
        <v>271</v>
      </c>
      <c r="B39" s="75" t="s">
        <v>274</v>
      </c>
      <c r="C39" s="75">
        <v>35000</v>
      </c>
      <c r="D39" s="518" t="s">
        <v>279</v>
      </c>
      <c r="E39" s="519"/>
    </row>
    <row r="40" spans="1:33" ht="28.15" customHeight="1" x14ac:dyDescent="0.25">
      <c r="A40" s="74" t="s">
        <v>272</v>
      </c>
      <c r="B40" s="75" t="s">
        <v>274</v>
      </c>
      <c r="C40" s="75">
        <v>35000</v>
      </c>
      <c r="D40" s="518" t="s">
        <v>280</v>
      </c>
      <c r="E40" s="519"/>
    </row>
    <row r="41" spans="1:33" x14ac:dyDescent="0.25">
      <c r="A41" s="516" t="s">
        <v>275</v>
      </c>
      <c r="B41" s="516"/>
      <c r="C41" s="76">
        <f>SUM(C38:C40)</f>
        <v>126000</v>
      </c>
    </row>
    <row r="42" spans="1:33" x14ac:dyDescent="0.25">
      <c r="A42" s="516" t="s">
        <v>276</v>
      </c>
      <c r="B42" s="516"/>
      <c r="C42" s="75">
        <v>3</v>
      </c>
    </row>
    <row r="43" spans="1:33" x14ac:dyDescent="0.25">
      <c r="A43" s="516" t="s">
        <v>277</v>
      </c>
      <c r="B43" s="516"/>
      <c r="C43" s="77">
        <f>C41*C42</f>
        <v>378000</v>
      </c>
    </row>
    <row r="46" spans="1:33" x14ac:dyDescent="0.25">
      <c r="A46" s="520" t="s">
        <v>281</v>
      </c>
      <c r="B46" s="520"/>
      <c r="C46" s="520"/>
      <c r="D46" s="520"/>
      <c r="E46" s="520"/>
      <c r="F46" s="520"/>
      <c r="G46" s="520"/>
      <c r="H46" s="520"/>
      <c r="I46" s="520"/>
      <c r="J46" s="520"/>
    </row>
    <row r="47" spans="1:33" x14ac:dyDescent="0.25">
      <c r="A47" s="521" t="s">
        <v>46</v>
      </c>
      <c r="B47" s="521"/>
      <c r="C47" s="78" t="s">
        <v>47</v>
      </c>
      <c r="D47" s="78" t="s">
        <v>48</v>
      </c>
      <c r="E47" s="78" t="s">
        <v>282</v>
      </c>
      <c r="F47" s="79" t="s">
        <v>283</v>
      </c>
      <c r="G47" s="522" t="s">
        <v>269</v>
      </c>
      <c r="H47" s="522"/>
      <c r="I47" s="522"/>
      <c r="J47" s="522"/>
    </row>
    <row r="48" spans="1:33" ht="21" customHeight="1" x14ac:dyDescent="0.25">
      <c r="A48" s="523" t="s">
        <v>284</v>
      </c>
      <c r="B48" s="524"/>
      <c r="C48" s="27" t="s">
        <v>133</v>
      </c>
      <c r="D48" s="27">
        <v>1</v>
      </c>
      <c r="E48" s="80">
        <v>13000</v>
      </c>
      <c r="F48" s="81">
        <f t="shared" ref="F48:F58" si="14">+D48*E48</f>
        <v>13000</v>
      </c>
      <c r="G48" s="525" t="s">
        <v>285</v>
      </c>
      <c r="H48" s="518"/>
      <c r="I48" s="518"/>
      <c r="J48" s="519"/>
    </row>
    <row r="49" spans="1:10" ht="23.45" customHeight="1" x14ac:dyDescent="0.25">
      <c r="A49" s="523" t="s">
        <v>286</v>
      </c>
      <c r="B49" s="524"/>
      <c r="C49" s="27" t="s">
        <v>133</v>
      </c>
      <c r="D49" s="27">
        <v>2</v>
      </c>
      <c r="E49" s="80">
        <v>9000</v>
      </c>
      <c r="F49" s="81">
        <f t="shared" si="14"/>
        <v>18000</v>
      </c>
      <c r="G49" s="525" t="s">
        <v>287</v>
      </c>
      <c r="H49" s="518"/>
      <c r="I49" s="518"/>
      <c r="J49" s="519"/>
    </row>
    <row r="50" spans="1:10" ht="27" customHeight="1" x14ac:dyDescent="0.25">
      <c r="A50" s="526" t="s">
        <v>288</v>
      </c>
      <c r="B50" s="527"/>
      <c r="C50" s="35" t="s">
        <v>289</v>
      </c>
      <c r="D50" s="27">
        <v>5.2</v>
      </c>
      <c r="E50" s="80">
        <v>14000</v>
      </c>
      <c r="F50" s="81">
        <f t="shared" si="14"/>
        <v>72800</v>
      </c>
      <c r="G50" s="525" t="s">
        <v>290</v>
      </c>
      <c r="H50" s="518"/>
      <c r="I50" s="518"/>
      <c r="J50" s="519"/>
    </row>
    <row r="51" spans="1:10" ht="22.15" customHeight="1" x14ac:dyDescent="0.25">
      <c r="A51" s="526" t="s">
        <v>291</v>
      </c>
      <c r="B51" s="527"/>
      <c r="C51" s="35" t="s">
        <v>289</v>
      </c>
      <c r="D51" s="27">
        <v>26</v>
      </c>
      <c r="E51" s="80">
        <v>5000</v>
      </c>
      <c r="F51" s="81">
        <f t="shared" si="14"/>
        <v>130000</v>
      </c>
      <c r="G51" s="525" t="s">
        <v>292</v>
      </c>
      <c r="H51" s="518"/>
      <c r="I51" s="518"/>
      <c r="J51" s="519"/>
    </row>
    <row r="52" spans="1:10" ht="25.9" customHeight="1" x14ac:dyDescent="0.25">
      <c r="A52" s="526" t="s">
        <v>293</v>
      </c>
      <c r="B52" s="527"/>
      <c r="C52" s="35" t="s">
        <v>289</v>
      </c>
      <c r="D52" s="27">
        <v>1.3</v>
      </c>
      <c r="E52" s="80">
        <v>41000</v>
      </c>
      <c r="F52" s="81">
        <f t="shared" si="14"/>
        <v>53300</v>
      </c>
      <c r="G52" s="525" t="s">
        <v>294</v>
      </c>
      <c r="H52" s="518"/>
      <c r="I52" s="518"/>
      <c r="J52" s="519"/>
    </row>
    <row r="53" spans="1:10" ht="24.6" customHeight="1" x14ac:dyDescent="0.25">
      <c r="A53" s="526" t="s">
        <v>295</v>
      </c>
      <c r="B53" s="527"/>
      <c r="C53" s="35" t="s">
        <v>133</v>
      </c>
      <c r="D53" s="27">
        <v>4</v>
      </c>
      <c r="E53" s="80">
        <v>23000</v>
      </c>
      <c r="F53" s="81">
        <f t="shared" si="14"/>
        <v>92000</v>
      </c>
      <c r="G53" s="525" t="s">
        <v>296</v>
      </c>
      <c r="H53" s="518"/>
      <c r="I53" s="518"/>
      <c r="J53" s="519"/>
    </row>
    <row r="54" spans="1:10" ht="35.450000000000003" customHeight="1" x14ac:dyDescent="0.25">
      <c r="A54" s="526" t="s">
        <v>297</v>
      </c>
      <c r="B54" s="527"/>
      <c r="C54" s="35" t="s">
        <v>133</v>
      </c>
      <c r="D54" s="27">
        <v>0.60000000000000009</v>
      </c>
      <c r="E54" s="80">
        <v>25000</v>
      </c>
      <c r="F54" s="81">
        <f t="shared" si="14"/>
        <v>15000.000000000002</v>
      </c>
      <c r="G54" s="525" t="s">
        <v>298</v>
      </c>
      <c r="H54" s="518"/>
      <c r="I54" s="518"/>
      <c r="J54" s="519"/>
    </row>
    <row r="55" spans="1:10" ht="27.6" customHeight="1" x14ac:dyDescent="0.25">
      <c r="A55" s="526" t="s">
        <v>299</v>
      </c>
      <c r="B55" s="527"/>
      <c r="C55" s="35" t="s">
        <v>133</v>
      </c>
      <c r="D55" s="27">
        <v>10.4</v>
      </c>
      <c r="E55" s="80">
        <v>5000</v>
      </c>
      <c r="F55" s="81">
        <f t="shared" si="14"/>
        <v>52000</v>
      </c>
      <c r="G55" s="525" t="s">
        <v>300</v>
      </c>
      <c r="H55" s="518"/>
      <c r="I55" s="518"/>
      <c r="J55" s="519"/>
    </row>
    <row r="56" spans="1:10" ht="37.15" customHeight="1" x14ac:dyDescent="0.25">
      <c r="A56" s="526" t="s">
        <v>301</v>
      </c>
      <c r="B56" s="527"/>
      <c r="C56" s="35" t="s">
        <v>133</v>
      </c>
      <c r="D56" s="27">
        <v>52</v>
      </c>
      <c r="E56" s="80">
        <v>2400</v>
      </c>
      <c r="F56" s="81">
        <f t="shared" si="14"/>
        <v>124800</v>
      </c>
      <c r="G56" s="525" t="s">
        <v>302</v>
      </c>
      <c r="H56" s="518"/>
      <c r="I56" s="518"/>
      <c r="J56" s="519"/>
    </row>
    <row r="57" spans="1:10" ht="30" customHeight="1" x14ac:dyDescent="0.25">
      <c r="A57" s="526" t="s">
        <v>303</v>
      </c>
      <c r="B57" s="527"/>
      <c r="C57" s="35" t="s">
        <v>133</v>
      </c>
      <c r="D57" s="27">
        <v>1.2</v>
      </c>
      <c r="E57" s="80">
        <v>24000</v>
      </c>
      <c r="F57" s="81">
        <f t="shared" si="14"/>
        <v>28800</v>
      </c>
      <c r="G57" s="525" t="s">
        <v>304</v>
      </c>
      <c r="H57" s="518"/>
      <c r="I57" s="518"/>
      <c r="J57" s="519"/>
    </row>
    <row r="58" spans="1:10" ht="34.15" customHeight="1" x14ac:dyDescent="0.25">
      <c r="A58" s="526" t="s">
        <v>305</v>
      </c>
      <c r="B58" s="527"/>
      <c r="C58" s="35" t="s">
        <v>133</v>
      </c>
      <c r="D58" s="27">
        <v>0.25</v>
      </c>
      <c r="E58" s="80">
        <v>250000</v>
      </c>
      <c r="F58" s="81">
        <f t="shared" si="14"/>
        <v>62500</v>
      </c>
      <c r="G58" s="525" t="s">
        <v>306</v>
      </c>
      <c r="H58" s="518"/>
      <c r="I58" s="518"/>
      <c r="J58" s="519"/>
    </row>
    <row r="59" spans="1:10" x14ac:dyDescent="0.25">
      <c r="A59" s="528" t="s">
        <v>307</v>
      </c>
      <c r="B59" s="528"/>
      <c r="C59" s="82"/>
      <c r="D59" s="83"/>
      <c r="E59" s="84"/>
      <c r="F59" s="85">
        <f>SUM(F48:F58)</f>
        <v>662200</v>
      </c>
      <c r="G59" s="86"/>
      <c r="H59" s="86"/>
      <c r="I59" s="86"/>
      <c r="J59" s="86"/>
    </row>
    <row r="61" spans="1:10" x14ac:dyDescent="0.25">
      <c r="A61" s="520" t="s">
        <v>308</v>
      </c>
      <c r="B61" s="520"/>
      <c r="C61" s="520"/>
      <c r="D61" s="520"/>
      <c r="E61" s="520"/>
      <c r="F61" s="520"/>
      <c r="G61" s="520"/>
      <c r="H61" s="520"/>
      <c r="I61" s="520"/>
      <c r="J61" s="520"/>
    </row>
    <row r="62" spans="1:10" x14ac:dyDescent="0.25">
      <c r="A62" s="521" t="s">
        <v>46</v>
      </c>
      <c r="B62" s="521"/>
      <c r="C62" s="78" t="s">
        <v>47</v>
      </c>
      <c r="D62" s="78" t="s">
        <v>48</v>
      </c>
      <c r="E62" s="78" t="s">
        <v>282</v>
      </c>
      <c r="F62" s="79" t="s">
        <v>283</v>
      </c>
      <c r="G62" s="522" t="s">
        <v>269</v>
      </c>
      <c r="H62" s="522"/>
      <c r="I62" s="522"/>
      <c r="J62" s="522"/>
    </row>
    <row r="63" spans="1:10" ht="28.15" customHeight="1" x14ac:dyDescent="0.25">
      <c r="A63" s="523" t="s">
        <v>284</v>
      </c>
      <c r="B63" s="524"/>
      <c r="C63" s="27" t="s">
        <v>133</v>
      </c>
      <c r="D63" s="27">
        <v>1</v>
      </c>
      <c r="E63" s="80">
        <v>23000</v>
      </c>
      <c r="F63" s="81">
        <f t="shared" ref="F63:F69" si="15">+D63*E63</f>
        <v>23000</v>
      </c>
      <c r="G63" s="525" t="s">
        <v>309</v>
      </c>
      <c r="H63" s="518"/>
      <c r="I63" s="518"/>
      <c r="J63" s="519"/>
    </row>
    <row r="64" spans="1:10" ht="28.15" customHeight="1" x14ac:dyDescent="0.25">
      <c r="A64" s="523" t="s">
        <v>286</v>
      </c>
      <c r="B64" s="524"/>
      <c r="C64" s="27" t="s">
        <v>133</v>
      </c>
      <c r="D64" s="27">
        <v>2</v>
      </c>
      <c r="E64" s="80">
        <v>9000</v>
      </c>
      <c r="F64" s="81">
        <f t="shared" si="15"/>
        <v>18000</v>
      </c>
      <c r="G64" s="525" t="s">
        <v>287</v>
      </c>
      <c r="H64" s="518"/>
      <c r="I64" s="518"/>
      <c r="J64" s="519"/>
    </row>
    <row r="65" spans="1:10" ht="30" customHeight="1" x14ac:dyDescent="0.25">
      <c r="A65" s="526" t="s">
        <v>299</v>
      </c>
      <c r="B65" s="527"/>
      <c r="C65" s="35" t="s">
        <v>133</v>
      </c>
      <c r="D65" s="27">
        <v>2</v>
      </c>
      <c r="E65" s="80">
        <v>17900</v>
      </c>
      <c r="F65" s="81">
        <f t="shared" si="15"/>
        <v>35800</v>
      </c>
      <c r="G65" s="525" t="s">
        <v>310</v>
      </c>
      <c r="H65" s="518"/>
      <c r="I65" s="518"/>
      <c r="J65" s="519"/>
    </row>
    <row r="66" spans="1:10" ht="28.9" customHeight="1" x14ac:dyDescent="0.25">
      <c r="A66" s="526" t="s">
        <v>311</v>
      </c>
      <c r="B66" s="527"/>
      <c r="C66" s="35" t="s">
        <v>133</v>
      </c>
      <c r="D66" s="27">
        <v>2</v>
      </c>
      <c r="E66" s="80">
        <v>14000</v>
      </c>
      <c r="F66" s="81">
        <f t="shared" si="15"/>
        <v>28000</v>
      </c>
      <c r="G66" s="525" t="s">
        <v>312</v>
      </c>
      <c r="H66" s="518"/>
      <c r="I66" s="518"/>
      <c r="J66" s="519"/>
    </row>
    <row r="67" spans="1:10" ht="27" customHeight="1" x14ac:dyDescent="0.25">
      <c r="A67" s="526" t="s">
        <v>301</v>
      </c>
      <c r="B67" s="527"/>
      <c r="C67" s="35" t="s">
        <v>133</v>
      </c>
      <c r="D67" s="27">
        <v>12</v>
      </c>
      <c r="E67" s="80">
        <v>3600</v>
      </c>
      <c r="F67" s="81">
        <f t="shared" si="15"/>
        <v>43200</v>
      </c>
      <c r="G67" s="525" t="s">
        <v>313</v>
      </c>
      <c r="H67" s="518"/>
      <c r="I67" s="518"/>
      <c r="J67" s="519"/>
    </row>
    <row r="68" spans="1:10" ht="32.450000000000003" customHeight="1" x14ac:dyDescent="0.25">
      <c r="A68" s="526" t="s">
        <v>295</v>
      </c>
      <c r="B68" s="527"/>
      <c r="C68" s="35" t="s">
        <v>133</v>
      </c>
      <c r="D68" s="27">
        <v>2</v>
      </c>
      <c r="E68" s="80">
        <v>90000</v>
      </c>
      <c r="F68" s="81">
        <f t="shared" si="15"/>
        <v>180000</v>
      </c>
      <c r="G68" s="525" t="s">
        <v>314</v>
      </c>
      <c r="H68" s="518"/>
      <c r="I68" s="518"/>
      <c r="J68" s="519"/>
    </row>
    <row r="69" spans="1:10" ht="28.9" customHeight="1" x14ac:dyDescent="0.25">
      <c r="A69" s="526" t="s">
        <v>305</v>
      </c>
      <c r="B69" s="527"/>
      <c r="C69" s="35" t="s">
        <v>133</v>
      </c>
      <c r="D69" s="27">
        <v>0.25</v>
      </c>
      <c r="E69" s="80">
        <v>250000</v>
      </c>
      <c r="F69" s="81">
        <f t="shared" si="15"/>
        <v>62500</v>
      </c>
      <c r="G69" s="525" t="s">
        <v>306</v>
      </c>
      <c r="H69" s="518"/>
      <c r="I69" s="518"/>
      <c r="J69" s="519"/>
    </row>
    <row r="70" spans="1:10" x14ac:dyDescent="0.25">
      <c r="A70" s="528" t="s">
        <v>307</v>
      </c>
      <c r="B70" s="528"/>
      <c r="C70" s="82"/>
      <c r="D70" s="83"/>
      <c r="E70" s="84"/>
      <c r="F70" s="85">
        <f>SUM(F63:F69)</f>
        <v>390500</v>
      </c>
      <c r="G70" s="86"/>
      <c r="H70" s="86"/>
      <c r="I70" s="86"/>
      <c r="J70" s="86"/>
    </row>
  </sheetData>
  <protectedRanges>
    <protectedRange sqref="B10:BC10 BD8:BE10" name="Rango1"/>
  </protectedRanges>
  <mergeCells count="68">
    <mergeCell ref="A69:B69"/>
    <mergeCell ref="G69:J69"/>
    <mergeCell ref="A70:B70"/>
    <mergeCell ref="A66:B66"/>
    <mergeCell ref="G66:J66"/>
    <mergeCell ref="A67:B67"/>
    <mergeCell ref="G67:J67"/>
    <mergeCell ref="A68:B68"/>
    <mergeCell ref="G68:J68"/>
    <mergeCell ref="A63:B63"/>
    <mergeCell ref="G63:J63"/>
    <mergeCell ref="A64:B64"/>
    <mergeCell ref="G64:J64"/>
    <mergeCell ref="A65:B65"/>
    <mergeCell ref="G65:J65"/>
    <mergeCell ref="A58:B58"/>
    <mergeCell ref="G58:J58"/>
    <mergeCell ref="A59:B59"/>
    <mergeCell ref="A61:J61"/>
    <mergeCell ref="A62:B62"/>
    <mergeCell ref="G62:J62"/>
    <mergeCell ref="A55:B55"/>
    <mergeCell ref="G55:J55"/>
    <mergeCell ref="A56:B56"/>
    <mergeCell ref="G56:J56"/>
    <mergeCell ref="A57:B57"/>
    <mergeCell ref="G57:J57"/>
    <mergeCell ref="A52:B52"/>
    <mergeCell ref="G52:J52"/>
    <mergeCell ref="A53:B53"/>
    <mergeCell ref="G53:J53"/>
    <mergeCell ref="A54:B54"/>
    <mergeCell ref="G54:J54"/>
    <mergeCell ref="A49:B49"/>
    <mergeCell ref="G49:J49"/>
    <mergeCell ref="A50:B50"/>
    <mergeCell ref="G50:J50"/>
    <mergeCell ref="A51:B51"/>
    <mergeCell ref="G51:J51"/>
    <mergeCell ref="A46:J46"/>
    <mergeCell ref="A47:B47"/>
    <mergeCell ref="G47:J47"/>
    <mergeCell ref="A48:B48"/>
    <mergeCell ref="G48:J48"/>
    <mergeCell ref="AD5:AQ5"/>
    <mergeCell ref="A41:B41"/>
    <mergeCell ref="A42:B42"/>
    <mergeCell ref="A43:B43"/>
    <mergeCell ref="D37:E37"/>
    <mergeCell ref="D38:E38"/>
    <mergeCell ref="D39:E39"/>
    <mergeCell ref="D40:E40"/>
    <mergeCell ref="AR5:BE5"/>
    <mergeCell ref="A1:A5"/>
    <mergeCell ref="B1:O1"/>
    <mergeCell ref="P1:AC1"/>
    <mergeCell ref="AD1:AQ1"/>
    <mergeCell ref="AR1:BE1"/>
    <mergeCell ref="B2:O2"/>
    <mergeCell ref="P2:AC2"/>
    <mergeCell ref="AD2:AQ2"/>
    <mergeCell ref="AR2:BE2"/>
    <mergeCell ref="B3:O3"/>
    <mergeCell ref="P3:AC3"/>
    <mergeCell ref="AD3:AQ3"/>
    <mergeCell ref="AR3:BE3"/>
    <mergeCell ref="B5:O5"/>
    <mergeCell ref="P5:AC5"/>
  </mergeCells>
  <conditionalFormatting sqref="AK8:AO10">
    <cfRule type="cellIs" dxfId="0" priority="1" operator="equal">
      <formula>0</formula>
    </cfRule>
  </conditionalFormatting>
  <dataValidations count="2">
    <dataValidation type="decimal" allowBlank="1" showInputMessage="1" showErrorMessage="1" sqref="AM10:AO10" xr:uid="{00000000-0002-0000-1500-000000000000}">
      <formula1>1</formula1>
      <formula2>9.99</formula2>
    </dataValidation>
    <dataValidation type="list" allowBlank="1" showInputMessage="1" showErrorMessage="1" sqref="B9:BE9" xr:uid="{00000000-0002-0000-1500-000001000000}">
      <formula1>"ADMÓN,OBRA"</formula1>
    </dataValidation>
  </dataValidations>
  <pageMargins left="0.70866141732283472" right="0.70866141732283472" top="0.74803149606299213" bottom="0.74803149606299213" header="0.31496062992125984" footer="0.31496062992125984"/>
  <pageSetup scale="45" orientation="landscape" horizontalDpi="4294967292" r:id="rId1"/>
  <colBreaks count="3" manualBreakCount="3">
    <brk id="15" max="1048575" man="1"/>
    <brk id="29" max="1048575" man="1"/>
    <brk id="4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17</vt:i4>
      </vt:variant>
    </vt:vector>
  </HeadingPairs>
  <TitlesOfParts>
    <vt:vector size="33" baseType="lpstr">
      <vt:lpstr>DATOS INICIALES</vt:lpstr>
      <vt:lpstr>FICHA TECNICA</vt:lpstr>
      <vt:lpstr>PRESUPUESTO</vt:lpstr>
      <vt:lpstr>INTERV</vt:lpstr>
      <vt:lpstr>FM</vt:lpstr>
      <vt:lpstr>POLIZAS INTER</vt:lpstr>
      <vt:lpstr>TASAS INTERV</vt:lpstr>
      <vt:lpstr>PMT </vt:lpstr>
      <vt:lpstr>AIU CALCULADO</vt:lpstr>
      <vt:lpstr>AIU</vt:lpstr>
      <vt:lpstr>PGIO</vt:lpstr>
      <vt:lpstr>INSUMOS SERVICIOS</vt:lpstr>
      <vt:lpstr>INSUMOS EQUIPOS</vt:lpstr>
      <vt:lpstr>POLIZAS OBRA</vt:lpstr>
      <vt:lpstr>INSUMOS MANO DE OBRA</vt:lpstr>
      <vt:lpstr>FACTOR PRESTACIONAL</vt:lpstr>
      <vt:lpstr>'DATOS INICIALES'!Área_de_impresión</vt:lpstr>
      <vt:lpstr>'FACTOR PRESTACIONAL'!Área_de_impresión</vt:lpstr>
      <vt:lpstr>'FICHA TECNICA'!Área_de_impresión</vt:lpstr>
      <vt:lpstr>FM!Área_de_impresión</vt:lpstr>
      <vt:lpstr>'INSUMOS SERVICIOS'!Área_de_impresión</vt:lpstr>
      <vt:lpstr>INTERV!Área_de_impresión</vt:lpstr>
      <vt:lpstr>'PMT '!Área_de_impresión</vt:lpstr>
      <vt:lpstr>PRESUPUESTO!Área_de_impresión</vt:lpstr>
      <vt:lpstr>CODIGOEQUIPOS</vt:lpstr>
      <vt:lpstr>CODIGOSMANODEOBRA</vt:lpstr>
      <vt:lpstr>CODIGOSSERVICIOS</vt:lpstr>
      <vt:lpstr>DATOSINICIALES</vt:lpstr>
      <vt:lpstr>FACTORPRESTACIONAL</vt:lpstr>
      <vt:lpstr>INSUMOSEQUIPOS</vt:lpstr>
      <vt:lpstr>INSUMOSMANODEOBRA</vt:lpstr>
      <vt:lpstr>INSUMOSSERVICIOS</vt:lpstr>
      <vt:lpstr>PRESUPUESTO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MARLON</dc:creator>
  <cp:lastModifiedBy>asus</cp:lastModifiedBy>
  <cp:lastPrinted>2025-10-03T21:56:04Z</cp:lastPrinted>
  <dcterms:created xsi:type="dcterms:W3CDTF">2021-02-18T21:50:49Z</dcterms:created>
  <dcterms:modified xsi:type="dcterms:W3CDTF">2026-09-24T13:37:04Z</dcterms:modified>
</cp:coreProperties>
</file>