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MANTENIMIENTO PREVENTIVO Y CORRECTIVO ASCENSORES GOLDSTAR/"/>
    </mc:Choice>
  </mc:AlternateContent>
  <xr:revisionPtr revIDLastSave="2" documentId="8_{360159F4-F606-4FC0-B8DD-51F447C388FE}" xr6:coauthVersionLast="47" xr6:coauthVersionMax="47" xr10:uidLastSave="{77121D99-71A8-4A8B-A1C4-2DC09F064D6E}"/>
  <bookViews>
    <workbookView xWindow="-28920" yWindow="-120" windowWidth="29040" windowHeight="15720" firstSheet="1" activeTab="4" xr2:uid="{00000000-000D-0000-FFFF-FFFF00000000}"/>
  </bookViews>
  <sheets>
    <sheet name="PORTADA" sheetId="1" r:id="rId1"/>
    <sheet name="ANEXO 1 - COTIZACIONES" sheetId="2" r:id="rId2"/>
    <sheet name="ANEXO 2 - HISTÓRICO" sheetId="3" r:id="rId3"/>
    <sheet name="ANEXO 3 - CONSOLIDADO" sheetId="4" r:id="rId4"/>
    <sheet name="ANEXO 4 - MERCADO DEFINITIVO" sheetId="5" r:id="rId5"/>
    <sheet name="ÍNDICES IPC"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R13" i="5" l="1"/>
  <c r="E26" i="6"/>
  <c r="E25" i="6"/>
  <c r="E24" i="6"/>
  <c r="E23" i="6"/>
  <c r="E22" i="6"/>
  <c r="D13" i="3" s="1"/>
  <c r="E21" i="6"/>
  <c r="D12" i="3" s="1"/>
  <c r="F21" i="5"/>
  <c r="F20" i="5"/>
  <c r="F19" i="5"/>
  <c r="F18" i="5"/>
  <c r="F17" i="5"/>
  <c r="N12" i="5"/>
  <c r="J12" i="5"/>
  <c r="F12" i="5"/>
  <c r="N11" i="5"/>
  <c r="J11" i="5"/>
  <c r="F11" i="5"/>
  <c r="N10" i="5"/>
  <c r="J10" i="5"/>
  <c r="F10" i="5"/>
  <c r="N9" i="5"/>
  <c r="J9" i="5"/>
  <c r="F9" i="5"/>
  <c r="N8" i="5"/>
  <c r="J8" i="5"/>
  <c r="F8" i="5"/>
  <c r="H46" i="4"/>
  <c r="F44" i="4"/>
  <c r="E44" i="4"/>
  <c r="G43" i="4"/>
  <c r="F43" i="4"/>
  <c r="E43" i="4"/>
  <c r="H38" i="4"/>
  <c r="H37" i="4"/>
  <c r="H36" i="4"/>
  <c r="H35" i="4"/>
  <c r="E35" i="4"/>
  <c r="E17" i="4"/>
  <c r="J17" i="4" s="1"/>
  <c r="D17" i="4"/>
  <c r="C17" i="4"/>
  <c r="E16" i="4"/>
  <c r="D16" i="4"/>
  <c r="C16" i="4"/>
  <c r="E15" i="4"/>
  <c r="D15" i="4"/>
  <c r="C15" i="4"/>
  <c r="E14" i="4"/>
  <c r="D14" i="4"/>
  <c r="C14" i="4"/>
  <c r="E13" i="4"/>
  <c r="D13" i="4"/>
  <c r="C13" i="4"/>
  <c r="E12" i="4"/>
  <c r="D12" i="4"/>
  <c r="C12" i="4"/>
  <c r="E11" i="4"/>
  <c r="D11" i="4"/>
  <c r="C11" i="4"/>
  <c r="E10" i="4"/>
  <c r="D10" i="4"/>
  <c r="C10" i="4"/>
  <c r="E9" i="4"/>
  <c r="D9" i="4"/>
  <c r="C9" i="4"/>
  <c r="E8" i="4"/>
  <c r="D8" i="4"/>
  <c r="C8" i="4"/>
  <c r="F28" i="3"/>
  <c r="E28" i="3"/>
  <c r="F27" i="3"/>
  <c r="D27" i="3"/>
  <c r="C27" i="3"/>
  <c r="I26" i="3"/>
  <c r="F26" i="3"/>
  <c r="D26" i="3"/>
  <c r="C26" i="3"/>
  <c r="F25" i="3"/>
  <c r="D25" i="3"/>
  <c r="C25" i="3"/>
  <c r="F24" i="3"/>
  <c r="D24" i="3"/>
  <c r="C24" i="3"/>
  <c r="F23" i="3"/>
  <c r="D23" i="3"/>
  <c r="C23" i="3"/>
  <c r="F22" i="3"/>
  <c r="D22" i="3"/>
  <c r="C22" i="3"/>
  <c r="F21" i="3"/>
  <c r="D21" i="3"/>
  <c r="C21" i="3"/>
  <c r="F20" i="3"/>
  <c r="D20" i="3"/>
  <c r="C20" i="3"/>
  <c r="F19" i="3"/>
  <c r="D19" i="3"/>
  <c r="C19" i="3"/>
  <c r="F18" i="3"/>
  <c r="D18" i="3"/>
  <c r="C18" i="3"/>
  <c r="D11" i="3"/>
  <c r="D10" i="3"/>
  <c r="D9" i="3"/>
  <c r="F31" i="2"/>
  <c r="G30" i="2"/>
  <c r="G29" i="2"/>
  <c r="G28" i="2"/>
  <c r="G27" i="2"/>
  <c r="G26" i="2"/>
  <c r="F22" i="2"/>
  <c r="H21" i="2"/>
  <c r="H20" i="2"/>
  <c r="H19" i="2"/>
  <c r="H18" i="2"/>
  <c r="H17" i="2"/>
  <c r="F45" i="4" l="1"/>
  <c r="E45" i="4"/>
  <c r="E47" i="4" s="1"/>
  <c r="E48" i="4" s="1"/>
  <c r="H43" i="4"/>
  <c r="E21" i="5"/>
  <c r="D31" i="4"/>
  <c r="C21" i="5"/>
  <c r="C31" i="4"/>
  <c r="D30" i="4"/>
  <c r="E20" i="5"/>
  <c r="C30" i="4"/>
  <c r="C20" i="5"/>
  <c r="D29" i="4"/>
  <c r="E19" i="5"/>
  <c r="C29" i="4"/>
  <c r="C19" i="5"/>
  <c r="D28" i="4"/>
  <c r="E18" i="5"/>
  <c r="C28" i="4"/>
  <c r="C18" i="5"/>
  <c r="D27" i="4"/>
  <c r="E17" i="5"/>
  <c r="C27" i="4"/>
  <c r="C17" i="5"/>
  <c r="D26" i="4"/>
  <c r="E12" i="5"/>
  <c r="C26" i="4"/>
  <c r="C12" i="5"/>
  <c r="D25" i="4"/>
  <c r="E11" i="5"/>
  <c r="C25" i="4"/>
  <c r="C11" i="5"/>
  <c r="D24" i="4"/>
  <c r="E10" i="5"/>
  <c r="C24" i="4"/>
  <c r="C10" i="5"/>
  <c r="D23" i="4"/>
  <c r="E9" i="5"/>
  <c r="C23" i="4"/>
  <c r="C9" i="5"/>
  <c r="D22" i="4"/>
  <c r="E8" i="5"/>
  <c r="C22" i="4"/>
  <c r="C8" i="5"/>
  <c r="G18" i="3"/>
  <c r="G20" i="3"/>
  <c r="H10" i="4" s="1"/>
  <c r="E24" i="4" s="1"/>
  <c r="G21" i="3"/>
  <c r="H11" i="4" s="1"/>
  <c r="E25" i="4" s="1"/>
  <c r="G22" i="3"/>
  <c r="H12" i="4" s="1"/>
  <c r="E26" i="4" s="1"/>
  <c r="G23" i="3"/>
  <c r="H13" i="4" s="1"/>
  <c r="E27" i="4" s="1"/>
  <c r="G24" i="3"/>
  <c r="H14" i="4" s="1"/>
  <c r="G25" i="3"/>
  <c r="H15" i="4" s="1"/>
  <c r="G26" i="3"/>
  <c r="G27" i="3"/>
  <c r="H17" i="4" s="1"/>
  <c r="E31" i="4" s="1"/>
  <c r="G19" i="3"/>
  <c r="H9" i="4" s="1"/>
  <c r="E23" i="4" s="1"/>
  <c r="F31" i="4"/>
  <c r="G21" i="5"/>
  <c r="H21" i="5" s="1"/>
  <c r="J16" i="4"/>
  <c r="J15" i="4"/>
  <c r="J14" i="4"/>
  <c r="J13" i="4"/>
  <c r="J12" i="4"/>
  <c r="J11" i="4"/>
  <c r="J10" i="4"/>
  <c r="J9" i="4"/>
  <c r="J8" i="4"/>
  <c r="I27" i="3"/>
  <c r="H27" i="3"/>
  <c r="I17" i="4" s="1"/>
  <c r="I25" i="3"/>
  <c r="H25" i="3"/>
  <c r="I15" i="4" s="1"/>
  <c r="H24" i="3"/>
  <c r="I14" i="4" s="1"/>
  <c r="I24" i="3"/>
  <c r="I23" i="3"/>
  <c r="H23" i="3"/>
  <c r="I13" i="4" s="1"/>
  <c r="H22" i="3"/>
  <c r="I12" i="4" s="1"/>
  <c r="I22" i="3"/>
  <c r="H21" i="3"/>
  <c r="I11" i="4" s="1"/>
  <c r="I21" i="3"/>
  <c r="H20" i="3"/>
  <c r="I10" i="4" s="1"/>
  <c r="I20" i="3"/>
  <c r="I19" i="3"/>
  <c r="H19" i="3"/>
  <c r="I9" i="4" s="1"/>
  <c r="I18" i="3"/>
  <c r="H18" i="3"/>
  <c r="F17" i="4"/>
  <c r="H30" i="2"/>
  <c r="G17" i="4" s="1"/>
  <c r="L17" i="4" s="1"/>
  <c r="K21" i="5" s="1"/>
  <c r="L21" i="5" s="1"/>
  <c r="F16" i="4"/>
  <c r="K16" i="4" s="1"/>
  <c r="I20" i="5" s="1"/>
  <c r="J20" i="5" s="1"/>
  <c r="H29" i="2"/>
  <c r="G16" i="4" s="1"/>
  <c r="L16" i="4" s="1"/>
  <c r="K20" i="5" s="1"/>
  <c r="L20" i="5" s="1"/>
  <c r="H28" i="2"/>
  <c r="G15" i="4" s="1"/>
  <c r="L15" i="4" s="1"/>
  <c r="K19" i="5" s="1"/>
  <c r="L19" i="5" s="1"/>
  <c r="F15" i="4"/>
  <c r="K15" i="4" s="1"/>
  <c r="I19" i="5" s="1"/>
  <c r="J19" i="5" s="1"/>
  <c r="F14" i="4"/>
  <c r="K14" i="4" s="1"/>
  <c r="I18" i="5" s="1"/>
  <c r="J18" i="5" s="1"/>
  <c r="H27" i="2"/>
  <c r="G14" i="4" s="1"/>
  <c r="L14" i="4" s="1"/>
  <c r="K18" i="5" s="1"/>
  <c r="L18" i="5" s="1"/>
  <c r="F13" i="4"/>
  <c r="K13" i="4" s="1"/>
  <c r="I17" i="5" s="1"/>
  <c r="G31" i="2"/>
  <c r="H26" i="2"/>
  <c r="F12" i="4"/>
  <c r="K12" i="4" s="1"/>
  <c r="K12" i="5" s="1"/>
  <c r="L12" i="5" s="1"/>
  <c r="M12" i="5" s="1"/>
  <c r="J21" i="2"/>
  <c r="J20" i="2"/>
  <c r="F11" i="4"/>
  <c r="F10" i="4"/>
  <c r="J19" i="2"/>
  <c r="G10" i="4" s="1"/>
  <c r="L10" i="4" s="1"/>
  <c r="O10" i="5" s="1"/>
  <c r="P10" i="5" s="1"/>
  <c r="Q10" i="5" s="1"/>
  <c r="K19" i="2"/>
  <c r="L19" i="2" s="1"/>
  <c r="J18" i="2"/>
  <c r="F9" i="4"/>
  <c r="H22" i="2"/>
  <c r="F8" i="4"/>
  <c r="J17" i="2"/>
  <c r="K17" i="2" s="1"/>
  <c r="H26" i="3"/>
  <c r="I16" i="4" s="1"/>
  <c r="F47" i="4" l="1"/>
  <c r="L27" i="5" s="1"/>
  <c r="F48" i="4"/>
  <c r="G28" i="3"/>
  <c r="H8" i="4"/>
  <c r="C41" i="1"/>
  <c r="F49" i="4"/>
  <c r="E49" i="4"/>
  <c r="C40" i="1"/>
  <c r="I27" i="5"/>
  <c r="H31" i="4"/>
  <c r="I31" i="4"/>
  <c r="G31" i="4"/>
  <c r="F30" i="4"/>
  <c r="G20" i="5"/>
  <c r="H20" i="5" s="1"/>
  <c r="F29" i="4"/>
  <c r="G19" i="5"/>
  <c r="H19" i="5" s="1"/>
  <c r="F28" i="4"/>
  <c r="G18" i="5"/>
  <c r="H18" i="5" s="1"/>
  <c r="F27" i="4"/>
  <c r="G17" i="5"/>
  <c r="F26" i="4"/>
  <c r="G12" i="5"/>
  <c r="H12" i="5" s="1"/>
  <c r="I12" i="5" s="1"/>
  <c r="F25" i="4"/>
  <c r="G11" i="5"/>
  <c r="H11" i="5" s="1"/>
  <c r="I11" i="5" s="1"/>
  <c r="F24" i="4"/>
  <c r="G10" i="5"/>
  <c r="H10" i="5" s="1"/>
  <c r="I10" i="5" s="1"/>
  <c r="F23" i="4"/>
  <c r="G9" i="5"/>
  <c r="H9" i="5" s="1"/>
  <c r="I9" i="5" s="1"/>
  <c r="G8" i="5"/>
  <c r="H8" i="5" s="1"/>
  <c r="I8" i="5" s="1"/>
  <c r="F22" i="4"/>
  <c r="J27" i="3"/>
  <c r="K27" i="3"/>
  <c r="L27" i="3"/>
  <c r="J25" i="3"/>
  <c r="K25" i="3"/>
  <c r="L25" i="3"/>
  <c r="J24" i="3"/>
  <c r="K24" i="3"/>
  <c r="L24" i="3"/>
  <c r="J23" i="3"/>
  <c r="K23" i="3"/>
  <c r="L23" i="3"/>
  <c r="J22" i="3"/>
  <c r="K22" i="3"/>
  <c r="L22" i="3"/>
  <c r="J21" i="3"/>
  <c r="K21" i="3"/>
  <c r="L21" i="3"/>
  <c r="J20" i="3"/>
  <c r="K20" i="3"/>
  <c r="L20" i="3"/>
  <c r="J19" i="3"/>
  <c r="K19" i="3"/>
  <c r="L19" i="3"/>
  <c r="J18" i="3"/>
  <c r="J28" i="3" s="1"/>
  <c r="K18" i="3"/>
  <c r="L18" i="3"/>
  <c r="I28" i="3"/>
  <c r="I8" i="4"/>
  <c r="H28" i="3"/>
  <c r="K17" i="4"/>
  <c r="I21" i="5" s="1"/>
  <c r="J21" i="5" s="1"/>
  <c r="J17" i="5"/>
  <c r="J22" i="5" s="1"/>
  <c r="I22" i="5"/>
  <c r="H31" i="2"/>
  <c r="G13" i="4"/>
  <c r="L17" i="2"/>
  <c r="J22" i="2"/>
  <c r="G8" i="4"/>
  <c r="L8" i="4" s="1"/>
  <c r="O8" i="5" s="1"/>
  <c r="P8" i="5" s="1"/>
  <c r="Q8" i="5" s="1"/>
  <c r="G44" i="4"/>
  <c r="G45" i="4" s="1"/>
  <c r="E36" i="4"/>
  <c r="E37" i="4"/>
  <c r="E38" i="4"/>
  <c r="E28" i="4"/>
  <c r="E29" i="4"/>
  <c r="H16" i="4"/>
  <c r="J26" i="3"/>
  <c r="L26" i="3"/>
  <c r="K26" i="3"/>
  <c r="G12" i="4"/>
  <c r="L12" i="4" s="1"/>
  <c r="O12" i="5" s="1"/>
  <c r="P12" i="5" s="1"/>
  <c r="Q12" i="5" s="1"/>
  <c r="K21" i="2"/>
  <c r="L21" i="2" s="1"/>
  <c r="G11" i="4"/>
  <c r="L11" i="4" s="1"/>
  <c r="O11" i="5" s="1"/>
  <c r="P11" i="5" s="1"/>
  <c r="Q11" i="5" s="1"/>
  <c r="K20" i="2"/>
  <c r="L20" i="2" s="1"/>
  <c r="K11" i="4"/>
  <c r="K11" i="5" s="1"/>
  <c r="L11" i="5" s="1"/>
  <c r="M11" i="5" s="1"/>
  <c r="K10" i="4"/>
  <c r="K10" i="5" s="1"/>
  <c r="L10" i="5" s="1"/>
  <c r="M10" i="5" s="1"/>
  <c r="G9" i="4"/>
  <c r="L9" i="4" s="1"/>
  <c r="O9" i="5" s="1"/>
  <c r="P9" i="5" s="1"/>
  <c r="Q9" i="5" s="1"/>
  <c r="K18" i="2"/>
  <c r="K9" i="4"/>
  <c r="K9" i="5" s="1"/>
  <c r="L9" i="5" s="1"/>
  <c r="M9" i="5" s="1"/>
  <c r="K8" i="4"/>
  <c r="K8" i="5" s="1"/>
  <c r="L8" i="5" s="1"/>
  <c r="M8" i="5" s="1"/>
  <c r="M13" i="5" l="1"/>
  <c r="L26" i="5" s="1"/>
  <c r="L28" i="5" s="1"/>
  <c r="R12" i="5"/>
  <c r="R11" i="5"/>
  <c r="R10" i="5"/>
  <c r="Q13" i="5"/>
  <c r="O26" i="5" s="1"/>
  <c r="R9" i="5"/>
  <c r="H30" i="4"/>
  <c r="I30" i="4"/>
  <c r="G29" i="4"/>
  <c r="H29" i="4"/>
  <c r="I29" i="4"/>
  <c r="G28" i="4"/>
  <c r="H28" i="4"/>
  <c r="I28" i="4"/>
  <c r="G27" i="4"/>
  <c r="H27" i="4"/>
  <c r="I27" i="4"/>
  <c r="H17" i="5"/>
  <c r="H22" i="5" s="1"/>
  <c r="G22" i="5"/>
  <c r="G26" i="4"/>
  <c r="H26" i="4"/>
  <c r="I26" i="4"/>
  <c r="G25" i="4"/>
  <c r="H25" i="4"/>
  <c r="I25" i="4"/>
  <c r="G24" i="4"/>
  <c r="H24" i="4"/>
  <c r="I24" i="4"/>
  <c r="G23" i="4"/>
  <c r="H23" i="4"/>
  <c r="I23" i="4"/>
  <c r="R8" i="5"/>
  <c r="I13" i="5"/>
  <c r="I26" i="5" s="1"/>
  <c r="I28" i="5" s="1"/>
  <c r="L13" i="4"/>
  <c r="K17" i="5" s="1"/>
  <c r="H45" i="4"/>
  <c r="G47" i="4"/>
  <c r="G48" i="4" s="1"/>
  <c r="E30" i="4"/>
  <c r="G30" i="4" s="1"/>
  <c r="K28" i="3"/>
  <c r="E22" i="4"/>
  <c r="L18" i="2"/>
  <c r="L22" i="2" s="1"/>
  <c r="K22" i="2"/>
  <c r="Q26" i="5" l="1"/>
  <c r="I22" i="4"/>
  <c r="G22" i="4"/>
  <c r="H22" i="4"/>
  <c r="L17" i="5"/>
  <c r="L22" i="5" s="1"/>
  <c r="K22" i="5"/>
  <c r="I45" i="4"/>
  <c r="C38" i="1"/>
  <c r="H47" i="4"/>
  <c r="O27" i="5"/>
  <c r="O28" i="5" s="1"/>
  <c r="H48" i="4"/>
  <c r="H49" i="4" s="1"/>
  <c r="C42" i="1"/>
  <c r="G49" i="4"/>
  <c r="Q27" i="5" l="1"/>
  <c r="Q28" i="5" s="1"/>
  <c r="I47" i="4"/>
  <c r="C39" i="1"/>
  <c r="O30" i="5" l="1"/>
  <c r="C37" i="1" s="1"/>
  <c r="C44" i="1" s="1"/>
  <c r="O31" i="5"/>
</calcChain>
</file>

<file path=xl/sharedStrings.xml><?xml version="1.0" encoding="utf-8"?>
<sst xmlns="http://schemas.openxmlformats.org/spreadsheetml/2006/main" count="379" uniqueCount="274">
  <si>
    <t>ESTUDIO DEL SECTOR – ANÁLISIS ECONÓMICO Y DETERMINACIÓN DEL VALOR DE MERCADO</t>
  </si>
  <si>
    <t>Entidad</t>
  </si>
  <si>
    <t>Fiscalía General de la Nación – Nivel Central</t>
  </si>
  <si>
    <t>Dependencia solicitante</t>
  </si>
  <si>
    <t>Departamento de Construcciones y Administración de Sedes – Subdirección de Bienes y Servicios</t>
  </si>
  <si>
    <t>Objeto</t>
  </si>
  <si>
    <t>PRESTACIÓN DEL SERVICIO DE MANTENIMIENTO PREVENTIVO Y CORRECTIVO TÉCNICO INTEGRAL ESPECIALIZADO CON SUMINISTRO DE INSUMOS Y REPUESTOS, PARA CINCO (5) ASCENSORES DE PASAJEROS MARCA GOLDSTAR CON CONTROL HOSTING MONARCH, DE PROPIEDAD DE LA FISCALÍA GENERAL DE LA NACIÓN.</t>
  </si>
  <si>
    <t>Modalidad de selección (PAA)</t>
  </si>
  <si>
    <t>Subasta inversa</t>
  </si>
  <si>
    <t>Tipo de contrato</t>
  </si>
  <si>
    <t>Prestación de servicios con suministro de insumos y repuestos</t>
  </si>
  <si>
    <t>Plazo de ejecución</t>
  </si>
  <si>
    <t>Veinticuatro (24) meses, del 1 de diciembre de 2026 al 30 de noviembre de 2028</t>
  </si>
  <si>
    <t>Presupuesto registrado en el PAA</t>
  </si>
  <si>
    <t>Proceso de solicitud de información</t>
  </si>
  <si>
    <t>SIP FGN-NC-SIP-447A-2026 – SECOP II</t>
  </si>
  <si>
    <t>Antecedente contractual</t>
  </si>
  <si>
    <t>FGN-NC-MC-0078-2025 (contrato vigente), FGN-NC-MC-0013-2025 y FGN-NC-MC-0006-2024</t>
  </si>
  <si>
    <t>Cotizaciones recibidas</t>
  </si>
  <si>
    <t>Una (1) — ESTILO INGENIERIA S.A., NIT 860.063.830-7, del 24 de agosto de 2026</t>
  </si>
  <si>
    <t>Fecha de elaboración</t>
  </si>
  <si>
    <t>2026-09-03</t>
  </si>
  <si>
    <t>CONTENIDO DEL LIBRO</t>
  </si>
  <si>
    <t>ANEXO 1 - COTIZACIONES</t>
  </si>
  <si>
    <t>Identificación de la cotización recibida, valores unitarios por ítem discriminados para cada una de las tres (3) vigencias de ejecución y análisis sobre la aplicabilidad de la depuración estadística.</t>
  </si>
  <si>
    <t>ANEXO 2 - HISTÓRICO</t>
  </si>
  <si>
    <t>Precios unitarios del contrato antecedente FGN-NC-MC-0078-2025, indexación a julio de 2026 mediante la serie de empalme del IPC y antecedentes contractuales de la Entidad.</t>
  </si>
  <si>
    <t>ANEXO 3 - CONSOLIDADO</t>
  </si>
  <si>
    <t>Consolidación de las fuentes de mercado por ítem y por vigencia, prueba de razonabilidad frente al histórico indexado, verificación de los incrementos interanuales y distribución del presupuesto asignado por vigencia.</t>
  </si>
  <si>
    <t>ANEXO 4 - MERCADO DEFINITIVO</t>
  </si>
  <si>
    <t>Cuadro definitivo del estudio de mercado, precios techo por ítem para las vigencias 2026, 2027 y 2028, y determinación del presupuesto oficial del proceso.</t>
  </si>
  <si>
    <t>ÍNDICES IPC</t>
  </si>
  <si>
    <t>Serie de empalme del DANE utilizada para la indexación y factores aplicados.</t>
  </si>
  <si>
    <t>METODOLOGÍA APLICADA PARA LA DETERMINACIÓN DEL PRECIO</t>
  </si>
  <si>
    <t>Universo de datos</t>
  </si>
  <si>
    <t>Una (1) cotización recibida en el sondeo público de mercado adelantado en el SECOP II, más los precios unitarios del contrato antecedente FGN-NC-MC-0078-2025 traídos a valor presente. La revisión de precios históricos es el mecanismo previsto en la Guía para la Elaboración de Estudios del Sector cuando las especificaciones técnicas del bien o servicio son comparables con las de un proceso anterior.</t>
  </si>
  <si>
    <t>Unidad de comparación</t>
  </si>
  <si>
    <t>Para los ítems 1 a 5, el valor unitario sin IVA de la prestación mensual del servicio por ascensor. Para los ítems 6 a 10, el valor unitario sin IVA de cada repuesto recurrente.</t>
  </si>
  <si>
    <t>Estructura de precios adoptada</t>
  </si>
  <si>
    <t>Tres (3) listas de precios techo, una por cada vigencia fiscal comprendida en el plazo de ejecución: 2026 (un mes), 2027 (doce meses) y 2028 (once meses). Cada lista opera como límite máximo admisible del respectivo ítem durante la vigencia correspondiente. La estructura por vigencia hace explícito el incremento reconocido en cada anualidad, permite verificar su correspondencia con las proyecciones macroeconómicas oficiales y facilita la imputación presupuestal, en tanto cada lista se ejecuta con cargo a la apropiación de la vigencia respectiva.</t>
  </si>
  <si>
    <t>Depuración estadística</t>
  </si>
  <si>
    <t>No aplica. Con una (1) sola cotización el conjunto de datos por ítem se reduce a una observación, de modo que no es posible calcular medidas de dispersión ni aplicar el criterio de promedio más o menos una desviación estándar. La validación se sustituye por las pruebas de razonabilidad contra el histórico indexado.</t>
  </si>
  <si>
    <t>Indexación</t>
  </si>
  <si>
    <t>Valor presente = valor histórico × (índice de la serie de empalme del período de destino ÷ índice del período de origen). Se emplean los índices del DANE, base diciembre de 2018 = 100,00, publicados el 10 de agosto de 2026. Factor F1: julio de 2026 sobre diciembre de 2025. Factor F2: julio de 2026 sobre enero de 2026. La indexación se practica sobre los precios unitarios de cada ítem y no sobre el presupuesto agregado.</t>
  </si>
  <si>
    <t>Prueba 1 – razonabilidad del precio techo 2026</t>
  </si>
  <si>
    <t>Se compara el precio unitario techo de la vigencia 2026 con el precio unitario del contrato antecedente de diciembre de 2025 traído a valor presente con el factor F1. Un precio igual o inferior al valor indexado acredita razonabilidad.</t>
  </si>
  <si>
    <t>Prueba 2 – razonabilidad de los incrementos interanuales</t>
  </si>
  <si>
    <t>Se calcula la variación porcentual entre los precios techo de vigencias consecutivas y se contrasta con la proyección de inflación del Marco Fiscal de Mediano Plazo para 2027 y con la meta de inflación del Banco de la República para 2028. Adicionalmente se verifica que la tasa anualizada equivalente del período completo no supere el IPC observado a julio de 2026.</t>
  </si>
  <si>
    <t>Distribución presupuestal</t>
  </si>
  <si>
    <t>Se respeta el presupuesto asignado a cada vigencia. Dentro de cada una se cubre primero el valor de las prestaciones mensuales del servicio con el precio techo de la vigencia y el saldo se destina a la bolsa de repuestos.</t>
  </si>
  <si>
    <t>Improcedencia del reajuste</t>
  </si>
  <si>
    <t>Los precios techo de cada vigencia incorporan el incremento propio de la respectiva anualidad. Durante la ejecución no procede modificación de precios, salvo que la variación del IPC certificada por el DANE para 2027 supere el 4,40 % ya incorporado, evento en el cual solo podría analizarse el exceso.</t>
  </si>
  <si>
    <t>Tratamiento del IVA</t>
  </si>
  <si>
    <t>Tarifa general del 19 % sobre el valor unitario sin IVA, conforme al artículo 468 del Estatuto Tributario. El servicio de mantenimiento de ascensores no figura entre los excluidos del artículo 476 del mismo estatuto.</t>
  </si>
  <si>
    <t>Bolsa de repuestos</t>
  </si>
  <si>
    <t>No constituye una adquisición autónoma de bienes sino un mecanismo de ejecución del mantenimiento correctivo. Se ejecuta por demanda, con autorización previa de la supervisión y con cargo a los valores unitarios de referencia de los repuestos recurrentes de la vigencia en curso o, para los no recurrentes, a la cotización de menor valor entre la del contratista y la que obtenga el supervisor.</t>
  </si>
  <si>
    <t>RESULTADO</t>
  </si>
  <si>
    <t>VALOR DEL ESTUDIO DEL SECTOR (incluidos todos los costos directos e indirectos e IVA)</t>
  </si>
  <si>
    <t>Prestaciones mensuales del servicio (120 servicios)</t>
  </si>
  <si>
    <t>Bolsa de repuestos (recurrentes y aleatorios)</t>
  </si>
  <si>
    <t>Presupuesto asignado vigencia 2026 (un mes de ejecución)</t>
  </si>
  <si>
    <t>Presupuesto asignado vigencia 2027 (doce meses de ejecución)</t>
  </si>
  <si>
    <t>Presupuesto asignado vigencia 2028 (once meses de ejecución)</t>
  </si>
  <si>
    <t>Diferencia contra el presupuesto del PAA</t>
  </si>
  <si>
    <t>ANEXO 1 – COTIZACIONES RECIBIDAS Y ANÁLISIS DE LA FUENTE DE MERCADO</t>
  </si>
  <si>
    <t>Sondeo de mercado adelantado mediante la Solicitud de Información a Proveedores FGN-NC-SIP-447A-2026, publicada en el SECOP II como evento abierto a todos los proveedores interesados.</t>
  </si>
  <si>
    <t>A. IDENTIFICACIÓN DE LA COTIZACIÓN RECIBIDA</t>
  </si>
  <si>
    <t>Razón social</t>
  </si>
  <si>
    <t>ESTILO INGENIERIA S.A.</t>
  </si>
  <si>
    <t>NIT</t>
  </si>
  <si>
    <t>860.063.830-7</t>
  </si>
  <si>
    <t>Representante legal</t>
  </si>
  <si>
    <t>Liney Angélica Malaver Palacios</t>
  </si>
  <si>
    <t>Fecha de la cotización</t>
  </si>
  <si>
    <t>24 de agosto de 2026</t>
  </si>
  <si>
    <t>Medio de recepción</t>
  </si>
  <si>
    <t>SECOP II — respuesta al evento de cotización</t>
  </si>
  <si>
    <t>Formato empleado</t>
  </si>
  <si>
    <t>Formato de presentación de oferta remitido por la Entidad, consolidado por vigencias 2026, 2027 y 2028</t>
  </si>
  <si>
    <t>Aclaración recibida</t>
  </si>
  <si>
    <t>Mensaje SECOP II CO1.MSG.9905520 del 1 de septiembre de 2026: la oferta válida es la discriminada por valores de cada año</t>
  </si>
  <si>
    <t>B. PRESTACIONES MENSUALES DEL SERVICIO — VALORES UNITARIOS COTIZADOS POR VIGENCIA, SIN IVA</t>
  </si>
  <si>
    <t>VIGENCIA 2026</t>
  </si>
  <si>
    <t>VIGENCIA 2027</t>
  </si>
  <si>
    <t>VIGENCIA 2028</t>
  </si>
  <si>
    <t>TOTAL 24 MESES</t>
  </si>
  <si>
    <t>ÍTEM</t>
  </si>
  <si>
    <t>DESCRIPCIÓN</t>
  </si>
  <si>
    <t>UNIDAD DE MEDIDA</t>
  </si>
  <si>
    <t>MESES</t>
  </si>
  <si>
    <t>VALOR UNITARIO SIN IVA</t>
  </si>
  <si>
    <t>VALOR TOTAL SIN IVA</t>
  </si>
  <si>
    <t>VALOR TOTAL CON IVA</t>
  </si>
  <si>
    <t>Prestación mensual del servicio de mantenimiento preventivo y correctivo técnico integral especializado — ascensor C1, cuatro (4) paradas</t>
  </si>
  <si>
    <t>MES</t>
  </si>
  <si>
    <t>Prestación mensual del servicio de mantenimiento preventivo y correctivo técnico integral especializado — ascensor C2, cinco (5) paradas</t>
  </si>
  <si>
    <t>Prestación mensual del servicio de mantenimiento preventivo y correctivo técnico integral especializado — ascensor F1, seis (6) paradas</t>
  </si>
  <si>
    <t>Prestación mensual del servicio de mantenimiento preventivo y correctivo técnico integral especializado — ascensor F2, seis (6) paradas</t>
  </si>
  <si>
    <t>Prestación mensual del servicio de mantenimiento preventivo y correctivo técnico integral especializado — ascensor L1, seis (6) paradas</t>
  </si>
  <si>
    <t>VALOR MENSUAL DEL SERVICIO — CINCO (5) ASCENSORES</t>
  </si>
  <si>
    <t>C. REPUESTOS RECURRENTES — VALORES UNITARIOS COTIZADOS POR VIGENCIA, SIN IVA</t>
  </si>
  <si>
    <t>CANTIDAD DE REFERENCIA</t>
  </si>
  <si>
    <t>OBSERVACIÓN</t>
  </si>
  <si>
    <t>Fuente para citófono y luz de emergencia Ref. RKP</t>
  </si>
  <si>
    <t>UN</t>
  </si>
  <si>
    <t>Valor unitario de referencia para la ejecución de la bolsa de repuestos. No acumulable al presupuesto.</t>
  </si>
  <si>
    <t>Cortinas de luz infrarroja</t>
  </si>
  <si>
    <t>Cable de tracción 12 mm 8x19 W-FC F819</t>
  </si>
  <si>
    <t>ML</t>
  </si>
  <si>
    <t>Límite normalmente cerrado Ref. S3-1370</t>
  </si>
  <si>
    <t>Micro para operador + GATL/W contacto abierto coreano</t>
  </si>
  <si>
    <t>SUMA DE LOS VALORES UNITARIOS DE REFERENCIA</t>
  </si>
  <si>
    <t>D. ANÁLISIS DE LA FUENTE — APLICABILIDAD DE LA DEPURACIÓN ESTADÍSTICA</t>
  </si>
  <si>
    <t>Se recibió una (1) sola cotización en respuesta a la solicitud de información a proveedores. En consecuencia, no es posible aplicar el procedimiento de depuración estadística por promedio más o menos una desviación estándar, ni calcular medidas de dispersión entre oferentes, por cuanto el conjunto de datos por ítem se reduce a una observación.</t>
  </si>
  <si>
    <t>De conformidad con la Guía para la Elaboración de Estudios del Sector de Colombia Compra Eficiente, cuando no se dispone de una cantidad suficiente de cotizaciones el análisis se soporta en la revisión de precios históricos, para lo cual la Entidad emplea el mecanismo de indexación de los precios unitarios del contrato antecedente mediante la serie de empalme del IPC. Ese ejercicio se desarrolla en el ANEXO 2 y su contrastación en el ANEXO 3.</t>
  </si>
  <si>
    <t>Los precios de la vigencia 2026 corresponden a los pactados en el contrato vigente FGN-NC-MC-0078-2025 para el período enero–julio de 2026. Sobre ellos el oferente aplicó un incremento del 4,40 % para la vigencia 2027 y del 3,00 % para la vigencia 2028, porcentajes que coinciden respectivamente con la proyección de inflación del Marco Fiscal de Mediano Plazo 2026 y con la meta puntual de inflación del Banco de la República.</t>
  </si>
  <si>
    <t>Se verificó que el proveedor cotizante se encuentra inscrito en el registro mercantil, que no presenta inhabilidades ni incompatibilidades manifestadas, y que cuenta con experiencia acreditada en el objeto, por haber ejecutado los tres contratos antecedentes de la Entidad sobre los mismos equipos.</t>
  </si>
  <si>
    <t>ANEXO 2 – ANÁLISIS DE COSTOS HISTÓRICOS DE LA FISCALÍA GENERAL DE LA NACIÓN (INDEXACIÓN IPC)</t>
  </si>
  <si>
    <t>Fuente: ANEXO 4 – Formato de oferta económica del contrato FGN-NC-MC-0078-2025 y aceptación de oferta del mismo proceso, aportados por el área técnica.</t>
  </si>
  <si>
    <t>Tarifa de IVA</t>
  </si>
  <si>
    <t>Artículo 468 del Estatuto Tributario.</t>
  </si>
  <si>
    <t>Incremento aplicado por el oferente para 2027</t>
  </si>
  <si>
    <t>Coincide con la proyección de inflación del Marco Fiscal de Mediano Plazo 2026 del Ministerio de Hacienda y Crédito Público.</t>
  </si>
  <si>
    <t>Incremento aplicado por el oferente para 2028</t>
  </si>
  <si>
    <t>Coincide con la meta puntual de inflación del Banco de la República.</t>
  </si>
  <si>
    <t>PARÁMETROS DE INDEXACIÓN — SERIE DE EMPALME DEL DANE</t>
  </si>
  <si>
    <t>Índice IPC de diciembre de 2025</t>
  </si>
  <si>
    <t>Mes de suscripción del contrato antecedente.</t>
  </si>
  <si>
    <t>Índice IPC de enero de 2026</t>
  </si>
  <si>
    <t>Primer mes de aplicación de los precios de la vigencia 2026.</t>
  </si>
  <si>
    <t>Índice IPC de julio de 2026</t>
  </si>
  <si>
    <t>Último índice publicado. Período de destino de la indexación.</t>
  </si>
  <si>
    <t>Factor F1 (jul-2026 / dic-2025)</t>
  </si>
  <si>
    <t>Trae a valor presente los precios de diciembre de 2025.</t>
  </si>
  <si>
    <t>Factor F2 (jul-2026 / ene-2026)</t>
  </si>
  <si>
    <t>Trae a valor presente los precios de la vigencia 2026.</t>
  </si>
  <si>
    <t>PRECIOS UNITARIOS DEL CONTRATO ANTECEDENTE FGN-NC-MC-0078-2025 E INDEXACIÓN A JULIO DE 2026</t>
  </si>
  <si>
    <t>PRECIOS DEL CONTRATO ANTECEDENTE</t>
  </si>
  <si>
    <t>VALOR PRESENTE A JULIO DE 2026</t>
  </si>
  <si>
    <t>CONTRASTE CONTRA EL PRECIO TECHO DE LA VIGENCIA 2026</t>
  </si>
  <si>
    <t>DICIEMBRE DE 2025</t>
  </si>
  <si>
    <t>DE DIC-2025 (F1)</t>
  </si>
  <si>
    <t>DE 2026 (F2)</t>
  </si>
  <si>
    <t>PRECIO TECHO 2026</t>
  </si>
  <si>
    <t>DIFERENCIA</t>
  </si>
  <si>
    <t>VARIACIÓN</t>
  </si>
  <si>
    <t>CONJUNTO DE LOS CINCO (5) ÍTEMS DE PRESTACIÓN MENSUAL</t>
  </si>
  <si>
    <t>ANTECEDENTES CONTRACTUALES DE LA ENTIDAD</t>
  </si>
  <si>
    <t>CONTRATO</t>
  </si>
  <si>
    <t>VALOR TOTAL</t>
  </si>
  <si>
    <t>EJECUTADO EN MANTENIMIENTOS</t>
  </si>
  <si>
    <t>EJECUTADO EN REPUESTOS</t>
  </si>
  <si>
    <t>PERÍODO DE EJECUCIÓN</t>
  </si>
  <si>
    <t>CONTRATISTA</t>
  </si>
  <si>
    <t>FGN-NC-MC-0006-2024</t>
  </si>
  <si>
    <t>Marzo a noviembre de 2024</t>
  </si>
  <si>
    <t>FGN-NC-MC-0013-2025</t>
  </si>
  <si>
    <t>Junio a noviembre de 2025</t>
  </si>
  <si>
    <t>FGN-NC-MC-0078-2025</t>
  </si>
  <si>
    <t>Diciembre de 2025 a noviembre de 2026</t>
  </si>
  <si>
    <t>La indexación se practica sobre el precio unitario de cada ítem y no sobre el valor del contrato, aplicando el cociente entre el índice de la serie de empalme del período de destino y el del período de origen, conforme a la metodología de la Guía para la Elaboración de Estudios del Sector de Colombia Compra Eficiente.</t>
  </si>
  <si>
    <t>ANEXO 3 – CONSOLIDADO DE FUENTES, PRUEBAS DE RAZONABILIDAD Y DETERMINACIÓN DE LOS PRECIOS TECHO</t>
  </si>
  <si>
    <t>A. CONSOLIDACIÓN DE LAS FUENTES DE MERCADO Y PRECIOS TECHO POR VIGENCIA — VALORES SIN IVA</t>
  </si>
  <si>
    <t>COTIZACIÓN — ESTILO INGENIERIA S.A.</t>
  </si>
  <si>
    <t>HISTÓRICO INDEXADO</t>
  </si>
  <si>
    <t>PRECIO TECHO ADOPTADO POR VIGENCIA</t>
  </si>
  <si>
    <t>DIC-2025 (F1)</t>
  </si>
  <si>
    <t>2026 (F2)</t>
  </si>
  <si>
    <t>TECHO 2026</t>
  </si>
  <si>
    <t>TECHO 2027</t>
  </si>
  <si>
    <t>TECHO 2028</t>
  </si>
  <si>
    <t>B. PRUEBA 1 — PRECIO TECHO DE LA VIGENCIA 2026 FRENTE AL PRECIO ANTECEDENTE DE DICIEMBRE DE 2025 A VALOR PRESENTE</t>
  </si>
  <si>
    <t>VALOR PRESENTE DE DIC-2025</t>
  </si>
  <si>
    <t>C. PRUEBA 2 — VERIFICACIÓN DE LOS INCREMENTOS INTERANUALES INCORPORADOS EN LOS PRECIOS TECHO</t>
  </si>
  <si>
    <t>CONCEPTO</t>
  </si>
  <si>
    <t>REFERENTE OFICIAL</t>
  </si>
  <si>
    <t>VALOR DEL REFERENTE</t>
  </si>
  <si>
    <t>LECTURA</t>
  </si>
  <si>
    <t>Variación del precio techo entre la vigencia 2026 y la vigencia 2027</t>
  </si>
  <si>
    <t>Proyección de inflación para 2027 — MFMP 2026</t>
  </si>
  <si>
    <t>El incremento coincide exactamente con la proyección oficial del Gobierno Nacional.</t>
  </si>
  <si>
    <t>Variación del precio techo entre la vigencia 2027 y la vigencia 2028</t>
  </si>
  <si>
    <t>Meta puntual de inflación del Banco de la República</t>
  </si>
  <si>
    <t>El incremento coincide exactamente con la meta del Emisor.</t>
  </si>
  <si>
    <t>Variación acumulada del precio techo entre 2026 y 2028</t>
  </si>
  <si>
    <t>Inflación anual observada a julio de 2026</t>
  </si>
  <si>
    <t>La variación acumulada de dos años se compara con la inflación anual observada.</t>
  </si>
  <si>
    <t>Tasa anualizada equivalente de los precios techo</t>
  </si>
  <si>
    <t>La tasa anualizada de los precios techo se sitúa por debajo de la inflación observada.</t>
  </si>
  <si>
    <t>D. DISTRIBUCIÓN DEL PRESUPUESTO ASIGNADO POR VIGENCIA</t>
  </si>
  <si>
    <t>Regla de asignación: dentro de cada vigencia se cubre primero el valor de las prestaciones mensuales del servicio, liquidado con el precio techo de esa misma vigencia, y el saldo del presupuesto asignado se destina íntegramente a la bolsa de repuestos.</t>
  </si>
  <si>
    <t>PARTICIPACIÓN</t>
  </si>
  <si>
    <t>Meses de ejecución</t>
  </si>
  <si>
    <t>Valor mensual del servicio con precio techo de la vigencia — cinco (5) ascensores, IVA incluido</t>
  </si>
  <si>
    <t>(1) Prestaciones mensuales del servicio</t>
  </si>
  <si>
    <t>Presupuesto asignado por vigencia (techo)</t>
  </si>
  <si>
    <t>(2) Bolsa de repuestos — saldo por diferencia</t>
  </si>
  <si>
    <t>PRESUPUESTO OFICIAL DEL PROCESO</t>
  </si>
  <si>
    <t>Control: diferencia contra el presupuesto asignado</t>
  </si>
  <si>
    <t>ANEXO 4 – CUADRO ESTUDIO DE MERCADO DEFINITIVO Y PRECIOS TECHO POR VIGENCIA</t>
  </si>
  <si>
    <t>NECESIDAD</t>
  </si>
  <si>
    <t>A. PRESTACIONES MENSUALES DEL SERVICIO — PRECIOS TECHO POR VIGENCIA</t>
  </si>
  <si>
    <t>DESCRIPCIÓN DEL SERVICIO</t>
  </si>
  <si>
    <t>ESPECIFICACIONES</t>
  </si>
  <si>
    <t>VALOR UNITARIO CON IVA</t>
  </si>
  <si>
    <t>De acuerdo con la Ficha Técnica FGN-AP07-F-07. Ascensor C1, Edificio Gustavo De Greiff, Sede Búnker. Capacidad 680 kg – 10 personas.</t>
  </si>
  <si>
    <t>De acuerdo con la Ficha Técnica FGN-AP07-F-07. Ascensor C2, Edificio Gustavo De Greiff, Sede Búnker. Capacidad 680 kg – 10 personas.</t>
  </si>
  <si>
    <t>De acuerdo con la Ficha Técnica FGN-AP07-F-07. Ascensor F1, Edificio F, Sede Búnker. Capacidad 680 kg – 10 personas.</t>
  </si>
  <si>
    <t>De acuerdo con la Ficha Técnica FGN-AP07-F-07. Ascensor F2, Edificio F, Sede Búnker. Capacidad 680 kg – 10 personas.</t>
  </si>
  <si>
    <t>De acuerdo con la Ficha Técnica FGN-AP07-F-07. Ascensor L1, Edificio L, Sede Búnker. Capacidad 680 kg – 10 personas.</t>
  </si>
  <si>
    <t>B. REPUESTOS RECURRENTES — VALORES UNITARIOS DE REFERENCIA POR VIGENCIA (NO ACUMULABLES AL PRESUPUESTO)</t>
  </si>
  <si>
    <t>DESCRIPCIÓN DEL BIEN</t>
  </si>
  <si>
    <t>VALOR UNITARIO SIN IVA 2026</t>
  </si>
  <si>
    <t>VALOR UNITARIO CON IVA 2026</t>
  </si>
  <si>
    <t>VALOR UNITARIO SIN IVA 2027</t>
  </si>
  <si>
    <t>VALOR UNITARIO CON IVA 2027</t>
  </si>
  <si>
    <t>VALOR UNITARIO SIN IVA 2028</t>
  </si>
  <si>
    <t>VALOR UNITARIO CON IVA 2028</t>
  </si>
  <si>
    <t>De acuerdo con la ficha técnica del repuesto recurrente remitida por la Entidad. Compatible con los equipos objeto del contrato.</t>
  </si>
  <si>
    <t>Valor de referencia para la ejecución de la bolsa de repuestos.</t>
  </si>
  <si>
    <t>C. PRESUPUESTO OFICIAL ESTIMADO POR VIGENCIA</t>
  </si>
  <si>
    <t>Prestaciones mensuales del servicio (ítems 1 a 5)</t>
  </si>
  <si>
    <t>Bolsa de repuestos (recurrentes y aleatorios) — ejecutable por demanda</t>
  </si>
  <si>
    <t>TOTAL PRESUPUESTO OFICIAL ESTIMADO INCLUIDO IVA</t>
  </si>
  <si>
    <t>VALOR DEL ESTUDIO DEL SECTOR</t>
  </si>
  <si>
    <t>Control: diferencia contra el presupuesto asignado por vigencias</t>
  </si>
  <si>
    <t>NOTAS:</t>
  </si>
  <si>
    <t>1) Los valores de las columnas VALOR UNITARIO SIN IVA constituyen el PRECIO TECHO de cada ítem para la respectiva vigencia. La oferta que supere el precio techo de cualquiera de los ítems en cualquiera de las vigencias será rechazada.</t>
  </si>
  <si>
    <t>2) Los precios techo de la vigencia 2026 corresponden a los pactados en el contrato antecedente FGN-NC-MC-0078-2025 para el período enero–julio de 2026. Los de la vigencia 2027 incorporan un incremento del 4,40 % y los de la vigencia 2028 un incremento del 3,00 % sobre los de la vigencia inmediatamente anterior. Por incorporar los precios techo el incremento propio de cada vigencia, durante la ejecución del contrato no procede modificación de precios, salvo que la variación del IPC certificada por el DANE para 2027 supere el 4,40 % ya incorporado, evento en el cual solo podría analizarse el exceso.</t>
  </si>
  <si>
    <t>3) La unidad de contratación de los ítems 1 a 5 es la prestación mensual del servicio, que comprende el mantenimiento preventivo del período, el correctivo, la atención de emergencias en modalidad 24/7, el diagnóstico y la programación especializada de tarjetas electrónicas y la mano de obra de instalación de repuestos.</t>
  </si>
  <si>
    <t>4) Los valores unitarios de los ítems 6 a 10 son precios de referencia para la ejecución de la bolsa de repuestos y no constituyen cantidades a adquirir. Su valor no se acumula al presupuesto oficial por estar comprendido dentro de la bolsa. La cantidad de uno (1) por ítem obedece a que la necesidad de reposición es de naturaleza aleatoria e imprevista.</t>
  </si>
  <si>
    <t>5) El valor ofertado deberá comprender todos los costos directos e indirectos, impuestos, tasas y contribuciones, constitución de garantías, transporte, personal y la gestión y obtención de las certificaciones ante organismo acreditado por la ONAC, sin costo adicional para la Entidad.</t>
  </si>
  <si>
    <t>6) El proponente deberá presentar su oferta con máximo dos (2) decimales, aplicando el redondeo estándar.</t>
  </si>
  <si>
    <t>ÍNDICES DE PRECIOS AL CONSUMIDOR UTILIZADOS EN LA INDEXACIÓN</t>
  </si>
  <si>
    <t>DANE – Total, Índice de Precios al Consumidor (IPC). Índices – Serie de empalme 2003-2026. Base diciembre de 2018 = 100,00. Anexo actualizado el 10 de agosto de 2026.</t>
  </si>
  <si>
    <t>AÑO 2024</t>
  </si>
  <si>
    <t>AÑO 2025</t>
  </si>
  <si>
    <t>AÑO 2026</t>
  </si>
  <si>
    <t>Enero</t>
  </si>
  <si>
    <t>Índice de origen del factor F2 (enero de 2026 = 154,07)</t>
  </si>
  <si>
    <t>Febrero</t>
  </si>
  <si>
    <t>Marzo</t>
  </si>
  <si>
    <t>Abril</t>
  </si>
  <si>
    <t>Mayo</t>
  </si>
  <si>
    <t>Junio</t>
  </si>
  <si>
    <t>Julio</t>
  </si>
  <si>
    <t>Índice de destino de la indexación (julio de 2026 = 159,79)</t>
  </si>
  <si>
    <t>Agosto</t>
  </si>
  <si>
    <t>n.d.</t>
  </si>
  <si>
    <t>Septiembre</t>
  </si>
  <si>
    <t>Octubre</t>
  </si>
  <si>
    <t>Noviembre</t>
  </si>
  <si>
    <t>Diciembre</t>
  </si>
  <si>
    <t>Índice de origen del factor F1 (diciembre de 2025 = 152,27)</t>
  </si>
  <si>
    <t>FACTORES DE INDEXACIÓN Y VARIACIONES CALCULADAS</t>
  </si>
  <si>
    <t>ORIGEN</t>
  </si>
  <si>
    <t>DESTINO</t>
  </si>
  <si>
    <t>Factor F1 — precio de diciembre de 2025 a valor presente</t>
  </si>
  <si>
    <t>Diciembre de 2025</t>
  </si>
  <si>
    <t>Julio de 2026</t>
  </si>
  <si>
    <t>Índice de julio de 2026 dividido por el índice de diciembre de 2025.</t>
  </si>
  <si>
    <t>Factor F2 — precio de enero de 2026 a valor presente</t>
  </si>
  <si>
    <t>Enero de 2026</t>
  </si>
  <si>
    <t>Índice de julio de 2026 dividido por el índice de enero de 2026.</t>
  </si>
  <si>
    <t>Variación acumulada del factor F1</t>
  </si>
  <si>
    <t>Inflación acumulada del período de indexación.</t>
  </si>
  <si>
    <t>Variación acumulada del factor F2</t>
  </si>
  <si>
    <t>IPC anual — cierre de 2025</t>
  </si>
  <si>
    <t>Diciembre de 2024</t>
  </si>
  <si>
    <t>Variación anual calculada con la serie de empalme.</t>
  </si>
  <si>
    <t>IPC anual — julio de 2026</t>
  </si>
  <si>
    <t>Julio de 2025</t>
  </si>
  <si>
    <t>Variación anual observada, último dato publicado.</t>
  </si>
  <si>
    <t>Fuente: DANE. https://www.dane.gov.co/index.php/estadisticas-por-tema/precios-y-costos/indice-de-precios-al-consumidor-ipc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</si>
</sst>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quot;($&quot;#,##0\);\-"/>
    <numFmt numFmtId="165" formatCode="0.0%"/>
    <numFmt numFmtId="166" formatCode="0.000000"/>
  </numFmts>
  <fonts count="15" x14ac:knownFonts="1">
    <font>
      <sz val="11"/>
      <color theme="1"/>
      <name val="Calibri"/>
      <family val="2"/>
      <charset val="1"/>
    </font>
    <font>
      <b/>
      <sz val="9"/>
      <color rgb="FFFFFFFF"/>
      <name val="Arial"/>
      <charset val="1"/>
    </font>
    <font>
      <b/>
      <sz val="9"/>
      <name val="Arial"/>
      <charset val="1"/>
    </font>
    <font>
      <sz val="9"/>
      <name val="Arial"/>
      <charset val="1"/>
    </font>
    <font>
      <sz val="9"/>
      <color rgb="FF0000FF"/>
      <name val="Arial"/>
      <charset val="1"/>
    </font>
    <font>
      <b/>
      <sz val="12"/>
      <color rgb="FF008000"/>
      <name val="Arial"/>
      <charset val="1"/>
    </font>
    <font>
      <b/>
      <sz val="9"/>
      <color rgb="FF008000"/>
      <name val="Arial"/>
      <charset val="1"/>
    </font>
    <font>
      <sz val="9"/>
      <color rgb="FF008000"/>
      <name val="Arial"/>
      <charset val="1"/>
    </font>
    <font>
      <sz val="8"/>
      <name val="Arial"/>
      <charset val="1"/>
    </font>
    <font>
      <b/>
      <sz val="8"/>
      <name val="Arial"/>
      <charset val="1"/>
    </font>
    <font>
      <sz val="8"/>
      <color rgb="FF008000"/>
      <name val="Arial"/>
      <charset val="1"/>
    </font>
    <font>
      <b/>
      <sz val="9"/>
      <color rgb="FFC00000"/>
      <name val="Arial"/>
      <charset val="1"/>
    </font>
    <font>
      <b/>
      <sz val="11"/>
      <color rgb="FF008000"/>
      <name val="Arial"/>
      <charset val="1"/>
    </font>
    <font>
      <b/>
      <sz val="10"/>
      <name val="Arial"/>
      <charset val="1"/>
    </font>
    <font>
      <sz val="9"/>
      <color rgb="FF808080"/>
      <name val="Arial"/>
      <charset val="1"/>
    </font>
  </fonts>
  <fills count="7">
    <fill>
      <patternFill patternType="none"/>
    </fill>
    <fill>
      <patternFill patternType="gray125"/>
    </fill>
    <fill>
      <patternFill patternType="solid">
        <fgColor rgb="FF1F3864"/>
        <bgColor rgb="FF333333"/>
      </patternFill>
    </fill>
    <fill>
      <patternFill patternType="solid">
        <fgColor rgb="FFF2F2F2"/>
        <bgColor rgb="FFE2EFDA"/>
      </patternFill>
    </fill>
    <fill>
      <patternFill patternType="solid">
        <fgColor rgb="FFD9E2F3"/>
        <bgColor rgb="FFE2EFDA"/>
      </patternFill>
    </fill>
    <fill>
      <patternFill patternType="solid">
        <fgColor rgb="FFFFF2CC"/>
        <bgColor rgb="FFF2F2F2"/>
      </patternFill>
    </fill>
    <fill>
      <patternFill patternType="solid">
        <fgColor rgb="FFE2EFDA"/>
        <bgColor rgb="FFF2F2F2"/>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75">
    <xf numFmtId="0" fontId="0" fillId="0" borderId="0" xfId="0"/>
    <xf numFmtId="0" fontId="3" fillId="0" borderId="1" xfId="0" applyFont="1" applyBorder="1" applyAlignment="1">
      <alignment horizontal="left" vertical="center"/>
    </xf>
    <xf numFmtId="0" fontId="2" fillId="3" borderId="1" xfId="0" applyFont="1" applyFill="1" applyBorder="1" applyAlignment="1">
      <alignment horizontal="right" vertical="center"/>
    </xf>
    <xf numFmtId="0" fontId="2" fillId="0" borderId="1" xfId="0" applyFont="1" applyBorder="1" applyAlignment="1">
      <alignment horizontal="left" vertical="center"/>
    </xf>
    <xf numFmtId="0" fontId="3" fillId="3" borderId="1" xfId="0" applyFont="1" applyFill="1" applyBorder="1" applyAlignment="1">
      <alignment vertical="center"/>
    </xf>
    <xf numFmtId="0" fontId="8" fillId="0" borderId="1" xfId="0" applyFont="1" applyBorder="1" applyAlignment="1">
      <alignment horizontal="left" vertical="center" wrapText="1"/>
    </xf>
    <xf numFmtId="0" fontId="9" fillId="4"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2" fillId="3" borderId="1" xfId="0" applyFont="1" applyFill="1" applyBorder="1" applyAlignment="1">
      <alignment horizontal="left" vertical="center"/>
    </xf>
    <xf numFmtId="0" fontId="2" fillId="4" borderId="1" xfId="0" applyFont="1" applyFill="1" applyBorder="1" applyAlignment="1">
      <alignment horizontal="center" vertical="center"/>
    </xf>
    <xf numFmtId="164" fontId="4" fillId="0" borderId="1" xfId="0" applyNumberFormat="1" applyFont="1" applyBorder="1" applyAlignment="1">
      <alignment horizontal="right" vertical="center"/>
    </xf>
    <xf numFmtId="0" fontId="2" fillId="5" borderId="1" xfId="0" applyFont="1" applyFill="1" applyBorder="1" applyAlignment="1">
      <alignment horizontal="left" vertical="center" wrapText="1"/>
    </xf>
    <xf numFmtId="164" fontId="5" fillId="5" borderId="1" xfId="0" applyNumberFormat="1" applyFont="1" applyFill="1" applyBorder="1" applyAlignment="1">
      <alignment horizontal="right" vertical="center"/>
    </xf>
    <xf numFmtId="164" fontId="6" fillId="0" borderId="1" xfId="0" applyNumberFormat="1" applyFont="1" applyBorder="1" applyAlignment="1">
      <alignment horizontal="right" vertical="center"/>
    </xf>
    <xf numFmtId="164" fontId="7" fillId="0" borderId="1" xfId="0" applyNumberFormat="1" applyFont="1" applyBorder="1" applyAlignment="1">
      <alignment horizontal="right" vertical="center"/>
    </xf>
    <xf numFmtId="164" fontId="2" fillId="0" borderId="1" xfId="0" applyNumberFormat="1" applyFont="1" applyBorder="1" applyAlignment="1">
      <alignment horizontal="right" vertical="center"/>
    </xf>
    <xf numFmtId="0" fontId="0" fillId="4" borderId="1" xfId="0" applyFill="1" applyBorder="1"/>
    <xf numFmtId="0" fontId="3" fillId="0" borderId="1" xfId="0" applyFont="1" applyBorder="1" applyAlignment="1">
      <alignment horizontal="center" vertical="center"/>
    </xf>
    <xf numFmtId="0" fontId="8" fillId="0" borderId="1" xfId="0" applyFont="1" applyBorder="1" applyAlignment="1">
      <alignment horizontal="center" vertical="center"/>
    </xf>
    <xf numFmtId="0" fontId="4" fillId="0" borderId="1" xfId="0" applyFont="1" applyBorder="1" applyAlignment="1">
      <alignment horizontal="center" vertical="center"/>
    </xf>
    <xf numFmtId="164" fontId="3" fillId="0" borderId="1" xfId="0" applyNumberFormat="1" applyFont="1" applyBorder="1" applyAlignment="1">
      <alignment horizontal="right" vertical="center"/>
    </xf>
    <xf numFmtId="164" fontId="2" fillId="3" borderId="1" xfId="0" applyNumberFormat="1" applyFont="1" applyFill="1" applyBorder="1" applyAlignment="1">
      <alignment horizontal="right" vertical="center"/>
    </xf>
    <xf numFmtId="165" fontId="4" fillId="5" borderId="1" xfId="0" applyNumberFormat="1" applyFont="1" applyFill="1" applyBorder="1" applyAlignment="1">
      <alignment horizontal="center" vertical="center"/>
    </xf>
    <xf numFmtId="2" fontId="6" fillId="5" borderId="1" xfId="0" applyNumberFormat="1" applyFont="1" applyFill="1" applyBorder="1" applyAlignment="1">
      <alignment horizontal="center" vertical="center"/>
    </xf>
    <xf numFmtId="166" fontId="6" fillId="5" borderId="1" xfId="0" applyNumberFormat="1"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center" vertical="center"/>
    </xf>
    <xf numFmtId="164" fontId="2" fillId="6" borderId="1" xfId="0" applyNumberFormat="1" applyFont="1" applyFill="1" applyBorder="1" applyAlignment="1">
      <alignment horizontal="right" vertical="center"/>
    </xf>
    <xf numFmtId="165" fontId="2"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165" fontId="2" fillId="3" borderId="1" xfId="0" applyNumberFormat="1" applyFont="1" applyFill="1" applyBorder="1" applyAlignment="1">
      <alignment horizontal="center" vertical="center"/>
    </xf>
    <xf numFmtId="164" fontId="7" fillId="6" borderId="1" xfId="0" applyNumberFormat="1" applyFont="1" applyFill="1" applyBorder="1" applyAlignment="1">
      <alignment horizontal="right" vertical="center"/>
    </xf>
    <xf numFmtId="164" fontId="2" fillId="5" borderId="1" xfId="0" applyNumberFormat="1" applyFont="1" applyFill="1" applyBorder="1" applyAlignment="1">
      <alignment horizontal="right" vertical="center"/>
    </xf>
    <xf numFmtId="165" fontId="11" fillId="0" borderId="1" xfId="0" applyNumberFormat="1" applyFont="1" applyBorder="1" applyAlignment="1">
      <alignment horizontal="center" vertical="center"/>
    </xf>
    <xf numFmtId="164" fontId="12" fillId="5" borderId="1" xfId="0" applyNumberFormat="1" applyFont="1" applyFill="1" applyBorder="1" applyAlignment="1">
      <alignment horizontal="right" vertical="center"/>
    </xf>
    <xf numFmtId="0" fontId="2" fillId="0" borderId="1"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2" fillId="0" borderId="0" xfId="0" applyFont="1" applyAlignment="1">
      <alignment horizontal="left" vertical="center"/>
    </xf>
    <xf numFmtId="2" fontId="4" fillId="0" borderId="1" xfId="0" applyNumberFormat="1" applyFont="1" applyBorder="1" applyAlignment="1">
      <alignment horizontal="center" vertical="center"/>
    </xf>
    <xf numFmtId="2" fontId="4" fillId="5" borderId="1" xfId="0" applyNumberFormat="1" applyFont="1" applyFill="1" applyBorder="1" applyAlignment="1">
      <alignment horizontal="center" vertical="center"/>
    </xf>
    <xf numFmtId="0" fontId="14" fillId="0" borderId="1" xfId="0" applyFont="1" applyBorder="1" applyAlignment="1">
      <alignment horizontal="center" vertical="center"/>
    </xf>
    <xf numFmtId="166" fontId="2" fillId="5" borderId="1" xfId="0" applyNumberFormat="1" applyFont="1" applyFill="1" applyBorder="1" applyAlignment="1">
      <alignment horizontal="center" vertical="center"/>
    </xf>
    <xf numFmtId="165" fontId="2" fillId="5"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0" borderId="1" xfId="0" applyFont="1" applyBorder="1" applyAlignment="1">
      <alignment horizontal="left" vertical="center" wrapText="1"/>
    </xf>
    <xf numFmtId="0" fontId="2" fillId="4" borderId="1" xfId="0" applyFont="1" applyFill="1" applyBorder="1" applyAlignment="1">
      <alignment horizontal="left" vertical="center"/>
    </xf>
    <xf numFmtId="0" fontId="0" fillId="3" borderId="1" xfId="0" applyFill="1" applyBorder="1"/>
    <xf numFmtId="0" fontId="9" fillId="4" borderId="1" xfId="0" applyFont="1" applyFill="1" applyBorder="1" applyAlignment="1">
      <alignment horizontal="center" vertical="center" wrapText="1"/>
    </xf>
    <xf numFmtId="0" fontId="8" fillId="0" borderId="1" xfId="0" applyFont="1" applyBorder="1" applyAlignment="1">
      <alignment horizontal="left" vertical="center"/>
    </xf>
    <xf numFmtId="0" fontId="3" fillId="3" borderId="1" xfId="0" applyFont="1" applyFill="1" applyBorder="1" applyAlignment="1">
      <alignment vertical="center"/>
    </xf>
    <xf numFmtId="0" fontId="2" fillId="0" borderId="1" xfId="0" applyFont="1" applyBorder="1" applyAlignment="1">
      <alignment horizontal="right" vertical="center"/>
    </xf>
    <xf numFmtId="164" fontId="2" fillId="0" borderId="1" xfId="0" applyNumberFormat="1" applyFont="1" applyBorder="1" applyAlignment="1">
      <alignment horizontal="right" vertical="center"/>
    </xf>
    <xf numFmtId="0" fontId="2" fillId="5" borderId="1" xfId="0" applyFont="1" applyFill="1" applyBorder="1" applyAlignment="1">
      <alignment horizontal="right" vertical="center"/>
    </xf>
    <xf numFmtId="164" fontId="13" fillId="5" borderId="1" xfId="0" applyNumberFormat="1" applyFont="1" applyFill="1" applyBorder="1" applyAlignment="1">
      <alignment horizontal="right" vertical="center"/>
    </xf>
    <xf numFmtId="0" fontId="2" fillId="5" borderId="1" xfId="0" applyFont="1" applyFill="1" applyBorder="1" applyAlignment="1">
      <alignment horizontal="left" vertical="center"/>
    </xf>
    <xf numFmtId="164" fontId="12" fillId="5" borderId="1" xfId="0" applyNumberFormat="1" applyFont="1" applyFill="1" applyBorder="1" applyAlignment="1">
      <alignment horizontal="right" vertical="center"/>
    </xf>
    <xf numFmtId="164" fontId="3" fillId="0" borderId="1" xfId="0" applyNumberFormat="1" applyFont="1" applyBorder="1" applyAlignment="1">
      <alignment horizontal="right" vertical="center"/>
    </xf>
    <xf numFmtId="0" fontId="8" fillId="0" borderId="1" xfId="0" applyFont="1" applyBorder="1" applyAlignment="1">
      <alignment horizontal="left" vertical="center" wrapText="1"/>
    </xf>
    <xf numFmtId="0" fontId="8" fillId="0" borderId="0" xfId="0" applyFont="1" applyAlignment="1">
      <alignment vertical="center"/>
    </xf>
    <xf numFmtId="0" fontId="2" fillId="3" borderId="1" xfId="0" applyFont="1" applyFill="1" applyBorder="1" applyAlignment="1">
      <alignment horizontal="left" vertical="center"/>
    </xf>
    <xf numFmtId="0" fontId="3" fillId="0" borderId="1" xfId="0" applyFont="1" applyBorder="1" applyAlignment="1">
      <alignment horizontal="left" vertical="center" wrapText="1"/>
    </xf>
    <xf numFmtId="0" fontId="2" fillId="0" borderId="1" xfId="0" applyFont="1" applyBorder="1" applyAlignment="1">
      <alignment horizontal="left" vertical="center"/>
    </xf>
    <xf numFmtId="0" fontId="9" fillId="6" borderId="1" xfId="0" applyFont="1" applyFill="1" applyBorder="1" applyAlignment="1">
      <alignment horizontal="center" vertical="center" wrapText="1"/>
    </xf>
    <xf numFmtId="0" fontId="2" fillId="3" borderId="1" xfId="0" applyFont="1" applyFill="1" applyBorder="1" applyAlignment="1">
      <alignment horizontal="right" vertical="center"/>
    </xf>
    <xf numFmtId="0" fontId="3" fillId="0" borderId="1" xfId="0" applyFont="1" applyBorder="1" applyAlignment="1">
      <alignment horizontal="left" vertical="center"/>
    </xf>
    <xf numFmtId="0" fontId="8" fillId="0" borderId="1" xfId="0" applyFont="1" applyBorder="1" applyAlignment="1">
      <alignment horizontal="center" vertical="center" wrapText="1"/>
    </xf>
    <xf numFmtId="0" fontId="9" fillId="0" borderId="0" xfId="0" applyFont="1" applyAlignment="1">
      <alignment horizontal="center" vertical="center" wrapText="1"/>
    </xf>
    <xf numFmtId="0" fontId="2" fillId="6" borderId="1" xfId="0" applyFont="1" applyFill="1" applyBorder="1" applyAlignment="1">
      <alignment horizontal="center" vertical="center"/>
    </xf>
    <xf numFmtId="0" fontId="2" fillId="5" borderId="1" xfId="0" applyFont="1" applyFill="1" applyBorder="1" applyAlignment="1">
      <alignment horizontal="center" vertical="center"/>
    </xf>
    <xf numFmtId="0" fontId="3" fillId="0" borderId="1" xfId="0" applyFont="1" applyBorder="1" applyAlignment="1">
      <alignment horizontal="center" vertical="center"/>
    </xf>
    <xf numFmtId="0" fontId="9" fillId="0" borderId="1" xfId="0" applyFont="1" applyBorder="1" applyAlignment="1">
      <alignment horizontal="left" vertical="center" wrapText="1"/>
    </xf>
    <xf numFmtId="165" fontId="2" fillId="0" borderId="1" xfId="0" applyNumberFormat="1" applyFont="1" applyBorder="1" applyAlignment="1">
      <alignment horizontal="center" vertical="center"/>
    </xf>
    <xf numFmtId="0" fontId="9" fillId="5"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F2F2F2"/>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C44"/>
  <sheetViews>
    <sheetView showGridLines="0" topLeftCell="A24" zoomScaleNormal="100" workbookViewId="0">
      <selection activeCell="C40" sqref="C40:C42"/>
    </sheetView>
  </sheetViews>
  <sheetFormatPr baseColWidth="10" defaultColWidth="8.7109375" defaultRowHeight="15" x14ac:dyDescent="0.25"/>
  <cols>
    <col min="1" max="1" width="3" customWidth="1"/>
    <col min="2" max="2" width="44" customWidth="1"/>
    <col min="3" max="3" width="110" customWidth="1"/>
  </cols>
  <sheetData>
    <row r="2" spans="2:3" ht="21.75" customHeight="1" x14ac:dyDescent="0.25">
      <c r="B2" s="44" t="s">
        <v>0</v>
      </c>
      <c r="C2" s="44"/>
    </row>
    <row r="4" spans="2:3" x14ac:dyDescent="0.25">
      <c r="B4" s="8" t="s">
        <v>1</v>
      </c>
      <c r="C4" s="7" t="s">
        <v>2</v>
      </c>
    </row>
    <row r="5" spans="2:3" x14ac:dyDescent="0.25">
      <c r="B5" s="8" t="s">
        <v>3</v>
      </c>
      <c r="C5" s="7" t="s">
        <v>4</v>
      </c>
    </row>
    <row r="6" spans="2:3" ht="36" x14ac:dyDescent="0.25">
      <c r="B6" s="8" t="s">
        <v>5</v>
      </c>
      <c r="C6" s="7" t="s">
        <v>6</v>
      </c>
    </row>
    <row r="7" spans="2:3" x14ac:dyDescent="0.25">
      <c r="B7" s="8" t="s">
        <v>7</v>
      </c>
      <c r="C7" s="7" t="s">
        <v>8</v>
      </c>
    </row>
    <row r="8" spans="2:3" x14ac:dyDescent="0.25">
      <c r="B8" s="8" t="s">
        <v>9</v>
      </c>
      <c r="C8" s="7" t="s">
        <v>10</v>
      </c>
    </row>
    <row r="9" spans="2:3" x14ac:dyDescent="0.25">
      <c r="B9" s="8" t="s">
        <v>11</v>
      </c>
      <c r="C9" s="7" t="s">
        <v>12</v>
      </c>
    </row>
    <row r="10" spans="2:3" x14ac:dyDescent="0.25">
      <c r="B10" s="8" t="s">
        <v>13</v>
      </c>
      <c r="C10" s="10">
        <v>193710026.21000001</v>
      </c>
    </row>
    <row r="11" spans="2:3" x14ac:dyDescent="0.25">
      <c r="B11" s="8" t="s">
        <v>14</v>
      </c>
      <c r="C11" s="7" t="s">
        <v>15</v>
      </c>
    </row>
    <row r="12" spans="2:3" x14ac:dyDescent="0.25">
      <c r="B12" s="8" t="s">
        <v>16</v>
      </c>
      <c r="C12" s="7" t="s">
        <v>17</v>
      </c>
    </row>
    <row r="13" spans="2:3" x14ac:dyDescent="0.25">
      <c r="B13" s="8" t="s">
        <v>18</v>
      </c>
      <c r="C13" s="7" t="s">
        <v>19</v>
      </c>
    </row>
    <row r="14" spans="2:3" x14ac:dyDescent="0.25">
      <c r="B14" s="8" t="s">
        <v>20</v>
      </c>
      <c r="C14" s="7" t="s">
        <v>21</v>
      </c>
    </row>
    <row r="16" spans="2:3" x14ac:dyDescent="0.25">
      <c r="B16" s="45" t="s">
        <v>22</v>
      </c>
      <c r="C16" s="45"/>
    </row>
    <row r="17" spans="2:3" ht="24" x14ac:dyDescent="0.25">
      <c r="B17" s="3" t="s">
        <v>23</v>
      </c>
      <c r="C17" s="7" t="s">
        <v>24</v>
      </c>
    </row>
    <row r="18" spans="2:3" ht="24" x14ac:dyDescent="0.25">
      <c r="B18" s="3" t="s">
        <v>25</v>
      </c>
      <c r="C18" s="7" t="s">
        <v>26</v>
      </c>
    </row>
    <row r="19" spans="2:3" ht="24" x14ac:dyDescent="0.25">
      <c r="B19" s="3" t="s">
        <v>27</v>
      </c>
      <c r="C19" s="7" t="s">
        <v>28</v>
      </c>
    </row>
    <row r="20" spans="2:3" ht="24" x14ac:dyDescent="0.25">
      <c r="B20" s="3" t="s">
        <v>29</v>
      </c>
      <c r="C20" s="7" t="s">
        <v>30</v>
      </c>
    </row>
    <row r="21" spans="2:3" x14ac:dyDescent="0.25">
      <c r="B21" s="3" t="s">
        <v>31</v>
      </c>
      <c r="C21" s="7" t="s">
        <v>32</v>
      </c>
    </row>
    <row r="23" spans="2:3" x14ac:dyDescent="0.25">
      <c r="B23" s="45" t="s">
        <v>33</v>
      </c>
      <c r="C23" s="45"/>
    </row>
    <row r="24" spans="2:3" ht="48" x14ac:dyDescent="0.25">
      <c r="B24" s="3" t="s">
        <v>34</v>
      </c>
      <c r="C24" s="7" t="s">
        <v>35</v>
      </c>
    </row>
    <row r="25" spans="2:3" ht="24" x14ac:dyDescent="0.25">
      <c r="B25" s="3" t="s">
        <v>36</v>
      </c>
      <c r="C25" s="7" t="s">
        <v>37</v>
      </c>
    </row>
    <row r="26" spans="2:3" ht="60" x14ac:dyDescent="0.25">
      <c r="B26" s="3" t="s">
        <v>38</v>
      </c>
      <c r="C26" s="7" t="s">
        <v>39</v>
      </c>
    </row>
    <row r="27" spans="2:3" ht="36" x14ac:dyDescent="0.25">
      <c r="B27" s="3" t="s">
        <v>40</v>
      </c>
      <c r="C27" s="7" t="s">
        <v>41</v>
      </c>
    </row>
    <row r="28" spans="2:3" ht="48" x14ac:dyDescent="0.25">
      <c r="B28" s="3" t="s">
        <v>42</v>
      </c>
      <c r="C28" s="7" t="s">
        <v>43</v>
      </c>
    </row>
    <row r="29" spans="2:3" ht="24" x14ac:dyDescent="0.25">
      <c r="B29" s="3" t="s">
        <v>44</v>
      </c>
      <c r="C29" s="7" t="s">
        <v>45</v>
      </c>
    </row>
    <row r="30" spans="2:3" ht="36" x14ac:dyDescent="0.25">
      <c r="B30" s="3" t="s">
        <v>46</v>
      </c>
      <c r="C30" s="7" t="s">
        <v>47</v>
      </c>
    </row>
    <row r="31" spans="2:3" ht="24" x14ac:dyDescent="0.25">
      <c r="B31" s="3" t="s">
        <v>48</v>
      </c>
      <c r="C31" s="7" t="s">
        <v>49</v>
      </c>
    </row>
    <row r="32" spans="2:3" ht="36" x14ac:dyDescent="0.25">
      <c r="B32" s="3" t="s">
        <v>50</v>
      </c>
      <c r="C32" s="7" t="s">
        <v>51</v>
      </c>
    </row>
    <row r="33" spans="2:3" ht="24" x14ac:dyDescent="0.25">
      <c r="B33" s="3" t="s">
        <v>52</v>
      </c>
      <c r="C33" s="7" t="s">
        <v>53</v>
      </c>
    </row>
    <row r="34" spans="2:3" ht="36" x14ac:dyDescent="0.25">
      <c r="B34" s="3" t="s">
        <v>54</v>
      </c>
      <c r="C34" s="7" t="s">
        <v>55</v>
      </c>
    </row>
    <row r="36" spans="2:3" x14ac:dyDescent="0.25">
      <c r="B36" s="45" t="s">
        <v>56</v>
      </c>
      <c r="C36" s="45"/>
    </row>
    <row r="37" spans="2:3" ht="27.75" customHeight="1" x14ac:dyDescent="0.25">
      <c r="B37" s="11" t="s">
        <v>57</v>
      </c>
      <c r="C37" s="12">
        <f>'ANEXO 4 - MERCADO DEFINITIVO'!$O$30</f>
        <v>193710026.21000001</v>
      </c>
    </row>
    <row r="38" spans="2:3" x14ac:dyDescent="0.25">
      <c r="B38" s="3" t="s">
        <v>58</v>
      </c>
      <c r="C38" s="13">
        <f>'ANEXO 3 - CONSOLIDADO'!$H$45</f>
        <v>121262832.96000001</v>
      </c>
    </row>
    <row r="39" spans="2:3" x14ac:dyDescent="0.25">
      <c r="B39" s="3" t="s">
        <v>59</v>
      </c>
      <c r="C39" s="13">
        <f>'ANEXO 3 - CONSOLIDADO'!$H$47</f>
        <v>72447193.25</v>
      </c>
    </row>
    <row r="40" spans="2:3" ht="24" x14ac:dyDescent="0.25">
      <c r="B40" s="7" t="s">
        <v>60</v>
      </c>
      <c r="C40" s="14">
        <f>'ANEXO 3 - CONSOLIDADO'!E48</f>
        <v>7639456.29</v>
      </c>
    </row>
    <row r="41" spans="2:3" ht="24" x14ac:dyDescent="0.25">
      <c r="B41" s="7" t="s">
        <v>61</v>
      </c>
      <c r="C41" s="14">
        <f>'ANEXO 3 - CONSOLIDADO'!F48</f>
        <v>95707108.400000006</v>
      </c>
    </row>
    <row r="42" spans="2:3" ht="24" x14ac:dyDescent="0.25">
      <c r="B42" s="7" t="s">
        <v>62</v>
      </c>
      <c r="C42" s="14">
        <f>'ANEXO 3 - CONSOLIDADO'!G48</f>
        <v>90363461.519999996</v>
      </c>
    </row>
    <row r="43" spans="2:3" x14ac:dyDescent="0.25">
      <c r="B43" s="3" t="s">
        <v>13</v>
      </c>
      <c r="C43" s="10">
        <v>193710026.21000001</v>
      </c>
    </row>
    <row r="44" spans="2:3" x14ac:dyDescent="0.25">
      <c r="B44" s="3" t="s">
        <v>63</v>
      </c>
      <c r="C44" s="15">
        <f>C37-C43</f>
        <v>0</v>
      </c>
    </row>
  </sheetData>
  <mergeCells count="4">
    <mergeCell ref="B2:C2"/>
    <mergeCell ref="B16:C16"/>
    <mergeCell ref="B23:C23"/>
    <mergeCell ref="B36:C36"/>
  </mergeCells>
  <printOptions horizontalCentered="1"/>
  <pageMargins left="0.35" right="0.35" top="1" bottom="1" header="0.511811023622047" footer="0.511811023622047"/>
  <pageSetup fitToHeight="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L37"/>
  <sheetViews>
    <sheetView showGridLines="0" topLeftCell="A19" zoomScaleNormal="100" workbookViewId="0"/>
  </sheetViews>
  <sheetFormatPr baseColWidth="10" defaultColWidth="8.7109375" defaultRowHeight="15" x14ac:dyDescent="0.25"/>
  <cols>
    <col min="1" max="1" width="2" customWidth="1"/>
    <col min="2" max="2" width="6" customWidth="1"/>
    <col min="3" max="3" width="40" customWidth="1"/>
    <col min="4" max="4" width="13" customWidth="1"/>
    <col min="5" max="5" width="9" customWidth="1"/>
    <col min="6" max="6" width="15" customWidth="1"/>
    <col min="7" max="7" width="9" customWidth="1"/>
    <col min="8" max="8" width="15" customWidth="1"/>
    <col min="9" max="9" width="9" customWidth="1"/>
    <col min="10" max="10" width="15" customWidth="1"/>
    <col min="11" max="11" width="17" customWidth="1"/>
    <col min="12" max="12" width="18" customWidth="1"/>
  </cols>
  <sheetData>
    <row r="2" spans="2:12" ht="21.75" customHeight="1" x14ac:dyDescent="0.25">
      <c r="B2" s="44" t="s">
        <v>64</v>
      </c>
      <c r="C2" s="44"/>
      <c r="D2" s="44"/>
      <c r="E2" s="44"/>
      <c r="F2" s="44"/>
      <c r="G2" s="44"/>
      <c r="H2" s="44"/>
      <c r="I2" s="44"/>
      <c r="J2" s="44"/>
      <c r="K2" s="44"/>
      <c r="L2" s="44"/>
    </row>
    <row r="3" spans="2:12" x14ac:dyDescent="0.25">
      <c r="B3" s="60" t="s">
        <v>65</v>
      </c>
      <c r="C3" s="60"/>
      <c r="D3" s="60"/>
      <c r="E3" s="60"/>
      <c r="F3" s="60"/>
      <c r="G3" s="60"/>
      <c r="H3" s="60"/>
      <c r="I3" s="60"/>
      <c r="J3" s="60"/>
      <c r="K3" s="60"/>
      <c r="L3" s="60"/>
    </row>
    <row r="5" spans="2:12" x14ac:dyDescent="0.25">
      <c r="B5" s="47" t="s">
        <v>66</v>
      </c>
      <c r="C5" s="47"/>
      <c r="D5" s="47"/>
      <c r="E5" s="47"/>
      <c r="F5" s="47"/>
      <c r="G5" s="47"/>
      <c r="H5" s="47"/>
      <c r="I5" s="47"/>
      <c r="J5" s="47"/>
      <c r="K5" s="47"/>
      <c r="L5" s="47"/>
    </row>
    <row r="6" spans="2:12" ht="15" customHeight="1" x14ac:dyDescent="0.25">
      <c r="B6" s="61" t="s">
        <v>67</v>
      </c>
      <c r="C6" s="61"/>
      <c r="D6" s="62" t="s">
        <v>68</v>
      </c>
      <c r="E6" s="62"/>
      <c r="F6" s="62"/>
      <c r="G6" s="62"/>
      <c r="H6" s="62"/>
      <c r="I6" s="62"/>
      <c r="J6" s="62"/>
      <c r="K6" s="62"/>
      <c r="L6" s="62"/>
    </row>
    <row r="7" spans="2:12" ht="15" customHeight="1" x14ac:dyDescent="0.25">
      <c r="B7" s="61" t="s">
        <v>69</v>
      </c>
      <c r="C7" s="61"/>
      <c r="D7" s="62" t="s">
        <v>70</v>
      </c>
      <c r="E7" s="62"/>
      <c r="F7" s="62"/>
      <c r="G7" s="62"/>
      <c r="H7" s="62"/>
      <c r="I7" s="62"/>
      <c r="J7" s="62"/>
      <c r="K7" s="62"/>
      <c r="L7" s="62"/>
    </row>
    <row r="8" spans="2:12" ht="15" customHeight="1" x14ac:dyDescent="0.25">
      <c r="B8" s="61" t="s">
        <v>71</v>
      </c>
      <c r="C8" s="61"/>
      <c r="D8" s="62" t="s">
        <v>72</v>
      </c>
      <c r="E8" s="62"/>
      <c r="F8" s="62"/>
      <c r="G8" s="62"/>
      <c r="H8" s="62"/>
      <c r="I8" s="62"/>
      <c r="J8" s="62"/>
      <c r="K8" s="62"/>
      <c r="L8" s="62"/>
    </row>
    <row r="9" spans="2:12" ht="15" customHeight="1" x14ac:dyDescent="0.25">
      <c r="B9" s="61" t="s">
        <v>73</v>
      </c>
      <c r="C9" s="61"/>
      <c r="D9" s="62" t="s">
        <v>74</v>
      </c>
      <c r="E9" s="62"/>
      <c r="F9" s="62"/>
      <c r="G9" s="62"/>
      <c r="H9" s="62"/>
      <c r="I9" s="62"/>
      <c r="J9" s="62"/>
      <c r="K9" s="62"/>
      <c r="L9" s="62"/>
    </row>
    <row r="10" spans="2:12" ht="15" customHeight="1" x14ac:dyDescent="0.25">
      <c r="B10" s="61" t="s">
        <v>75</v>
      </c>
      <c r="C10" s="61"/>
      <c r="D10" s="62" t="s">
        <v>76</v>
      </c>
      <c r="E10" s="62"/>
      <c r="F10" s="62"/>
      <c r="G10" s="62"/>
      <c r="H10" s="62"/>
      <c r="I10" s="62"/>
      <c r="J10" s="62"/>
      <c r="K10" s="62"/>
      <c r="L10" s="62"/>
    </row>
    <row r="11" spans="2:12" ht="15" customHeight="1" x14ac:dyDescent="0.25">
      <c r="B11" s="61" t="s">
        <v>77</v>
      </c>
      <c r="C11" s="61"/>
      <c r="D11" s="62" t="s">
        <v>78</v>
      </c>
      <c r="E11" s="62"/>
      <c r="F11" s="62"/>
      <c r="G11" s="62"/>
      <c r="H11" s="62"/>
      <c r="I11" s="62"/>
      <c r="J11" s="62"/>
      <c r="K11" s="62"/>
      <c r="L11" s="62"/>
    </row>
    <row r="12" spans="2:12" ht="15" customHeight="1" x14ac:dyDescent="0.25">
      <c r="B12" s="61" t="s">
        <v>79</v>
      </c>
      <c r="C12" s="61"/>
      <c r="D12" s="62" t="s">
        <v>80</v>
      </c>
      <c r="E12" s="62"/>
      <c r="F12" s="62"/>
      <c r="G12" s="62"/>
      <c r="H12" s="62"/>
      <c r="I12" s="62"/>
      <c r="J12" s="62"/>
      <c r="K12" s="62"/>
      <c r="L12" s="62"/>
    </row>
    <row r="14" spans="2:12" x14ac:dyDescent="0.25">
      <c r="B14" s="47" t="s">
        <v>81</v>
      </c>
      <c r="C14" s="47"/>
      <c r="D14" s="47"/>
      <c r="E14" s="47"/>
      <c r="F14" s="47"/>
      <c r="G14" s="47"/>
      <c r="H14" s="47"/>
      <c r="I14" s="47"/>
      <c r="J14" s="47"/>
      <c r="K14" s="47"/>
      <c r="L14" s="47"/>
    </row>
    <row r="15" spans="2:12" x14ac:dyDescent="0.25">
      <c r="B15" s="16"/>
      <c r="C15" s="16"/>
      <c r="D15" s="16"/>
      <c r="E15" s="45" t="s">
        <v>82</v>
      </c>
      <c r="F15" s="45"/>
      <c r="G15" s="45" t="s">
        <v>83</v>
      </c>
      <c r="H15" s="45"/>
      <c r="I15" s="45" t="s">
        <v>84</v>
      </c>
      <c r="J15" s="45"/>
      <c r="K15" s="45" t="s">
        <v>85</v>
      </c>
      <c r="L15" s="45"/>
    </row>
    <row r="16" spans="2:12" ht="31.5" customHeight="1" x14ac:dyDescent="0.25">
      <c r="B16" s="6" t="s">
        <v>86</v>
      </c>
      <c r="C16" s="6" t="s">
        <v>87</v>
      </c>
      <c r="D16" s="6" t="s">
        <v>88</v>
      </c>
      <c r="E16" s="6" t="s">
        <v>89</v>
      </c>
      <c r="F16" s="6" t="s">
        <v>90</v>
      </c>
      <c r="G16" s="6" t="s">
        <v>89</v>
      </c>
      <c r="H16" s="6" t="s">
        <v>90</v>
      </c>
      <c r="I16" s="6" t="s">
        <v>89</v>
      </c>
      <c r="J16" s="6" t="s">
        <v>90</v>
      </c>
      <c r="K16" s="6" t="s">
        <v>91</v>
      </c>
      <c r="L16" s="6" t="s">
        <v>92</v>
      </c>
    </row>
    <row r="17" spans="2:12" ht="33.75" customHeight="1" x14ac:dyDescent="0.25">
      <c r="B17" s="17">
        <v>1</v>
      </c>
      <c r="C17" s="5" t="s">
        <v>93</v>
      </c>
      <c r="D17" s="18" t="s">
        <v>94</v>
      </c>
      <c r="E17" s="19">
        <v>1</v>
      </c>
      <c r="F17" s="10">
        <v>766320</v>
      </c>
      <c r="G17" s="19">
        <v>12</v>
      </c>
      <c r="H17" s="20">
        <f>ROUND(F17*(1+'ANEXO 2 - HISTÓRICO'!$D$5),2)</f>
        <v>800038.08</v>
      </c>
      <c r="I17" s="19">
        <v>11</v>
      </c>
      <c r="J17" s="20">
        <f>ROUND(H17*(1+'ANEXO 2 - HISTÓRICO'!$D$6),2)</f>
        <v>824039.22</v>
      </c>
      <c r="K17" s="20">
        <f>F17*E17+H17*G17+J17*I17</f>
        <v>19431208.379999999</v>
      </c>
      <c r="L17" s="15">
        <f>ROUND(K17*(1+'ANEXO 2 - HISTÓRICO'!$D$4),2)</f>
        <v>23123137.969999999</v>
      </c>
    </row>
    <row r="18" spans="2:12" ht="33.75" customHeight="1" x14ac:dyDescent="0.25">
      <c r="B18" s="17">
        <v>2</v>
      </c>
      <c r="C18" s="5" t="s">
        <v>95</v>
      </c>
      <c r="D18" s="18" t="s">
        <v>94</v>
      </c>
      <c r="E18" s="19">
        <v>1</v>
      </c>
      <c r="F18" s="10">
        <v>799589</v>
      </c>
      <c r="G18" s="19">
        <v>12</v>
      </c>
      <c r="H18" s="20">
        <f>ROUND(F18*(1+'ANEXO 2 - HISTÓRICO'!$D$5),2)</f>
        <v>834770.92</v>
      </c>
      <c r="I18" s="19">
        <v>11</v>
      </c>
      <c r="J18" s="20">
        <f>ROUND(H18*(1+'ANEXO 2 - HISTÓRICO'!$D$6),2)</f>
        <v>859814.05</v>
      </c>
      <c r="K18" s="20">
        <f>F18*E18+H18*G18+J18*I18</f>
        <v>20274794.590000004</v>
      </c>
      <c r="L18" s="15">
        <f>ROUND(K18*(1+'ANEXO 2 - HISTÓRICO'!$D$4),2)</f>
        <v>24127005.559999999</v>
      </c>
    </row>
    <row r="19" spans="2:12" ht="33.75" customHeight="1" x14ac:dyDescent="0.25">
      <c r="B19" s="17">
        <v>3</v>
      </c>
      <c r="C19" s="5" t="s">
        <v>96</v>
      </c>
      <c r="D19" s="18" t="s">
        <v>94</v>
      </c>
      <c r="E19" s="19">
        <v>1</v>
      </c>
      <c r="F19" s="10">
        <v>817614</v>
      </c>
      <c r="G19" s="19">
        <v>12</v>
      </c>
      <c r="H19" s="20">
        <f>ROUND(F19*(1+'ANEXO 2 - HISTÓRICO'!$D$5),2)</f>
        <v>853589.02</v>
      </c>
      <c r="I19" s="19">
        <v>11</v>
      </c>
      <c r="J19" s="20">
        <f>ROUND(H19*(1+'ANEXO 2 - HISTÓRICO'!$D$6),2)</f>
        <v>879196.69</v>
      </c>
      <c r="K19" s="20">
        <f>F19*E19+H19*G19+J19*I19</f>
        <v>20731845.829999998</v>
      </c>
      <c r="L19" s="15">
        <f>ROUND(K19*(1+'ANEXO 2 - HISTÓRICO'!$D$4),2)</f>
        <v>24670896.539999999</v>
      </c>
    </row>
    <row r="20" spans="2:12" ht="33.75" customHeight="1" x14ac:dyDescent="0.25">
      <c r="B20" s="17">
        <v>4</v>
      </c>
      <c r="C20" s="5" t="s">
        <v>97</v>
      </c>
      <c r="D20" s="18" t="s">
        <v>94</v>
      </c>
      <c r="E20" s="19">
        <v>1</v>
      </c>
      <c r="F20" s="10">
        <v>817614</v>
      </c>
      <c r="G20" s="19">
        <v>12</v>
      </c>
      <c r="H20" s="20">
        <f>ROUND(F20*(1+'ANEXO 2 - HISTÓRICO'!$D$5),2)</f>
        <v>853589.02</v>
      </c>
      <c r="I20" s="19">
        <v>11</v>
      </c>
      <c r="J20" s="20">
        <f>ROUND(H20*(1+'ANEXO 2 - HISTÓRICO'!$D$6),2)</f>
        <v>879196.69</v>
      </c>
      <c r="K20" s="20">
        <f>F20*E20+H20*G20+J20*I20</f>
        <v>20731845.829999998</v>
      </c>
      <c r="L20" s="15">
        <f>ROUND(K20*(1+'ANEXO 2 - HISTÓRICO'!$D$4),2)</f>
        <v>24670896.539999999</v>
      </c>
    </row>
    <row r="21" spans="2:12" ht="33.75" customHeight="1" x14ac:dyDescent="0.25">
      <c r="B21" s="17">
        <v>5</v>
      </c>
      <c r="C21" s="5" t="s">
        <v>98</v>
      </c>
      <c r="D21" s="18" t="s">
        <v>94</v>
      </c>
      <c r="E21" s="19">
        <v>1</v>
      </c>
      <c r="F21" s="10">
        <v>817614</v>
      </c>
      <c r="G21" s="19">
        <v>12</v>
      </c>
      <c r="H21" s="20">
        <f>ROUND(F21*(1+'ANEXO 2 - HISTÓRICO'!$D$5),2)</f>
        <v>853589.02</v>
      </c>
      <c r="I21" s="19">
        <v>11</v>
      </c>
      <c r="J21" s="20">
        <f>ROUND(H21*(1+'ANEXO 2 - HISTÓRICO'!$D$6),2)</f>
        <v>879196.69</v>
      </c>
      <c r="K21" s="20">
        <f>F21*E21+H21*G21+J21*I21</f>
        <v>20731845.829999998</v>
      </c>
      <c r="L21" s="15">
        <f>ROUND(K21*(1+'ANEXO 2 - HISTÓRICO'!$D$4),2)</f>
        <v>24670896.539999999</v>
      </c>
    </row>
    <row r="22" spans="2:12" x14ac:dyDescent="0.25">
      <c r="B22" s="4"/>
      <c r="C22" s="2" t="s">
        <v>99</v>
      </c>
      <c r="D22" s="4"/>
      <c r="E22" s="4"/>
      <c r="F22" s="21">
        <f>SUM(F17:F21)</f>
        <v>4018751</v>
      </c>
      <c r="G22" s="4"/>
      <c r="H22" s="21">
        <f>SUM(H17:H21)</f>
        <v>4195576.0600000005</v>
      </c>
      <c r="I22" s="4"/>
      <c r="J22" s="21">
        <f>SUM(J17:J21)</f>
        <v>4321443.34</v>
      </c>
      <c r="K22" s="21">
        <f>SUM(K17:K21)</f>
        <v>101901540.45999999</v>
      </c>
      <c r="L22" s="21">
        <f>SUM(L17:L21)</f>
        <v>121262833.14999998</v>
      </c>
    </row>
    <row r="24" spans="2:12" x14ac:dyDescent="0.25">
      <c r="B24" s="47" t="s">
        <v>100</v>
      </c>
      <c r="C24" s="47"/>
      <c r="D24" s="47"/>
      <c r="E24" s="47"/>
      <c r="F24" s="47"/>
      <c r="G24" s="47"/>
      <c r="H24" s="47"/>
      <c r="I24" s="47"/>
      <c r="J24" s="47"/>
      <c r="K24" s="47"/>
      <c r="L24" s="47"/>
    </row>
    <row r="25" spans="2:12" ht="31.5" customHeight="1" x14ac:dyDescent="0.25">
      <c r="B25" s="6" t="s">
        <v>86</v>
      </c>
      <c r="C25" s="6" t="s">
        <v>87</v>
      </c>
      <c r="D25" s="6" t="s">
        <v>88</v>
      </c>
      <c r="E25" s="6" t="s">
        <v>101</v>
      </c>
      <c r="F25" s="6" t="s">
        <v>82</v>
      </c>
      <c r="G25" s="6" t="s">
        <v>83</v>
      </c>
      <c r="H25" s="6" t="s">
        <v>84</v>
      </c>
      <c r="I25" s="49" t="s">
        <v>102</v>
      </c>
      <c r="J25" s="49"/>
      <c r="K25" s="49"/>
      <c r="L25" s="49"/>
    </row>
    <row r="26" spans="2:12" ht="24" customHeight="1" x14ac:dyDescent="0.25">
      <c r="B26" s="17">
        <v>6</v>
      </c>
      <c r="C26" s="5" t="s">
        <v>103</v>
      </c>
      <c r="D26" s="18" t="s">
        <v>104</v>
      </c>
      <c r="E26" s="19">
        <v>1</v>
      </c>
      <c r="F26" s="10">
        <v>96577.95</v>
      </c>
      <c r="G26" s="20">
        <f>ROUND(F26*(1+'ANEXO 2 - HISTÓRICO'!$D$5),2)</f>
        <v>100827.38</v>
      </c>
      <c r="H26" s="20">
        <f>ROUND(G26*(1+'ANEXO 2 - HISTÓRICO'!$D$6),2)</f>
        <v>103852.2</v>
      </c>
      <c r="I26" s="59" t="s">
        <v>105</v>
      </c>
      <c r="J26" s="59"/>
      <c r="K26" s="59"/>
      <c r="L26" s="59"/>
    </row>
    <row r="27" spans="2:12" ht="24" customHeight="1" x14ac:dyDescent="0.25">
      <c r="B27" s="17">
        <v>7</v>
      </c>
      <c r="C27" s="5" t="s">
        <v>106</v>
      </c>
      <c r="D27" s="18" t="s">
        <v>104</v>
      </c>
      <c r="E27" s="19">
        <v>1</v>
      </c>
      <c r="F27" s="10">
        <v>497273.7</v>
      </c>
      <c r="G27" s="20">
        <f>ROUND(F27*(1+'ANEXO 2 - HISTÓRICO'!$D$5),2)</f>
        <v>519153.74</v>
      </c>
      <c r="H27" s="20">
        <f>ROUND(G27*(1+'ANEXO 2 - HISTÓRICO'!$D$6),2)</f>
        <v>534728.35</v>
      </c>
      <c r="I27" s="59" t="s">
        <v>105</v>
      </c>
      <c r="J27" s="59"/>
      <c r="K27" s="59"/>
      <c r="L27" s="59"/>
    </row>
    <row r="28" spans="2:12" ht="24" customHeight="1" x14ac:dyDescent="0.25">
      <c r="B28" s="17">
        <v>8</v>
      </c>
      <c r="C28" s="5" t="s">
        <v>107</v>
      </c>
      <c r="D28" s="18" t="s">
        <v>108</v>
      </c>
      <c r="E28" s="19">
        <v>1</v>
      </c>
      <c r="F28" s="10">
        <v>17195.849999999999</v>
      </c>
      <c r="G28" s="20">
        <f>ROUND(F28*(1+'ANEXO 2 - HISTÓRICO'!$D$5),2)</f>
        <v>17952.47</v>
      </c>
      <c r="H28" s="20">
        <f>ROUND(G28*(1+'ANEXO 2 - HISTÓRICO'!$D$6),2)</f>
        <v>18491.04</v>
      </c>
      <c r="I28" s="59" t="s">
        <v>105</v>
      </c>
      <c r="J28" s="59"/>
      <c r="K28" s="59"/>
      <c r="L28" s="59"/>
    </row>
    <row r="29" spans="2:12" ht="24" customHeight="1" x14ac:dyDescent="0.25">
      <c r="B29" s="17">
        <v>9</v>
      </c>
      <c r="C29" s="5" t="s">
        <v>109</v>
      </c>
      <c r="D29" s="18" t="s">
        <v>104</v>
      </c>
      <c r="E29" s="19">
        <v>1</v>
      </c>
      <c r="F29" s="10">
        <v>28459.672500000001</v>
      </c>
      <c r="G29" s="20">
        <f>ROUND(F29*(1+'ANEXO 2 - HISTÓRICO'!$D$5),2)</f>
        <v>29711.9</v>
      </c>
      <c r="H29" s="20">
        <f>ROUND(G29*(1+'ANEXO 2 - HISTÓRICO'!$D$6),2)</f>
        <v>30603.26</v>
      </c>
      <c r="I29" s="59" t="s">
        <v>105</v>
      </c>
      <c r="J29" s="59"/>
      <c r="K29" s="59"/>
      <c r="L29" s="59"/>
    </row>
    <row r="30" spans="2:12" ht="24" customHeight="1" x14ac:dyDescent="0.25">
      <c r="B30" s="17">
        <v>10</v>
      </c>
      <c r="C30" s="5" t="s">
        <v>110</v>
      </c>
      <c r="D30" s="18" t="s">
        <v>104</v>
      </c>
      <c r="E30" s="19">
        <v>1</v>
      </c>
      <c r="F30" s="10">
        <v>35240.677499999998</v>
      </c>
      <c r="G30" s="20">
        <f>ROUND(F30*(1+'ANEXO 2 - HISTÓRICO'!$D$5),2)</f>
        <v>36791.269999999997</v>
      </c>
      <c r="H30" s="20">
        <f>ROUND(G30*(1+'ANEXO 2 - HISTÓRICO'!$D$6),2)</f>
        <v>37895.01</v>
      </c>
      <c r="I30" s="59" t="s">
        <v>105</v>
      </c>
      <c r="J30" s="59"/>
      <c r="K30" s="59"/>
      <c r="L30" s="59"/>
    </row>
    <row r="31" spans="2:12" x14ac:dyDescent="0.25">
      <c r="B31" s="4"/>
      <c r="C31" s="2" t="s">
        <v>111</v>
      </c>
      <c r="D31" s="4"/>
      <c r="E31" s="4"/>
      <c r="F31" s="21">
        <f>SUM(F26:F30)</f>
        <v>674747.85</v>
      </c>
      <c r="G31" s="21">
        <f>SUM(G26:G30)</f>
        <v>704436.76</v>
      </c>
      <c r="H31" s="21">
        <f>SUM(H26:H30)</f>
        <v>725569.86</v>
      </c>
      <c r="I31" s="51"/>
      <c r="J31" s="51"/>
      <c r="K31" s="51"/>
      <c r="L31" s="51"/>
    </row>
    <row r="33" spans="2:12" x14ac:dyDescent="0.25">
      <c r="B33" s="47" t="s">
        <v>112</v>
      </c>
      <c r="C33" s="47"/>
      <c r="D33" s="47"/>
      <c r="E33" s="47"/>
      <c r="F33" s="47"/>
      <c r="G33" s="47"/>
      <c r="H33" s="47"/>
      <c r="I33" s="47"/>
      <c r="J33" s="47"/>
      <c r="K33" s="47"/>
      <c r="L33" s="47"/>
    </row>
    <row r="34" spans="2:12" ht="25.5" customHeight="1" x14ac:dyDescent="0.25">
      <c r="B34" s="59" t="s">
        <v>113</v>
      </c>
      <c r="C34" s="59"/>
      <c r="D34" s="59"/>
      <c r="E34" s="59"/>
      <c r="F34" s="59"/>
      <c r="G34" s="59"/>
      <c r="H34" s="59"/>
      <c r="I34" s="59"/>
      <c r="J34" s="59"/>
      <c r="K34" s="59"/>
      <c r="L34" s="59"/>
    </row>
    <row r="35" spans="2:12" ht="25.5" customHeight="1" x14ac:dyDescent="0.25">
      <c r="B35" s="59" t="s">
        <v>114</v>
      </c>
      <c r="C35" s="59"/>
      <c r="D35" s="59"/>
      <c r="E35" s="59"/>
      <c r="F35" s="59"/>
      <c r="G35" s="59"/>
      <c r="H35" s="59"/>
      <c r="I35" s="59"/>
      <c r="J35" s="59"/>
      <c r="K35" s="59"/>
      <c r="L35" s="59"/>
    </row>
    <row r="36" spans="2:12" ht="25.5" customHeight="1" x14ac:dyDescent="0.25">
      <c r="B36" s="59" t="s">
        <v>115</v>
      </c>
      <c r="C36" s="59"/>
      <c r="D36" s="59"/>
      <c r="E36" s="59"/>
      <c r="F36" s="59"/>
      <c r="G36" s="59"/>
      <c r="H36" s="59"/>
      <c r="I36" s="59"/>
      <c r="J36" s="59"/>
      <c r="K36" s="59"/>
      <c r="L36" s="59"/>
    </row>
    <row r="37" spans="2:12" ht="25.5" customHeight="1" x14ac:dyDescent="0.25">
      <c r="B37" s="59" t="s">
        <v>116</v>
      </c>
      <c r="C37" s="59"/>
      <c r="D37" s="59"/>
      <c r="E37" s="59"/>
      <c r="F37" s="59"/>
      <c r="G37" s="59"/>
      <c r="H37" s="59"/>
      <c r="I37" s="59"/>
      <c r="J37" s="59"/>
      <c r="K37" s="59"/>
      <c r="L37" s="59"/>
    </row>
  </sheetData>
  <mergeCells count="35">
    <mergeCell ref="B35:L35"/>
    <mergeCell ref="B36:L36"/>
    <mergeCell ref="B37:L37"/>
    <mergeCell ref="I29:L29"/>
    <mergeCell ref="I30:L30"/>
    <mergeCell ref="I31:L31"/>
    <mergeCell ref="B33:L33"/>
    <mergeCell ref="B34:L34"/>
    <mergeCell ref="B24:L24"/>
    <mergeCell ref="I25:L25"/>
    <mergeCell ref="I26:L26"/>
    <mergeCell ref="I27:L27"/>
    <mergeCell ref="I28:L28"/>
    <mergeCell ref="B14:L14"/>
    <mergeCell ref="E15:F15"/>
    <mergeCell ref="G15:H15"/>
    <mergeCell ref="I15:J15"/>
    <mergeCell ref="K15:L15"/>
    <mergeCell ref="B10:C10"/>
    <mergeCell ref="D10:L10"/>
    <mergeCell ref="B11:C11"/>
    <mergeCell ref="D11:L11"/>
    <mergeCell ref="B12:C12"/>
    <mergeCell ref="D12:L12"/>
    <mergeCell ref="B7:C7"/>
    <mergeCell ref="D7:L7"/>
    <mergeCell ref="B8:C8"/>
    <mergeCell ref="D8:L8"/>
    <mergeCell ref="B9:C9"/>
    <mergeCell ref="D9:L9"/>
    <mergeCell ref="B2:L2"/>
    <mergeCell ref="B3:L3"/>
    <mergeCell ref="B5:L5"/>
    <mergeCell ref="B6:C6"/>
    <mergeCell ref="D6:L6"/>
  </mergeCells>
  <printOptions horizontalCentered="1"/>
  <pageMargins left="0.35" right="0.35" top="1" bottom="1" header="0.511811023622047" footer="0.511811023622047"/>
  <pageSetup fitToHeight="0" orientation="landscape" horizontalDpi="300" verticalDpi="300"/>
  <rowBreaks count="1" manualBreakCount="1">
    <brk id="2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L36"/>
  <sheetViews>
    <sheetView showGridLines="0" topLeftCell="A22" zoomScaleNormal="100" workbookViewId="0">
      <selection activeCell="G18" sqref="G18"/>
    </sheetView>
  </sheetViews>
  <sheetFormatPr baseColWidth="10" defaultColWidth="8.7109375" defaultRowHeight="15" x14ac:dyDescent="0.25"/>
  <cols>
    <col min="1" max="1" width="2" customWidth="1"/>
    <col min="2" max="2" width="6" customWidth="1"/>
    <col min="3" max="3" width="42" customWidth="1"/>
    <col min="4" max="4" width="16" customWidth="1"/>
    <col min="5" max="5" width="12" customWidth="1"/>
    <col min="6" max="10" width="15" customWidth="1"/>
    <col min="11" max="11" width="13" customWidth="1"/>
    <col min="12" max="12" width="16" customWidth="1"/>
  </cols>
  <sheetData>
    <row r="2" spans="2:12" ht="21.75" customHeight="1" x14ac:dyDescent="0.25">
      <c r="B2" s="44" t="s">
        <v>117</v>
      </c>
      <c r="C2" s="44"/>
      <c r="D2" s="44"/>
      <c r="E2" s="44"/>
      <c r="F2" s="44"/>
      <c r="G2" s="44"/>
      <c r="H2" s="44"/>
      <c r="I2" s="44"/>
      <c r="J2" s="44"/>
      <c r="K2" s="44"/>
      <c r="L2" s="44"/>
    </row>
    <row r="3" spans="2:12" x14ac:dyDescent="0.25">
      <c r="B3" s="60" t="s">
        <v>118</v>
      </c>
      <c r="C3" s="60"/>
      <c r="D3" s="60"/>
      <c r="E3" s="60"/>
      <c r="F3" s="60"/>
      <c r="G3" s="60"/>
      <c r="H3" s="60"/>
      <c r="I3" s="60"/>
      <c r="J3" s="60"/>
      <c r="K3" s="60"/>
      <c r="L3" s="60"/>
    </row>
    <row r="4" spans="2:12" x14ac:dyDescent="0.25">
      <c r="B4" s="47" t="s">
        <v>119</v>
      </c>
      <c r="C4" s="47"/>
      <c r="D4" s="22">
        <v>0.19</v>
      </c>
      <c r="E4" s="50" t="s">
        <v>120</v>
      </c>
      <c r="F4" s="50"/>
      <c r="G4" s="50"/>
      <c r="H4" s="50"/>
      <c r="I4" s="50"/>
      <c r="J4" s="50"/>
      <c r="K4" s="50"/>
      <c r="L4" s="50"/>
    </row>
    <row r="5" spans="2:12" x14ac:dyDescent="0.25">
      <c r="B5" s="47" t="s">
        <v>121</v>
      </c>
      <c r="C5" s="47"/>
      <c r="D5" s="22">
        <v>4.3999999999999997E-2</v>
      </c>
      <c r="E5" s="50" t="s">
        <v>122</v>
      </c>
      <c r="F5" s="50"/>
      <c r="G5" s="50"/>
      <c r="H5" s="50"/>
      <c r="I5" s="50"/>
      <c r="J5" s="50"/>
      <c r="K5" s="50"/>
      <c r="L5" s="50"/>
    </row>
    <row r="6" spans="2:12" x14ac:dyDescent="0.25">
      <c r="B6" s="47" t="s">
        <v>123</v>
      </c>
      <c r="C6" s="47"/>
      <c r="D6" s="22">
        <v>0.03</v>
      </c>
      <c r="E6" s="50" t="s">
        <v>124</v>
      </c>
      <c r="F6" s="50"/>
      <c r="G6" s="50"/>
      <c r="H6" s="50"/>
      <c r="I6" s="50"/>
      <c r="J6" s="50"/>
      <c r="K6" s="50"/>
      <c r="L6" s="50"/>
    </row>
    <row r="8" spans="2:12" x14ac:dyDescent="0.25">
      <c r="B8" s="47" t="s">
        <v>125</v>
      </c>
      <c r="C8" s="47"/>
      <c r="D8" s="47"/>
      <c r="E8" s="47"/>
      <c r="F8" s="47"/>
      <c r="G8" s="47"/>
      <c r="H8" s="47"/>
      <c r="I8" s="47"/>
      <c r="J8" s="47"/>
      <c r="K8" s="47"/>
      <c r="L8" s="47"/>
    </row>
    <row r="9" spans="2:12" x14ac:dyDescent="0.25">
      <c r="B9" s="63" t="s">
        <v>126</v>
      </c>
      <c r="C9" s="63"/>
      <c r="D9" s="23">
        <f>'ÍNDICES IPC'!$D$17</f>
        <v>152.27000000000001</v>
      </c>
      <c r="E9" s="50" t="s">
        <v>127</v>
      </c>
      <c r="F9" s="50"/>
      <c r="G9" s="50"/>
      <c r="H9" s="50"/>
      <c r="I9" s="50"/>
      <c r="J9" s="50"/>
      <c r="K9" s="50"/>
      <c r="L9" s="50"/>
    </row>
    <row r="10" spans="2:12" x14ac:dyDescent="0.25">
      <c r="B10" s="63" t="s">
        <v>128</v>
      </c>
      <c r="C10" s="63"/>
      <c r="D10" s="23">
        <f>'ÍNDICES IPC'!$E$6</f>
        <v>154.07</v>
      </c>
      <c r="E10" s="50" t="s">
        <v>129</v>
      </c>
      <c r="F10" s="50"/>
      <c r="G10" s="50"/>
      <c r="H10" s="50"/>
      <c r="I10" s="50"/>
      <c r="J10" s="50"/>
      <c r="K10" s="50"/>
      <c r="L10" s="50"/>
    </row>
    <row r="11" spans="2:12" x14ac:dyDescent="0.25">
      <c r="B11" s="63" t="s">
        <v>130</v>
      </c>
      <c r="C11" s="63"/>
      <c r="D11" s="23">
        <f>'ÍNDICES IPC'!$E$12</f>
        <v>159.79</v>
      </c>
      <c r="E11" s="50" t="s">
        <v>131</v>
      </c>
      <c r="F11" s="50"/>
      <c r="G11" s="50"/>
      <c r="H11" s="50"/>
      <c r="I11" s="50"/>
      <c r="J11" s="50"/>
      <c r="K11" s="50"/>
      <c r="L11" s="50"/>
    </row>
    <row r="12" spans="2:12" x14ac:dyDescent="0.25">
      <c r="B12" s="63" t="s">
        <v>132</v>
      </c>
      <c r="C12" s="63"/>
      <c r="D12" s="24">
        <f>'ÍNDICES IPC'!$E$21</f>
        <v>1.0493859591515071</v>
      </c>
      <c r="E12" s="50" t="s">
        <v>133</v>
      </c>
      <c r="F12" s="50"/>
      <c r="G12" s="50"/>
      <c r="H12" s="50"/>
      <c r="I12" s="50"/>
      <c r="J12" s="50"/>
      <c r="K12" s="50"/>
      <c r="L12" s="50"/>
    </row>
    <row r="13" spans="2:12" x14ac:dyDescent="0.25">
      <c r="B13" s="63" t="s">
        <v>134</v>
      </c>
      <c r="C13" s="63"/>
      <c r="D13" s="24">
        <f>'ÍNDICES IPC'!$E$22</f>
        <v>1.0371259816966314</v>
      </c>
      <c r="E13" s="50" t="s">
        <v>135</v>
      </c>
      <c r="F13" s="50"/>
      <c r="G13" s="50"/>
      <c r="H13" s="50"/>
      <c r="I13" s="50"/>
      <c r="J13" s="50"/>
      <c r="K13" s="50"/>
      <c r="L13" s="50"/>
    </row>
    <row r="15" spans="2:12" x14ac:dyDescent="0.25">
      <c r="B15" s="47" t="s">
        <v>136</v>
      </c>
      <c r="C15" s="47"/>
      <c r="D15" s="47"/>
      <c r="E15" s="47"/>
      <c r="F15" s="47"/>
      <c r="G15" s="47"/>
      <c r="H15" s="47"/>
      <c r="I15" s="47"/>
      <c r="J15" s="47"/>
      <c r="K15" s="47"/>
      <c r="L15" s="47"/>
    </row>
    <row r="16" spans="2:12" ht="24" customHeight="1" x14ac:dyDescent="0.25">
      <c r="E16" s="49" t="s">
        <v>137</v>
      </c>
      <c r="F16" s="49"/>
      <c r="G16" s="64" t="s">
        <v>138</v>
      </c>
      <c r="H16" s="64"/>
      <c r="I16" s="49" t="s">
        <v>139</v>
      </c>
      <c r="J16" s="49"/>
      <c r="K16" s="49"/>
      <c r="L16" s="49"/>
    </row>
    <row r="17" spans="2:12" ht="31.5" customHeight="1" x14ac:dyDescent="0.25">
      <c r="B17" s="6" t="s">
        <v>86</v>
      </c>
      <c r="C17" s="6" t="s">
        <v>87</v>
      </c>
      <c r="D17" s="6" t="s">
        <v>88</v>
      </c>
      <c r="E17" s="6" t="s">
        <v>140</v>
      </c>
      <c r="F17" s="6" t="s">
        <v>82</v>
      </c>
      <c r="G17" s="6" t="s">
        <v>141</v>
      </c>
      <c r="H17" s="6" t="s">
        <v>142</v>
      </c>
      <c r="I17" s="6" t="s">
        <v>143</v>
      </c>
      <c r="J17" s="6" t="s">
        <v>144</v>
      </c>
      <c r="K17" s="6" t="s">
        <v>145</v>
      </c>
      <c r="L17" s="6" t="s">
        <v>56</v>
      </c>
    </row>
    <row r="18" spans="2:12" ht="33.75" customHeight="1" x14ac:dyDescent="0.25">
      <c r="B18" s="17">
        <v>1</v>
      </c>
      <c r="C18" s="25" t="str">
        <f>'ANEXO 1 - COTIZACIONES'!C17</f>
        <v>Prestación mensual del servicio de mantenimiento preventivo y correctivo técnico integral especializado — ascensor C1, cuatro (4) paradas</v>
      </c>
      <c r="D18" s="26" t="str">
        <f>'ANEXO 1 - COTIZACIONES'!D17</f>
        <v>MES</v>
      </c>
      <c r="E18" s="10">
        <v>744000</v>
      </c>
      <c r="F18" s="14">
        <f>'ANEXO 1 - COTIZACIONES'!F17</f>
        <v>766320</v>
      </c>
      <c r="G18" s="27">
        <f>ROUND(E18*'ANEXO 2 - HISTÓRICO'!$D$12,2)</f>
        <v>780743.15</v>
      </c>
      <c r="H18" s="27">
        <f>ROUND(F18*'ANEXO 2 - HISTÓRICO'!$D$13,2)</f>
        <v>794770.38</v>
      </c>
      <c r="I18" s="20">
        <f t="shared" ref="I18:I27" si="0">F18</f>
        <v>766320</v>
      </c>
      <c r="J18" s="20">
        <f t="shared" ref="J18:J27" si="1">I18-G18</f>
        <v>-14423.150000000023</v>
      </c>
      <c r="K18" s="28">
        <f t="shared" ref="K18:K28" si="2">IFERROR(I18/G18-1,"")</f>
        <v>-1.8473617091613326E-2</v>
      </c>
      <c r="L18" s="29" t="str">
        <f t="shared" ref="L18:L27" si="3">IF(I18&lt;=G18,"Por debajo del valor indexado","Por encima del valor indexado")</f>
        <v>Por debajo del valor indexado</v>
      </c>
    </row>
    <row r="19" spans="2:12" ht="33.75" customHeight="1" x14ac:dyDescent="0.25">
      <c r="B19" s="17">
        <v>2</v>
      </c>
      <c r="C19" s="25" t="str">
        <f>'ANEXO 1 - COTIZACIONES'!C18</f>
        <v>Prestación mensual del servicio de mantenimiento preventivo y correctivo técnico integral especializado — ascensor C2, cinco (5) paradas</v>
      </c>
      <c r="D19" s="26" t="str">
        <f>'ANEXO 1 - COTIZACIONES'!D18</f>
        <v>MES</v>
      </c>
      <c r="E19" s="10">
        <v>776300</v>
      </c>
      <c r="F19" s="14">
        <f>'ANEXO 1 - COTIZACIONES'!F18</f>
        <v>799589</v>
      </c>
      <c r="G19" s="27">
        <f>ROUND(E19*'ANEXO 2 - HISTÓRICO'!$D$12,2)</f>
        <v>814638.32</v>
      </c>
      <c r="H19" s="27">
        <f>ROUND(F19*'ANEXO 2 - HISTÓRICO'!$D$13,2)</f>
        <v>829274.53</v>
      </c>
      <c r="I19" s="20">
        <f t="shared" si="0"/>
        <v>799589</v>
      </c>
      <c r="J19" s="20">
        <f t="shared" si="1"/>
        <v>-15049.319999999949</v>
      </c>
      <c r="K19" s="28">
        <f t="shared" si="2"/>
        <v>-1.8473621520774919E-2</v>
      </c>
      <c r="L19" s="29" t="str">
        <f t="shared" si="3"/>
        <v>Por debajo del valor indexado</v>
      </c>
    </row>
    <row r="20" spans="2:12" ht="33.75" customHeight="1" x14ac:dyDescent="0.25">
      <c r="B20" s="17">
        <v>3</v>
      </c>
      <c r="C20" s="25" t="str">
        <f>'ANEXO 1 - COTIZACIONES'!C19</f>
        <v>Prestación mensual del servicio de mantenimiento preventivo y correctivo técnico integral especializado — ascensor F1, seis (6) paradas</v>
      </c>
      <c r="D20" s="26" t="str">
        <f>'ANEXO 1 - COTIZACIONES'!D19</f>
        <v>MES</v>
      </c>
      <c r="E20" s="10">
        <v>793800</v>
      </c>
      <c r="F20" s="14">
        <f>'ANEXO 1 - COTIZACIONES'!F19</f>
        <v>817614</v>
      </c>
      <c r="G20" s="27">
        <f>ROUND(E20*'ANEXO 2 - HISTÓRICO'!$D$12,2)</f>
        <v>833002.57</v>
      </c>
      <c r="H20" s="27">
        <f>ROUND(F20*'ANEXO 2 - HISTÓRICO'!$D$13,2)</f>
        <v>847968.72</v>
      </c>
      <c r="I20" s="20">
        <f t="shared" si="0"/>
        <v>817614</v>
      </c>
      <c r="J20" s="20">
        <f t="shared" si="1"/>
        <v>-15388.569999999949</v>
      </c>
      <c r="K20" s="28">
        <f t="shared" si="2"/>
        <v>-1.8473616473956289E-2</v>
      </c>
      <c r="L20" s="29" t="str">
        <f t="shared" si="3"/>
        <v>Por debajo del valor indexado</v>
      </c>
    </row>
    <row r="21" spans="2:12" ht="33.75" customHeight="1" x14ac:dyDescent="0.25">
      <c r="B21" s="17">
        <v>4</v>
      </c>
      <c r="C21" s="25" t="str">
        <f>'ANEXO 1 - COTIZACIONES'!C20</f>
        <v>Prestación mensual del servicio de mantenimiento preventivo y correctivo técnico integral especializado — ascensor F2, seis (6) paradas</v>
      </c>
      <c r="D21" s="26" t="str">
        <f>'ANEXO 1 - COTIZACIONES'!D20</f>
        <v>MES</v>
      </c>
      <c r="E21" s="10">
        <v>793800</v>
      </c>
      <c r="F21" s="14">
        <f>'ANEXO 1 - COTIZACIONES'!F20</f>
        <v>817614</v>
      </c>
      <c r="G21" s="27">
        <f>ROUND(E21*'ANEXO 2 - HISTÓRICO'!$D$12,2)</f>
        <v>833002.57</v>
      </c>
      <c r="H21" s="27">
        <f>ROUND(F21*'ANEXO 2 - HISTÓRICO'!$D$13,2)</f>
        <v>847968.72</v>
      </c>
      <c r="I21" s="20">
        <f t="shared" si="0"/>
        <v>817614</v>
      </c>
      <c r="J21" s="20">
        <f t="shared" si="1"/>
        <v>-15388.569999999949</v>
      </c>
      <c r="K21" s="28">
        <f t="shared" si="2"/>
        <v>-1.8473616473956289E-2</v>
      </c>
      <c r="L21" s="29" t="str">
        <f t="shared" si="3"/>
        <v>Por debajo del valor indexado</v>
      </c>
    </row>
    <row r="22" spans="2:12" ht="33.75" customHeight="1" x14ac:dyDescent="0.25">
      <c r="B22" s="17">
        <v>5</v>
      </c>
      <c r="C22" s="25" t="str">
        <f>'ANEXO 1 - COTIZACIONES'!C21</f>
        <v>Prestación mensual del servicio de mantenimiento preventivo y correctivo técnico integral especializado — ascensor L1, seis (6) paradas</v>
      </c>
      <c r="D22" s="26" t="str">
        <f>'ANEXO 1 - COTIZACIONES'!D21</f>
        <v>MES</v>
      </c>
      <c r="E22" s="10">
        <v>793800</v>
      </c>
      <c r="F22" s="14">
        <f>'ANEXO 1 - COTIZACIONES'!F21</f>
        <v>817614</v>
      </c>
      <c r="G22" s="27">
        <f>ROUND(E22*'ANEXO 2 - HISTÓRICO'!$D$12,2)</f>
        <v>833002.57</v>
      </c>
      <c r="H22" s="27">
        <f>ROUND(F22*'ANEXO 2 - HISTÓRICO'!$D$13,2)</f>
        <v>847968.72</v>
      </c>
      <c r="I22" s="20">
        <f t="shared" si="0"/>
        <v>817614</v>
      </c>
      <c r="J22" s="20">
        <f t="shared" si="1"/>
        <v>-15388.569999999949</v>
      </c>
      <c r="K22" s="28">
        <f t="shared" si="2"/>
        <v>-1.8473616473956289E-2</v>
      </c>
      <c r="L22" s="29" t="str">
        <f t="shared" si="3"/>
        <v>Por debajo del valor indexado</v>
      </c>
    </row>
    <row r="23" spans="2:12" ht="21.75" customHeight="1" x14ac:dyDescent="0.25">
      <c r="B23" s="17">
        <v>6</v>
      </c>
      <c r="C23" s="25" t="str">
        <f>'ANEXO 1 - COTIZACIONES'!C26</f>
        <v>Fuente para citófono y luz de emergencia Ref. RKP</v>
      </c>
      <c r="D23" s="26" t="str">
        <f>'ANEXO 1 - COTIZACIONES'!D26</f>
        <v>UN</v>
      </c>
      <c r="E23" s="10">
        <v>93765</v>
      </c>
      <c r="F23" s="14">
        <f>'ANEXO 1 - COTIZACIONES'!F26</f>
        <v>96577.95</v>
      </c>
      <c r="G23" s="27">
        <f>ROUND(E23*'ANEXO 2 - HISTÓRICO'!$D$12,2)</f>
        <v>98395.67</v>
      </c>
      <c r="H23" s="27">
        <f>ROUND(F23*'ANEXO 2 - HISTÓRICO'!$D$13,2)</f>
        <v>100163.5</v>
      </c>
      <c r="I23" s="20">
        <f t="shared" si="0"/>
        <v>96577.95</v>
      </c>
      <c r="J23" s="20">
        <f t="shared" si="1"/>
        <v>-1817.7200000000012</v>
      </c>
      <c r="K23" s="28">
        <f t="shared" si="2"/>
        <v>-1.8473577140132313E-2</v>
      </c>
      <c r="L23" s="29" t="str">
        <f t="shared" si="3"/>
        <v>Por debajo del valor indexado</v>
      </c>
    </row>
    <row r="24" spans="2:12" ht="21.75" customHeight="1" x14ac:dyDescent="0.25">
      <c r="B24" s="17">
        <v>7</v>
      </c>
      <c r="C24" s="25" t="str">
        <f>'ANEXO 1 - COTIZACIONES'!C27</f>
        <v>Cortinas de luz infrarroja</v>
      </c>
      <c r="D24" s="26" t="str">
        <f>'ANEXO 1 - COTIZACIONES'!D27</f>
        <v>UN</v>
      </c>
      <c r="E24" s="10">
        <v>482790</v>
      </c>
      <c r="F24" s="14">
        <f>'ANEXO 1 - COTIZACIONES'!F27</f>
        <v>497273.7</v>
      </c>
      <c r="G24" s="27">
        <f>ROUND(E24*'ANEXO 2 - HISTÓRICO'!$D$12,2)</f>
        <v>506633.05</v>
      </c>
      <c r="H24" s="27">
        <f>ROUND(F24*'ANEXO 2 - HISTÓRICO'!$D$13,2)</f>
        <v>515735.47</v>
      </c>
      <c r="I24" s="20">
        <f t="shared" si="0"/>
        <v>497273.7</v>
      </c>
      <c r="J24" s="20">
        <f t="shared" si="1"/>
        <v>-9359.3499999999767</v>
      </c>
      <c r="K24" s="28">
        <f t="shared" si="2"/>
        <v>-1.8473627016634575E-2</v>
      </c>
      <c r="L24" s="29" t="str">
        <f t="shared" si="3"/>
        <v>Por debajo del valor indexado</v>
      </c>
    </row>
    <row r="25" spans="2:12" ht="21.75" customHeight="1" x14ac:dyDescent="0.25">
      <c r="B25" s="17">
        <v>8</v>
      </c>
      <c r="C25" s="25" t="str">
        <f>'ANEXO 1 - COTIZACIONES'!C28</f>
        <v>Cable de tracción 12 mm 8x19 W-FC F819</v>
      </c>
      <c r="D25" s="26" t="str">
        <f>'ANEXO 1 - COTIZACIONES'!D28</f>
        <v>ML</v>
      </c>
      <c r="E25" s="10">
        <v>16695</v>
      </c>
      <c r="F25" s="14">
        <f>'ANEXO 1 - COTIZACIONES'!F28</f>
        <v>17195.849999999999</v>
      </c>
      <c r="G25" s="27">
        <f>ROUND(E25*'ANEXO 2 - HISTÓRICO'!$D$12,2)</f>
        <v>17519.5</v>
      </c>
      <c r="H25" s="27">
        <f>ROUND(F25*'ANEXO 2 - HISTÓRICO'!$D$13,2)</f>
        <v>17834.259999999998</v>
      </c>
      <c r="I25" s="20">
        <f t="shared" si="0"/>
        <v>17195.849999999999</v>
      </c>
      <c r="J25" s="20">
        <f t="shared" si="1"/>
        <v>-323.65000000000146</v>
      </c>
      <c r="K25" s="28">
        <f t="shared" si="2"/>
        <v>-1.8473700733468545E-2</v>
      </c>
      <c r="L25" s="29" t="str">
        <f t="shared" si="3"/>
        <v>Por debajo del valor indexado</v>
      </c>
    </row>
    <row r="26" spans="2:12" ht="21.75" customHeight="1" x14ac:dyDescent="0.25">
      <c r="B26" s="17">
        <v>9</v>
      </c>
      <c r="C26" s="25" t="str">
        <f>'ANEXO 1 - COTIZACIONES'!C29</f>
        <v>Límite normalmente cerrado Ref. S3-1370</v>
      </c>
      <c r="D26" s="26" t="str">
        <f>'ANEXO 1 - COTIZACIONES'!D29</f>
        <v>UN</v>
      </c>
      <c r="E26" s="10">
        <v>27631</v>
      </c>
      <c r="F26" s="14">
        <f>'ANEXO 1 - COTIZACIONES'!F29</f>
        <v>28459.672500000001</v>
      </c>
      <c r="G26" s="27">
        <f>ROUND(E26*'ANEXO 2 - HISTÓRICO'!$D$12,2)</f>
        <v>28995.58</v>
      </c>
      <c r="H26" s="27">
        <f>ROUND(F26*'ANEXO 2 - HISTÓRICO'!$D$13,2)</f>
        <v>29516.27</v>
      </c>
      <c r="I26" s="20">
        <f t="shared" si="0"/>
        <v>28459.672500000001</v>
      </c>
      <c r="J26" s="20">
        <f t="shared" si="1"/>
        <v>-535.90750000000116</v>
      </c>
      <c r="K26" s="28">
        <f t="shared" si="2"/>
        <v>-1.8482385936063439E-2</v>
      </c>
      <c r="L26" s="29" t="str">
        <f t="shared" si="3"/>
        <v>Por debajo del valor indexado</v>
      </c>
    </row>
    <row r="27" spans="2:12" ht="21.75" customHeight="1" x14ac:dyDescent="0.25">
      <c r="B27" s="17">
        <v>10</v>
      </c>
      <c r="C27" s="25" t="str">
        <f>'ANEXO 1 - COTIZACIONES'!C30</f>
        <v>Micro para operador + GATL/W contacto abierto coreano</v>
      </c>
      <c r="D27" s="26" t="str">
        <f>'ANEXO 1 - COTIZACIONES'!D30</f>
        <v>UN</v>
      </c>
      <c r="E27" s="10">
        <v>34214</v>
      </c>
      <c r="F27" s="14">
        <f>'ANEXO 1 - COTIZACIONES'!F30</f>
        <v>35240.677499999998</v>
      </c>
      <c r="G27" s="27">
        <f>ROUND(E27*'ANEXO 2 - HISTÓRICO'!$D$12,2)</f>
        <v>35903.69</v>
      </c>
      <c r="H27" s="27">
        <f>ROUND(F27*'ANEXO 2 - HISTÓRICO'!$D$13,2)</f>
        <v>36549.019999999997</v>
      </c>
      <c r="I27" s="20">
        <f t="shared" si="0"/>
        <v>35240.677499999998</v>
      </c>
      <c r="J27" s="20">
        <f t="shared" si="1"/>
        <v>-663.01250000000437</v>
      </c>
      <c r="K27" s="28">
        <f t="shared" si="2"/>
        <v>-1.846641668307647E-2</v>
      </c>
      <c r="L27" s="29" t="str">
        <f t="shared" si="3"/>
        <v>Por debajo del valor indexado</v>
      </c>
    </row>
    <row r="28" spans="2:12" x14ac:dyDescent="0.25">
      <c r="B28" s="65" t="s">
        <v>146</v>
      </c>
      <c r="C28" s="65"/>
      <c r="D28" s="65"/>
      <c r="E28" s="21">
        <f t="shared" ref="E28:J28" si="4">SUM(E18:E22)</f>
        <v>3901700</v>
      </c>
      <c r="F28" s="21">
        <f t="shared" si="4"/>
        <v>4018751</v>
      </c>
      <c r="G28" s="21">
        <f t="shared" si="4"/>
        <v>4094389.1799999997</v>
      </c>
      <c r="H28" s="21">
        <f t="shared" si="4"/>
        <v>4167951.0699999994</v>
      </c>
      <c r="I28" s="21">
        <f t="shared" si="4"/>
        <v>4018751</v>
      </c>
      <c r="J28" s="21">
        <f t="shared" si="4"/>
        <v>-75638.179999999818</v>
      </c>
      <c r="K28" s="30">
        <f t="shared" si="2"/>
        <v>-1.847361759587296E-2</v>
      </c>
      <c r="L28" s="4"/>
    </row>
    <row r="30" spans="2:12" x14ac:dyDescent="0.25">
      <c r="B30" s="47" t="s">
        <v>147</v>
      </c>
      <c r="C30" s="47"/>
      <c r="D30" s="47"/>
      <c r="E30" s="47"/>
      <c r="F30" s="47"/>
      <c r="G30" s="47"/>
      <c r="H30" s="47"/>
      <c r="I30" s="47"/>
      <c r="J30" s="47"/>
      <c r="K30" s="47"/>
      <c r="L30" s="47"/>
    </row>
    <row r="31" spans="2:12" ht="30" customHeight="1" x14ac:dyDescent="0.25">
      <c r="B31" s="49" t="s">
        <v>148</v>
      </c>
      <c r="C31" s="49"/>
      <c r="D31" s="6" t="s">
        <v>149</v>
      </c>
      <c r="E31" s="6" t="s">
        <v>150</v>
      </c>
      <c r="F31" s="6" t="s">
        <v>151</v>
      </c>
      <c r="G31" s="49" t="s">
        <v>152</v>
      </c>
      <c r="H31" s="49"/>
      <c r="I31" s="49"/>
      <c r="J31" s="49" t="s">
        <v>153</v>
      </c>
      <c r="K31" s="49"/>
      <c r="L31" s="49"/>
    </row>
    <row r="32" spans="2:12" x14ac:dyDescent="0.25">
      <c r="B32" s="66" t="s">
        <v>154</v>
      </c>
      <c r="C32" s="66"/>
      <c r="D32" s="10">
        <v>62532502</v>
      </c>
      <c r="E32" s="10">
        <v>45329247</v>
      </c>
      <c r="F32" s="10">
        <v>7501695</v>
      </c>
      <c r="G32" s="50" t="s">
        <v>155</v>
      </c>
      <c r="H32" s="50"/>
      <c r="I32" s="50"/>
      <c r="J32" s="50" t="s">
        <v>68</v>
      </c>
      <c r="K32" s="50"/>
      <c r="L32" s="50"/>
    </row>
    <row r="33" spans="2:12" x14ac:dyDescent="0.25">
      <c r="B33" s="66" t="s">
        <v>156</v>
      </c>
      <c r="C33" s="66"/>
      <c r="D33" s="10">
        <v>90000000</v>
      </c>
      <c r="E33" s="10">
        <v>27858138</v>
      </c>
      <c r="F33" s="10">
        <v>3095190</v>
      </c>
      <c r="G33" s="50" t="s">
        <v>157</v>
      </c>
      <c r="H33" s="50"/>
      <c r="I33" s="50"/>
      <c r="J33" s="50" t="s">
        <v>68</v>
      </c>
      <c r="K33" s="50"/>
      <c r="L33" s="50"/>
    </row>
    <row r="34" spans="2:12" x14ac:dyDescent="0.25">
      <c r="B34" s="66" t="s">
        <v>158</v>
      </c>
      <c r="C34" s="66"/>
      <c r="D34" s="10">
        <v>58764605</v>
      </c>
      <c r="E34" s="10">
        <v>38119218.829999998</v>
      </c>
      <c r="F34" s="10">
        <v>20645386.170000002</v>
      </c>
      <c r="G34" s="50" t="s">
        <v>159</v>
      </c>
      <c r="H34" s="50"/>
      <c r="I34" s="50"/>
      <c r="J34" s="50" t="s">
        <v>68</v>
      </c>
      <c r="K34" s="50"/>
      <c r="L34" s="50"/>
    </row>
    <row r="36" spans="2:12" ht="25.5" customHeight="1" x14ac:dyDescent="0.25">
      <c r="B36" s="59" t="s">
        <v>160</v>
      </c>
      <c r="C36" s="59"/>
      <c r="D36" s="59"/>
      <c r="E36" s="59"/>
      <c r="F36" s="59"/>
      <c r="G36" s="59"/>
      <c r="H36" s="59"/>
      <c r="I36" s="59"/>
      <c r="J36" s="59"/>
      <c r="K36" s="59"/>
      <c r="L36" s="59"/>
    </row>
  </sheetData>
  <mergeCells count="38">
    <mergeCell ref="B34:C34"/>
    <mergeCell ref="G34:I34"/>
    <mergeCell ref="J34:L34"/>
    <mergeCell ref="B36:L36"/>
    <mergeCell ref="B32:C32"/>
    <mergeCell ref="G32:I32"/>
    <mergeCell ref="J32:L32"/>
    <mergeCell ref="B33:C33"/>
    <mergeCell ref="G33:I33"/>
    <mergeCell ref="J33:L33"/>
    <mergeCell ref="B28:D28"/>
    <mergeCell ref="B30:L30"/>
    <mergeCell ref="B31:C31"/>
    <mergeCell ref="G31:I31"/>
    <mergeCell ref="J31:L31"/>
    <mergeCell ref="B13:C13"/>
    <mergeCell ref="E13:L13"/>
    <mergeCell ref="B15:L15"/>
    <mergeCell ref="E16:F16"/>
    <mergeCell ref="G16:H16"/>
    <mergeCell ref="I16:L16"/>
    <mergeCell ref="B10:C10"/>
    <mergeCell ref="E10:L10"/>
    <mergeCell ref="B11:C11"/>
    <mergeCell ref="E11:L11"/>
    <mergeCell ref="B12:C12"/>
    <mergeCell ref="E12:L12"/>
    <mergeCell ref="B6:C6"/>
    <mergeCell ref="E6:L6"/>
    <mergeCell ref="B8:L8"/>
    <mergeCell ref="B9:C9"/>
    <mergeCell ref="E9:L9"/>
    <mergeCell ref="B2:L2"/>
    <mergeCell ref="B3:L3"/>
    <mergeCell ref="B4:C4"/>
    <mergeCell ref="E4:L4"/>
    <mergeCell ref="B5:C5"/>
    <mergeCell ref="E5:L5"/>
  </mergeCells>
  <printOptions horizontalCentered="1"/>
  <pageMargins left="0.35" right="0.35" top="1" bottom="1" header="0.511811023622047" footer="0.511811023622047"/>
  <pageSetup fitToHeight="0" orientation="landscape" horizontalDpi="300" verticalDpi="300"/>
  <rowBreaks count="1" manualBreakCount="1">
    <brk id="2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L49"/>
  <sheetViews>
    <sheetView showGridLines="0" zoomScaleNormal="100" workbookViewId="0">
      <selection activeCell="A19" sqref="A19:XFD19"/>
    </sheetView>
  </sheetViews>
  <sheetFormatPr baseColWidth="10" defaultColWidth="8.7109375" defaultRowHeight="15" x14ac:dyDescent="0.25"/>
  <cols>
    <col min="1" max="1" width="2" customWidth="1"/>
    <col min="2" max="2" width="6" customWidth="1"/>
    <col min="3" max="3" width="38" customWidth="1"/>
    <col min="4" max="4" width="13" customWidth="1"/>
    <col min="5" max="11" width="15" customWidth="1"/>
    <col min="12" max="12" width="16" customWidth="1"/>
  </cols>
  <sheetData>
    <row r="2" spans="2:12" ht="21.75" customHeight="1" x14ac:dyDescent="0.25">
      <c r="B2" s="44" t="s">
        <v>161</v>
      </c>
      <c r="C2" s="44"/>
      <c r="D2" s="44"/>
      <c r="E2" s="44"/>
      <c r="F2" s="44"/>
      <c r="G2" s="44"/>
      <c r="H2" s="44"/>
      <c r="I2" s="44"/>
      <c r="J2" s="44"/>
      <c r="K2" s="44"/>
      <c r="L2" s="44"/>
    </row>
    <row r="3" spans="2:12" ht="24" customHeight="1" x14ac:dyDescent="0.25">
      <c r="B3" s="68" t="s">
        <v>6</v>
      </c>
      <c r="C3" s="68"/>
      <c r="D3" s="68"/>
      <c r="E3" s="68"/>
      <c r="F3" s="68"/>
      <c r="G3" s="68"/>
      <c r="H3" s="68"/>
      <c r="I3" s="68"/>
      <c r="J3" s="68"/>
      <c r="K3" s="68"/>
      <c r="L3" s="68"/>
    </row>
    <row r="5" spans="2:12" x14ac:dyDescent="0.25">
      <c r="B5" s="47" t="s">
        <v>162</v>
      </c>
      <c r="C5" s="47"/>
      <c r="D5" s="47"/>
      <c r="E5" s="47"/>
      <c r="F5" s="47"/>
      <c r="G5" s="47"/>
      <c r="H5" s="47"/>
      <c r="I5" s="47"/>
      <c r="J5" s="47"/>
      <c r="K5" s="47"/>
      <c r="L5" s="47"/>
    </row>
    <row r="6" spans="2:12" x14ac:dyDescent="0.25">
      <c r="B6" s="16"/>
      <c r="C6" s="16"/>
      <c r="D6" s="16"/>
      <c r="E6" s="45" t="s">
        <v>163</v>
      </c>
      <c r="F6" s="45"/>
      <c r="G6" s="45"/>
      <c r="H6" s="69" t="s">
        <v>164</v>
      </c>
      <c r="I6" s="69"/>
      <c r="J6" s="70" t="s">
        <v>165</v>
      </c>
      <c r="K6" s="70"/>
      <c r="L6" s="70"/>
    </row>
    <row r="7" spans="2:12" ht="31.5" customHeight="1" x14ac:dyDescent="0.25">
      <c r="B7" s="6" t="s">
        <v>86</v>
      </c>
      <c r="C7" s="6" t="s">
        <v>87</v>
      </c>
      <c r="D7" s="6" t="s">
        <v>88</v>
      </c>
      <c r="E7" s="6" t="s">
        <v>82</v>
      </c>
      <c r="F7" s="6" t="s">
        <v>83</v>
      </c>
      <c r="G7" s="6" t="s">
        <v>84</v>
      </c>
      <c r="H7" s="6" t="s">
        <v>166</v>
      </c>
      <c r="I7" s="6" t="s">
        <v>167</v>
      </c>
      <c r="J7" s="6" t="s">
        <v>168</v>
      </c>
      <c r="K7" s="6" t="s">
        <v>169</v>
      </c>
      <c r="L7" s="6" t="s">
        <v>170</v>
      </c>
    </row>
    <row r="8" spans="2:12" ht="33.75" customHeight="1" x14ac:dyDescent="0.25">
      <c r="B8" s="17">
        <v>1</v>
      </c>
      <c r="C8" s="25" t="str">
        <f>'ANEXO 1 - COTIZACIONES'!C17</f>
        <v>Prestación mensual del servicio de mantenimiento preventivo y correctivo técnico integral especializado — ascensor C1, cuatro (4) paradas</v>
      </c>
      <c r="D8" s="26" t="str">
        <f>'ANEXO 1 - COTIZACIONES'!D17</f>
        <v>MES</v>
      </c>
      <c r="E8" s="14">
        <f>'ANEXO 1 - COTIZACIONES'!F17</f>
        <v>766320</v>
      </c>
      <c r="F8" s="14">
        <f>'ANEXO 1 - COTIZACIONES'!H17</f>
        <v>800038.08</v>
      </c>
      <c r="G8" s="14">
        <f>'ANEXO 1 - COTIZACIONES'!J17</f>
        <v>824039.22</v>
      </c>
      <c r="H8" s="31">
        <f>'ANEXO 2 - HISTÓRICO'!G18</f>
        <v>780743.15</v>
      </c>
      <c r="I8" s="31">
        <f>'ANEXO 2 - HISTÓRICO'!H18</f>
        <v>794770.38</v>
      </c>
      <c r="J8" s="32">
        <f t="shared" ref="J8:J17" si="0">E8</f>
        <v>766320</v>
      </c>
      <c r="K8" s="32">
        <f t="shared" ref="K8:K17" si="1">F8</f>
        <v>800038.08</v>
      </c>
      <c r="L8" s="32">
        <f t="shared" ref="L8:L17" si="2">G8</f>
        <v>824039.22</v>
      </c>
    </row>
    <row r="9" spans="2:12" ht="33.75" customHeight="1" x14ac:dyDescent="0.25">
      <c r="B9" s="17">
        <v>2</v>
      </c>
      <c r="C9" s="25" t="str">
        <f>'ANEXO 1 - COTIZACIONES'!C18</f>
        <v>Prestación mensual del servicio de mantenimiento preventivo y correctivo técnico integral especializado — ascensor C2, cinco (5) paradas</v>
      </c>
      <c r="D9" s="26" t="str">
        <f>'ANEXO 1 - COTIZACIONES'!D18</f>
        <v>MES</v>
      </c>
      <c r="E9" s="14">
        <f>'ANEXO 1 - COTIZACIONES'!F18</f>
        <v>799589</v>
      </c>
      <c r="F9" s="14">
        <f>'ANEXO 1 - COTIZACIONES'!H18</f>
        <v>834770.92</v>
      </c>
      <c r="G9" s="14">
        <f>'ANEXO 1 - COTIZACIONES'!J18</f>
        <v>859814.05</v>
      </c>
      <c r="H9" s="31">
        <f>'ANEXO 2 - HISTÓRICO'!G19</f>
        <v>814638.32</v>
      </c>
      <c r="I9" s="31">
        <f>'ANEXO 2 - HISTÓRICO'!H19</f>
        <v>829274.53</v>
      </c>
      <c r="J9" s="32">
        <f t="shared" si="0"/>
        <v>799589</v>
      </c>
      <c r="K9" s="32">
        <f t="shared" si="1"/>
        <v>834770.92</v>
      </c>
      <c r="L9" s="32">
        <f t="shared" si="2"/>
        <v>859814.05</v>
      </c>
    </row>
    <row r="10" spans="2:12" ht="33.75" customHeight="1" x14ac:dyDescent="0.25">
      <c r="B10" s="17">
        <v>3</v>
      </c>
      <c r="C10" s="25" t="str">
        <f>'ANEXO 1 - COTIZACIONES'!C19</f>
        <v>Prestación mensual del servicio de mantenimiento preventivo y correctivo técnico integral especializado — ascensor F1, seis (6) paradas</v>
      </c>
      <c r="D10" s="26" t="str">
        <f>'ANEXO 1 - COTIZACIONES'!D19</f>
        <v>MES</v>
      </c>
      <c r="E10" s="14">
        <f>'ANEXO 1 - COTIZACIONES'!F19</f>
        <v>817614</v>
      </c>
      <c r="F10" s="14">
        <f>'ANEXO 1 - COTIZACIONES'!H19</f>
        <v>853589.02</v>
      </c>
      <c r="G10" s="14">
        <f>'ANEXO 1 - COTIZACIONES'!J19</f>
        <v>879196.69</v>
      </c>
      <c r="H10" s="31">
        <f>'ANEXO 2 - HISTÓRICO'!G20</f>
        <v>833002.57</v>
      </c>
      <c r="I10" s="31">
        <f>'ANEXO 2 - HISTÓRICO'!H20</f>
        <v>847968.72</v>
      </c>
      <c r="J10" s="32">
        <f t="shared" si="0"/>
        <v>817614</v>
      </c>
      <c r="K10" s="32">
        <f t="shared" si="1"/>
        <v>853589.02</v>
      </c>
      <c r="L10" s="32">
        <f t="shared" si="2"/>
        <v>879196.69</v>
      </c>
    </row>
    <row r="11" spans="2:12" ht="33.75" customHeight="1" x14ac:dyDescent="0.25">
      <c r="B11" s="17">
        <v>4</v>
      </c>
      <c r="C11" s="25" t="str">
        <f>'ANEXO 1 - COTIZACIONES'!C20</f>
        <v>Prestación mensual del servicio de mantenimiento preventivo y correctivo técnico integral especializado — ascensor F2, seis (6) paradas</v>
      </c>
      <c r="D11" s="26" t="str">
        <f>'ANEXO 1 - COTIZACIONES'!D20</f>
        <v>MES</v>
      </c>
      <c r="E11" s="14">
        <f>'ANEXO 1 - COTIZACIONES'!F20</f>
        <v>817614</v>
      </c>
      <c r="F11" s="14">
        <f>'ANEXO 1 - COTIZACIONES'!H20</f>
        <v>853589.02</v>
      </c>
      <c r="G11" s="14">
        <f>'ANEXO 1 - COTIZACIONES'!J20</f>
        <v>879196.69</v>
      </c>
      <c r="H11" s="31">
        <f>'ANEXO 2 - HISTÓRICO'!G21</f>
        <v>833002.57</v>
      </c>
      <c r="I11" s="31">
        <f>'ANEXO 2 - HISTÓRICO'!H21</f>
        <v>847968.72</v>
      </c>
      <c r="J11" s="32">
        <f t="shared" si="0"/>
        <v>817614</v>
      </c>
      <c r="K11" s="32">
        <f t="shared" si="1"/>
        <v>853589.02</v>
      </c>
      <c r="L11" s="32">
        <f t="shared" si="2"/>
        <v>879196.69</v>
      </c>
    </row>
    <row r="12" spans="2:12" ht="33.75" customHeight="1" x14ac:dyDescent="0.25">
      <c r="B12" s="17">
        <v>5</v>
      </c>
      <c r="C12" s="25" t="str">
        <f>'ANEXO 1 - COTIZACIONES'!C21</f>
        <v>Prestación mensual del servicio de mantenimiento preventivo y correctivo técnico integral especializado — ascensor L1, seis (6) paradas</v>
      </c>
      <c r="D12" s="26" t="str">
        <f>'ANEXO 1 - COTIZACIONES'!D21</f>
        <v>MES</v>
      </c>
      <c r="E12" s="14">
        <f>'ANEXO 1 - COTIZACIONES'!F21</f>
        <v>817614</v>
      </c>
      <c r="F12" s="14">
        <f>'ANEXO 1 - COTIZACIONES'!H21</f>
        <v>853589.02</v>
      </c>
      <c r="G12" s="14">
        <f>'ANEXO 1 - COTIZACIONES'!J21</f>
        <v>879196.69</v>
      </c>
      <c r="H12" s="31">
        <f>'ANEXO 2 - HISTÓRICO'!G22</f>
        <v>833002.57</v>
      </c>
      <c r="I12" s="31">
        <f>'ANEXO 2 - HISTÓRICO'!H22</f>
        <v>847968.72</v>
      </c>
      <c r="J12" s="32">
        <f t="shared" si="0"/>
        <v>817614</v>
      </c>
      <c r="K12" s="32">
        <f t="shared" si="1"/>
        <v>853589.02</v>
      </c>
      <c r="L12" s="32">
        <f t="shared" si="2"/>
        <v>879196.69</v>
      </c>
    </row>
    <row r="13" spans="2:12" ht="21.75" customHeight="1" x14ac:dyDescent="0.25">
      <c r="B13" s="17">
        <v>6</v>
      </c>
      <c r="C13" s="25" t="str">
        <f>'ANEXO 1 - COTIZACIONES'!C26</f>
        <v>Fuente para citófono y luz de emergencia Ref. RKP</v>
      </c>
      <c r="D13" s="26" t="str">
        <f>'ANEXO 1 - COTIZACIONES'!D26</f>
        <v>UN</v>
      </c>
      <c r="E13" s="14">
        <f>'ANEXO 1 - COTIZACIONES'!F26</f>
        <v>96577.95</v>
      </c>
      <c r="F13" s="14">
        <f>'ANEXO 1 - COTIZACIONES'!G26</f>
        <v>100827.38</v>
      </c>
      <c r="G13" s="14">
        <f>'ANEXO 1 - COTIZACIONES'!H26</f>
        <v>103852.2</v>
      </c>
      <c r="H13" s="31">
        <f>'ANEXO 2 - HISTÓRICO'!G23</f>
        <v>98395.67</v>
      </c>
      <c r="I13" s="31">
        <f>'ANEXO 2 - HISTÓRICO'!H23</f>
        <v>100163.5</v>
      </c>
      <c r="J13" s="32">
        <f t="shared" si="0"/>
        <v>96577.95</v>
      </c>
      <c r="K13" s="32">
        <f t="shared" si="1"/>
        <v>100827.38</v>
      </c>
      <c r="L13" s="32">
        <f t="shared" si="2"/>
        <v>103852.2</v>
      </c>
    </row>
    <row r="14" spans="2:12" ht="21.75" customHeight="1" x14ac:dyDescent="0.25">
      <c r="B14" s="17">
        <v>7</v>
      </c>
      <c r="C14" s="25" t="str">
        <f>'ANEXO 1 - COTIZACIONES'!C27</f>
        <v>Cortinas de luz infrarroja</v>
      </c>
      <c r="D14" s="26" t="str">
        <f>'ANEXO 1 - COTIZACIONES'!D27</f>
        <v>UN</v>
      </c>
      <c r="E14" s="14">
        <f>'ANEXO 1 - COTIZACIONES'!F27</f>
        <v>497273.7</v>
      </c>
      <c r="F14" s="14">
        <f>'ANEXO 1 - COTIZACIONES'!G27</f>
        <v>519153.74</v>
      </c>
      <c r="G14" s="14">
        <f>'ANEXO 1 - COTIZACIONES'!H27</f>
        <v>534728.35</v>
      </c>
      <c r="H14" s="31">
        <f>'ANEXO 2 - HISTÓRICO'!G24</f>
        <v>506633.05</v>
      </c>
      <c r="I14" s="31">
        <f>'ANEXO 2 - HISTÓRICO'!H24</f>
        <v>515735.47</v>
      </c>
      <c r="J14" s="32">
        <f t="shared" si="0"/>
        <v>497273.7</v>
      </c>
      <c r="K14" s="32">
        <f t="shared" si="1"/>
        <v>519153.74</v>
      </c>
      <c r="L14" s="32">
        <f t="shared" si="2"/>
        <v>534728.35</v>
      </c>
    </row>
    <row r="15" spans="2:12" ht="21.75" customHeight="1" x14ac:dyDescent="0.25">
      <c r="B15" s="17">
        <v>8</v>
      </c>
      <c r="C15" s="25" t="str">
        <f>'ANEXO 1 - COTIZACIONES'!C28</f>
        <v>Cable de tracción 12 mm 8x19 W-FC F819</v>
      </c>
      <c r="D15" s="26" t="str">
        <f>'ANEXO 1 - COTIZACIONES'!D28</f>
        <v>ML</v>
      </c>
      <c r="E15" s="14">
        <f>'ANEXO 1 - COTIZACIONES'!F28</f>
        <v>17195.849999999999</v>
      </c>
      <c r="F15" s="14">
        <f>'ANEXO 1 - COTIZACIONES'!G28</f>
        <v>17952.47</v>
      </c>
      <c r="G15" s="14">
        <f>'ANEXO 1 - COTIZACIONES'!H28</f>
        <v>18491.04</v>
      </c>
      <c r="H15" s="31">
        <f>'ANEXO 2 - HISTÓRICO'!G25</f>
        <v>17519.5</v>
      </c>
      <c r="I15" s="31">
        <f>'ANEXO 2 - HISTÓRICO'!H25</f>
        <v>17834.259999999998</v>
      </c>
      <c r="J15" s="32">
        <f t="shared" si="0"/>
        <v>17195.849999999999</v>
      </c>
      <c r="K15" s="32">
        <f t="shared" si="1"/>
        <v>17952.47</v>
      </c>
      <c r="L15" s="32">
        <f t="shared" si="2"/>
        <v>18491.04</v>
      </c>
    </row>
    <row r="16" spans="2:12" ht="21.75" customHeight="1" x14ac:dyDescent="0.25">
      <c r="B16" s="17">
        <v>9</v>
      </c>
      <c r="C16" s="25" t="str">
        <f>'ANEXO 1 - COTIZACIONES'!C29</f>
        <v>Límite normalmente cerrado Ref. S3-1370</v>
      </c>
      <c r="D16" s="26" t="str">
        <f>'ANEXO 1 - COTIZACIONES'!D29</f>
        <v>UN</v>
      </c>
      <c r="E16" s="14">
        <f>'ANEXO 1 - COTIZACIONES'!F29</f>
        <v>28459.672500000001</v>
      </c>
      <c r="F16" s="14">
        <f>'ANEXO 1 - COTIZACIONES'!G29</f>
        <v>29711.9</v>
      </c>
      <c r="G16" s="14">
        <f>'ANEXO 1 - COTIZACIONES'!H29</f>
        <v>30603.26</v>
      </c>
      <c r="H16" s="31">
        <f>'ANEXO 2 - HISTÓRICO'!G26</f>
        <v>28995.58</v>
      </c>
      <c r="I16" s="31">
        <f>'ANEXO 2 - HISTÓRICO'!H26</f>
        <v>29516.27</v>
      </c>
      <c r="J16" s="32">
        <f t="shared" si="0"/>
        <v>28459.672500000001</v>
      </c>
      <c r="K16" s="32">
        <f t="shared" si="1"/>
        <v>29711.9</v>
      </c>
      <c r="L16" s="32">
        <f t="shared" si="2"/>
        <v>30603.26</v>
      </c>
    </row>
    <row r="17" spans="2:12" ht="21.75" customHeight="1" x14ac:dyDescent="0.25">
      <c r="B17" s="17">
        <v>10</v>
      </c>
      <c r="C17" s="25" t="str">
        <f>'ANEXO 1 - COTIZACIONES'!C30</f>
        <v>Micro para operador + GATL/W contacto abierto coreano</v>
      </c>
      <c r="D17" s="26" t="str">
        <f>'ANEXO 1 - COTIZACIONES'!D30</f>
        <v>UN</v>
      </c>
      <c r="E17" s="14">
        <f>'ANEXO 1 - COTIZACIONES'!F30</f>
        <v>35240.677499999998</v>
      </c>
      <c r="F17" s="14">
        <f>'ANEXO 1 - COTIZACIONES'!G30</f>
        <v>36791.269999999997</v>
      </c>
      <c r="G17" s="14">
        <f>'ANEXO 1 - COTIZACIONES'!H30</f>
        <v>37895.01</v>
      </c>
      <c r="H17" s="31">
        <f>'ANEXO 2 - HISTÓRICO'!G27</f>
        <v>35903.69</v>
      </c>
      <c r="I17" s="31">
        <f>'ANEXO 2 - HISTÓRICO'!H27</f>
        <v>36549.019999999997</v>
      </c>
      <c r="J17" s="32">
        <f t="shared" si="0"/>
        <v>35240.677499999998</v>
      </c>
      <c r="K17" s="32">
        <f t="shared" si="1"/>
        <v>36791.269999999997</v>
      </c>
      <c r="L17" s="32">
        <f t="shared" si="2"/>
        <v>37895.01</v>
      </c>
    </row>
    <row r="20" spans="2:12" x14ac:dyDescent="0.25">
      <c r="B20" s="47" t="s">
        <v>171</v>
      </c>
      <c r="C20" s="47"/>
      <c r="D20" s="47"/>
      <c r="E20" s="47"/>
      <c r="F20" s="47"/>
      <c r="G20" s="47"/>
      <c r="H20" s="47"/>
      <c r="I20" s="47"/>
      <c r="J20" s="47"/>
      <c r="K20" s="47"/>
      <c r="L20" s="47"/>
    </row>
    <row r="21" spans="2:12" ht="31.5" customHeight="1" x14ac:dyDescent="0.25">
      <c r="B21" s="6" t="s">
        <v>86</v>
      </c>
      <c r="C21" s="6" t="s">
        <v>87</v>
      </c>
      <c r="D21" s="6" t="s">
        <v>88</v>
      </c>
      <c r="E21" s="6" t="s">
        <v>172</v>
      </c>
      <c r="F21" s="6" t="s">
        <v>143</v>
      </c>
      <c r="G21" s="6" t="s">
        <v>144</v>
      </c>
      <c r="H21" s="6" t="s">
        <v>145</v>
      </c>
      <c r="I21" s="6" t="s">
        <v>56</v>
      </c>
    </row>
    <row r="22" spans="2:12" ht="33.75" customHeight="1" x14ac:dyDescent="0.25">
      <c r="B22" s="17">
        <v>1</v>
      </c>
      <c r="C22" s="25" t="str">
        <f t="shared" ref="C22:D31" si="3">C8</f>
        <v>Prestación mensual del servicio de mantenimiento preventivo y correctivo técnico integral especializado — ascensor C1, cuatro (4) paradas</v>
      </c>
      <c r="D22" s="26" t="str">
        <f t="shared" si="3"/>
        <v>MES</v>
      </c>
      <c r="E22" s="20">
        <f t="shared" ref="E22:E31" si="4">H8</f>
        <v>780743.15</v>
      </c>
      <c r="F22" s="15">
        <f t="shared" ref="F22:F31" si="5">J8</f>
        <v>766320</v>
      </c>
      <c r="G22" s="20">
        <f t="shared" ref="G22:G31" si="6">F22-E22</f>
        <v>-14423.150000000023</v>
      </c>
      <c r="H22" s="28">
        <f t="shared" ref="H22:H31" si="7">IFERROR(F22/E22-1,"")</f>
        <v>-1.8473617091613326E-2</v>
      </c>
      <c r="I22" s="67" t="str">
        <f t="shared" ref="I22:I31" si="8">IF(F22&lt;=E22,"Por debajo del valor indexado","Por encima del valor indexado")</f>
        <v>Por debajo del valor indexado</v>
      </c>
      <c r="J22" s="67"/>
      <c r="K22" s="67"/>
      <c r="L22" s="67"/>
    </row>
    <row r="23" spans="2:12" ht="33.75" customHeight="1" x14ac:dyDescent="0.25">
      <c r="B23" s="17">
        <v>2</v>
      </c>
      <c r="C23" s="25" t="str">
        <f t="shared" si="3"/>
        <v>Prestación mensual del servicio de mantenimiento preventivo y correctivo técnico integral especializado — ascensor C2, cinco (5) paradas</v>
      </c>
      <c r="D23" s="26" t="str">
        <f t="shared" si="3"/>
        <v>MES</v>
      </c>
      <c r="E23" s="20">
        <f t="shared" si="4"/>
        <v>814638.32</v>
      </c>
      <c r="F23" s="15">
        <f t="shared" si="5"/>
        <v>799589</v>
      </c>
      <c r="G23" s="20">
        <f t="shared" si="6"/>
        <v>-15049.319999999949</v>
      </c>
      <c r="H23" s="28">
        <f t="shared" si="7"/>
        <v>-1.8473621520774919E-2</v>
      </c>
      <c r="I23" s="67" t="str">
        <f t="shared" si="8"/>
        <v>Por debajo del valor indexado</v>
      </c>
      <c r="J23" s="67"/>
      <c r="K23" s="67"/>
      <c r="L23" s="67"/>
    </row>
    <row r="24" spans="2:12" ht="33.75" customHeight="1" x14ac:dyDescent="0.25">
      <c r="B24" s="17">
        <v>3</v>
      </c>
      <c r="C24" s="25" t="str">
        <f t="shared" si="3"/>
        <v>Prestación mensual del servicio de mantenimiento preventivo y correctivo técnico integral especializado — ascensor F1, seis (6) paradas</v>
      </c>
      <c r="D24" s="26" t="str">
        <f t="shared" si="3"/>
        <v>MES</v>
      </c>
      <c r="E24" s="20">
        <f t="shared" si="4"/>
        <v>833002.57</v>
      </c>
      <c r="F24" s="15">
        <f t="shared" si="5"/>
        <v>817614</v>
      </c>
      <c r="G24" s="20">
        <f t="shared" si="6"/>
        <v>-15388.569999999949</v>
      </c>
      <c r="H24" s="28">
        <f t="shared" si="7"/>
        <v>-1.8473616473956289E-2</v>
      </c>
      <c r="I24" s="67" t="str">
        <f t="shared" si="8"/>
        <v>Por debajo del valor indexado</v>
      </c>
      <c r="J24" s="67"/>
      <c r="K24" s="67"/>
      <c r="L24" s="67"/>
    </row>
    <row r="25" spans="2:12" ht="33.75" customHeight="1" x14ac:dyDescent="0.25">
      <c r="B25" s="17">
        <v>4</v>
      </c>
      <c r="C25" s="25" t="str">
        <f t="shared" si="3"/>
        <v>Prestación mensual del servicio de mantenimiento preventivo y correctivo técnico integral especializado — ascensor F2, seis (6) paradas</v>
      </c>
      <c r="D25" s="26" t="str">
        <f t="shared" si="3"/>
        <v>MES</v>
      </c>
      <c r="E25" s="20">
        <f t="shared" si="4"/>
        <v>833002.57</v>
      </c>
      <c r="F25" s="15">
        <f t="shared" si="5"/>
        <v>817614</v>
      </c>
      <c r="G25" s="20">
        <f t="shared" si="6"/>
        <v>-15388.569999999949</v>
      </c>
      <c r="H25" s="28">
        <f t="shared" si="7"/>
        <v>-1.8473616473956289E-2</v>
      </c>
      <c r="I25" s="67" t="str">
        <f t="shared" si="8"/>
        <v>Por debajo del valor indexado</v>
      </c>
      <c r="J25" s="67"/>
      <c r="K25" s="67"/>
      <c r="L25" s="67"/>
    </row>
    <row r="26" spans="2:12" ht="33.75" customHeight="1" x14ac:dyDescent="0.25">
      <c r="B26" s="17">
        <v>5</v>
      </c>
      <c r="C26" s="25" t="str">
        <f t="shared" si="3"/>
        <v>Prestación mensual del servicio de mantenimiento preventivo y correctivo técnico integral especializado — ascensor L1, seis (6) paradas</v>
      </c>
      <c r="D26" s="26" t="str">
        <f t="shared" si="3"/>
        <v>MES</v>
      </c>
      <c r="E26" s="20">
        <f t="shared" si="4"/>
        <v>833002.57</v>
      </c>
      <c r="F26" s="15">
        <f t="shared" si="5"/>
        <v>817614</v>
      </c>
      <c r="G26" s="20">
        <f t="shared" si="6"/>
        <v>-15388.569999999949</v>
      </c>
      <c r="H26" s="28">
        <f t="shared" si="7"/>
        <v>-1.8473616473956289E-2</v>
      </c>
      <c r="I26" s="67" t="str">
        <f t="shared" si="8"/>
        <v>Por debajo del valor indexado</v>
      </c>
      <c r="J26" s="67"/>
      <c r="K26" s="67"/>
      <c r="L26" s="67"/>
    </row>
    <row r="27" spans="2:12" ht="19.5" customHeight="1" x14ac:dyDescent="0.25">
      <c r="B27" s="17">
        <v>6</v>
      </c>
      <c r="C27" s="25" t="str">
        <f t="shared" si="3"/>
        <v>Fuente para citófono y luz de emergencia Ref. RKP</v>
      </c>
      <c r="D27" s="26" t="str">
        <f t="shared" si="3"/>
        <v>UN</v>
      </c>
      <c r="E27" s="20">
        <f t="shared" si="4"/>
        <v>98395.67</v>
      </c>
      <c r="F27" s="15">
        <f t="shared" si="5"/>
        <v>96577.95</v>
      </c>
      <c r="G27" s="20">
        <f t="shared" si="6"/>
        <v>-1817.7200000000012</v>
      </c>
      <c r="H27" s="28">
        <f t="shared" si="7"/>
        <v>-1.8473577140132313E-2</v>
      </c>
      <c r="I27" s="67" t="str">
        <f t="shared" si="8"/>
        <v>Por debajo del valor indexado</v>
      </c>
      <c r="J27" s="67"/>
      <c r="K27" s="67"/>
      <c r="L27" s="67"/>
    </row>
    <row r="28" spans="2:12" ht="19.5" customHeight="1" x14ac:dyDescent="0.25">
      <c r="B28" s="17">
        <v>7</v>
      </c>
      <c r="C28" s="25" t="str">
        <f t="shared" si="3"/>
        <v>Cortinas de luz infrarroja</v>
      </c>
      <c r="D28" s="26" t="str">
        <f t="shared" si="3"/>
        <v>UN</v>
      </c>
      <c r="E28" s="20">
        <f t="shared" si="4"/>
        <v>506633.05</v>
      </c>
      <c r="F28" s="15">
        <f t="shared" si="5"/>
        <v>497273.7</v>
      </c>
      <c r="G28" s="20">
        <f t="shared" si="6"/>
        <v>-9359.3499999999767</v>
      </c>
      <c r="H28" s="28">
        <f t="shared" si="7"/>
        <v>-1.8473627016634575E-2</v>
      </c>
      <c r="I28" s="67" t="str">
        <f t="shared" si="8"/>
        <v>Por debajo del valor indexado</v>
      </c>
      <c r="J28" s="67"/>
      <c r="K28" s="67"/>
      <c r="L28" s="67"/>
    </row>
    <row r="29" spans="2:12" ht="19.5" customHeight="1" x14ac:dyDescent="0.25">
      <c r="B29" s="17">
        <v>8</v>
      </c>
      <c r="C29" s="25" t="str">
        <f t="shared" si="3"/>
        <v>Cable de tracción 12 mm 8x19 W-FC F819</v>
      </c>
      <c r="D29" s="26" t="str">
        <f t="shared" si="3"/>
        <v>ML</v>
      </c>
      <c r="E29" s="20">
        <f t="shared" si="4"/>
        <v>17519.5</v>
      </c>
      <c r="F29" s="15">
        <f t="shared" si="5"/>
        <v>17195.849999999999</v>
      </c>
      <c r="G29" s="20">
        <f t="shared" si="6"/>
        <v>-323.65000000000146</v>
      </c>
      <c r="H29" s="28">
        <f t="shared" si="7"/>
        <v>-1.8473700733468545E-2</v>
      </c>
      <c r="I29" s="67" t="str">
        <f t="shared" si="8"/>
        <v>Por debajo del valor indexado</v>
      </c>
      <c r="J29" s="67"/>
      <c r="K29" s="67"/>
      <c r="L29" s="67"/>
    </row>
    <row r="30" spans="2:12" ht="19.5" customHeight="1" x14ac:dyDescent="0.25">
      <c r="B30" s="17">
        <v>9</v>
      </c>
      <c r="C30" s="25" t="str">
        <f t="shared" si="3"/>
        <v>Límite normalmente cerrado Ref. S3-1370</v>
      </c>
      <c r="D30" s="26" t="str">
        <f t="shared" si="3"/>
        <v>UN</v>
      </c>
      <c r="E30" s="20">
        <f t="shared" si="4"/>
        <v>28995.58</v>
      </c>
      <c r="F30" s="15">
        <f t="shared" si="5"/>
        <v>28459.672500000001</v>
      </c>
      <c r="G30" s="20">
        <f t="shared" si="6"/>
        <v>-535.90750000000116</v>
      </c>
      <c r="H30" s="28">
        <f t="shared" si="7"/>
        <v>-1.8482385936063439E-2</v>
      </c>
      <c r="I30" s="67" t="str">
        <f t="shared" si="8"/>
        <v>Por debajo del valor indexado</v>
      </c>
      <c r="J30" s="67"/>
      <c r="K30" s="67"/>
      <c r="L30" s="67"/>
    </row>
    <row r="31" spans="2:12" ht="19.5" customHeight="1" x14ac:dyDescent="0.25">
      <c r="B31" s="17">
        <v>10</v>
      </c>
      <c r="C31" s="25" t="str">
        <f t="shared" si="3"/>
        <v>Micro para operador + GATL/W contacto abierto coreano</v>
      </c>
      <c r="D31" s="26" t="str">
        <f t="shared" si="3"/>
        <v>UN</v>
      </c>
      <c r="E31" s="20">
        <f t="shared" si="4"/>
        <v>35903.69</v>
      </c>
      <c r="F31" s="15">
        <f t="shared" si="5"/>
        <v>35240.677499999998</v>
      </c>
      <c r="G31" s="20">
        <f t="shared" si="6"/>
        <v>-663.01250000000437</v>
      </c>
      <c r="H31" s="28">
        <f t="shared" si="7"/>
        <v>-1.846641668307647E-2</v>
      </c>
      <c r="I31" s="67" t="str">
        <f t="shared" si="8"/>
        <v>Por debajo del valor indexado</v>
      </c>
      <c r="J31" s="67"/>
      <c r="K31" s="67"/>
      <c r="L31" s="67"/>
    </row>
    <row r="33" spans="2:12" x14ac:dyDescent="0.25">
      <c r="B33" s="47" t="s">
        <v>173</v>
      </c>
      <c r="C33" s="47"/>
      <c r="D33" s="47"/>
      <c r="E33" s="47"/>
      <c r="F33" s="47"/>
      <c r="G33" s="47"/>
      <c r="H33" s="47"/>
      <c r="I33" s="47"/>
      <c r="J33" s="47"/>
      <c r="K33" s="47"/>
      <c r="L33" s="47"/>
    </row>
    <row r="34" spans="2:12" ht="31.5" customHeight="1" x14ac:dyDescent="0.25">
      <c r="B34" s="49" t="s">
        <v>174</v>
      </c>
      <c r="C34" s="49"/>
      <c r="D34" s="49"/>
      <c r="E34" s="6" t="s">
        <v>56</v>
      </c>
      <c r="F34" s="49" t="s">
        <v>175</v>
      </c>
      <c r="G34" s="49"/>
      <c r="H34" s="6" t="s">
        <v>176</v>
      </c>
      <c r="I34" s="49" t="s">
        <v>177</v>
      </c>
      <c r="J34" s="49"/>
      <c r="K34" s="49"/>
      <c r="L34" s="49"/>
    </row>
    <row r="35" spans="2:12" ht="27.75" customHeight="1" x14ac:dyDescent="0.25">
      <c r="B35" s="62" t="s">
        <v>178</v>
      </c>
      <c r="C35" s="62"/>
      <c r="D35" s="62"/>
      <c r="E35" s="33">
        <f>'ANEXO 1 - COTIZACIONES'!H17/'ANEXO 1 - COTIZACIONES'!F17-1</f>
        <v>4.4000000000000039E-2</v>
      </c>
      <c r="F35" s="59" t="s">
        <v>179</v>
      </c>
      <c r="G35" s="59"/>
      <c r="H35" s="28">
        <f>'ANEXO 2 - HISTÓRICO'!$D$5</f>
        <v>4.3999999999999997E-2</v>
      </c>
      <c r="I35" s="59" t="s">
        <v>180</v>
      </c>
      <c r="J35" s="59"/>
      <c r="K35" s="59"/>
      <c r="L35" s="59"/>
    </row>
    <row r="36" spans="2:12" ht="27.75" customHeight="1" x14ac:dyDescent="0.25">
      <c r="B36" s="62" t="s">
        <v>181</v>
      </c>
      <c r="C36" s="62"/>
      <c r="D36" s="62"/>
      <c r="E36" s="33">
        <f>'ANEXO 1 - COTIZACIONES'!J17/'ANEXO 1 - COTIZACIONES'!H17-1</f>
        <v>2.9999997000142775E-2</v>
      </c>
      <c r="F36" s="59" t="s">
        <v>182</v>
      </c>
      <c r="G36" s="59"/>
      <c r="H36" s="28">
        <f>'ANEXO 2 - HISTÓRICO'!$D$6</f>
        <v>0.03</v>
      </c>
      <c r="I36" s="59" t="s">
        <v>183</v>
      </c>
      <c r="J36" s="59"/>
      <c r="K36" s="59"/>
      <c r="L36" s="59"/>
    </row>
    <row r="37" spans="2:12" ht="27.75" customHeight="1" x14ac:dyDescent="0.25">
      <c r="B37" s="62" t="s">
        <v>184</v>
      </c>
      <c r="C37" s="62"/>
      <c r="D37" s="62"/>
      <c r="E37" s="33">
        <f>'ANEXO 1 - COTIZACIONES'!J17/'ANEXO 1 - COTIZACIONES'!F17-1</f>
        <v>7.5319996868149053E-2</v>
      </c>
      <c r="F37" s="59" t="s">
        <v>185</v>
      </c>
      <c r="G37" s="59"/>
      <c r="H37" s="28">
        <f>'ÍNDICES IPC'!$E$12/'ÍNDICES IPC'!$D$12-1</f>
        <v>6.0248158715413558E-2</v>
      </c>
      <c r="I37" s="59" t="s">
        <v>186</v>
      </c>
      <c r="J37" s="59"/>
      <c r="K37" s="59"/>
      <c r="L37" s="59"/>
    </row>
    <row r="38" spans="2:12" ht="27.75" customHeight="1" x14ac:dyDescent="0.25">
      <c r="B38" s="62" t="s">
        <v>187</v>
      </c>
      <c r="C38" s="62"/>
      <c r="D38" s="62"/>
      <c r="E38" s="33">
        <f>('ANEXO 1 - COTIZACIONES'!J17/'ANEXO 1 - COTIZACIONES'!F17)^(1/2)-1</f>
        <v>3.6976372376993583E-2</v>
      </c>
      <c r="F38" s="59" t="s">
        <v>185</v>
      </c>
      <c r="G38" s="59"/>
      <c r="H38" s="28">
        <f>'ÍNDICES IPC'!$E$12/'ÍNDICES IPC'!$D$12-1</f>
        <v>6.0248158715413558E-2</v>
      </c>
      <c r="I38" s="59" t="s">
        <v>188</v>
      </c>
      <c r="J38" s="59"/>
      <c r="K38" s="59"/>
      <c r="L38" s="59"/>
    </row>
    <row r="40" spans="2:12" x14ac:dyDescent="0.25">
      <c r="B40" s="47" t="s">
        <v>189</v>
      </c>
      <c r="C40" s="47"/>
      <c r="D40" s="47"/>
      <c r="E40" s="47"/>
      <c r="F40" s="47"/>
      <c r="G40" s="47"/>
      <c r="H40" s="47"/>
      <c r="I40" s="47"/>
      <c r="J40" s="47"/>
      <c r="K40" s="47"/>
      <c r="L40" s="47"/>
    </row>
    <row r="41" spans="2:12" ht="15" customHeight="1" x14ac:dyDescent="0.25">
      <c r="B41" s="59" t="s">
        <v>190</v>
      </c>
      <c r="C41" s="59"/>
      <c r="D41" s="59"/>
      <c r="E41" s="59"/>
      <c r="F41" s="59"/>
      <c r="G41" s="59"/>
      <c r="H41" s="59"/>
      <c r="I41" s="59"/>
      <c r="J41" s="59"/>
      <c r="K41" s="59"/>
      <c r="L41" s="59"/>
    </row>
    <row r="42" spans="2:12" ht="31.5" customHeight="1" x14ac:dyDescent="0.25">
      <c r="B42" s="49" t="s">
        <v>174</v>
      </c>
      <c r="C42" s="49"/>
      <c r="D42" s="49"/>
      <c r="E42" s="6" t="s">
        <v>82</v>
      </c>
      <c r="F42" s="6" t="s">
        <v>83</v>
      </c>
      <c r="G42" s="6" t="s">
        <v>84</v>
      </c>
      <c r="H42" s="6" t="s">
        <v>85</v>
      </c>
      <c r="I42" s="49" t="s">
        <v>191</v>
      </c>
      <c r="J42" s="49"/>
      <c r="K42" s="49"/>
      <c r="L42" s="49"/>
    </row>
    <row r="43" spans="2:12" ht="15.75" customHeight="1" x14ac:dyDescent="0.25">
      <c r="B43" s="59" t="s">
        <v>192</v>
      </c>
      <c r="C43" s="59"/>
      <c r="D43" s="59"/>
      <c r="E43" s="17">
        <f>'ANEXO 1 - COTIZACIONES'!E17</f>
        <v>1</v>
      </c>
      <c r="F43" s="17">
        <f>'ANEXO 1 - COTIZACIONES'!G17</f>
        <v>12</v>
      </c>
      <c r="G43" s="17">
        <f>'ANEXO 1 - COTIZACIONES'!I17</f>
        <v>11</v>
      </c>
      <c r="H43" s="17">
        <f>SUM(E43:G43)</f>
        <v>24</v>
      </c>
      <c r="I43" s="71"/>
      <c r="J43" s="71"/>
      <c r="K43" s="71"/>
      <c r="L43" s="71"/>
    </row>
    <row r="44" spans="2:12" ht="25.5" customHeight="1" x14ac:dyDescent="0.25">
      <c r="B44" s="59" t="s">
        <v>193</v>
      </c>
      <c r="C44" s="59"/>
      <c r="D44" s="59"/>
      <c r="E44" s="20">
        <f>SUMPRODUCT(ROUND('ANEXO 1 - COTIZACIONES'!F17:F21*(1+'ANEXO 2 - HISTÓRICO'!$D$4),2))</f>
        <v>4782313.6900000004</v>
      </c>
      <c r="F44" s="20">
        <f>SUMPRODUCT(ROUND('ANEXO 1 - COTIZACIONES'!H17:H21*(1+'ANEXO 2 - HISTÓRICO'!$D$4),2))</f>
        <v>4992735.5</v>
      </c>
      <c r="G44" s="20">
        <f>SUMPRODUCT(ROUND('ANEXO 1 - COTIZACIONES'!J17:J21*(1+'ANEXO 2 - HISTÓRICO'!$D$4),2))</f>
        <v>5142517.57</v>
      </c>
      <c r="H44" s="20"/>
      <c r="I44" s="71"/>
      <c r="J44" s="71"/>
      <c r="K44" s="71"/>
      <c r="L44" s="71"/>
    </row>
    <row r="45" spans="2:12" ht="15.75" customHeight="1" x14ac:dyDescent="0.25">
      <c r="B45" s="72" t="s">
        <v>194</v>
      </c>
      <c r="C45" s="72"/>
      <c r="D45" s="72"/>
      <c r="E45" s="15">
        <f>ROUND(E44*E43,2)</f>
        <v>4782313.6900000004</v>
      </c>
      <c r="F45" s="15">
        <f>ROUND(F44*F43,2)</f>
        <v>59912826</v>
      </c>
      <c r="G45" s="15">
        <f>ROUND(G44*G43,2)</f>
        <v>56567693.270000003</v>
      </c>
      <c r="H45" s="15">
        <f>SUM(E45:G45)</f>
        <v>121262832.96000001</v>
      </c>
      <c r="I45" s="73">
        <f>H45/$H$46</f>
        <v>0.62600184065093056</v>
      </c>
      <c r="J45" s="73"/>
      <c r="K45" s="73"/>
      <c r="L45" s="73"/>
    </row>
    <row r="46" spans="2:12" ht="15.75" customHeight="1" x14ac:dyDescent="0.25">
      <c r="B46" s="59" t="s">
        <v>195</v>
      </c>
      <c r="C46" s="59"/>
      <c r="D46" s="59"/>
      <c r="E46" s="10">
        <v>7639456.29</v>
      </c>
      <c r="F46" s="10">
        <v>95707108.400000006</v>
      </c>
      <c r="G46" s="10">
        <v>90363461.519999996</v>
      </c>
      <c r="H46" s="20">
        <f>SUM(E46:G46)</f>
        <v>193710026.21000001</v>
      </c>
      <c r="I46" s="71"/>
      <c r="J46" s="71"/>
      <c r="K46" s="71"/>
      <c r="L46" s="71"/>
    </row>
    <row r="47" spans="2:12" ht="15.75" customHeight="1" x14ac:dyDescent="0.25">
      <c r="B47" s="72" t="s">
        <v>196</v>
      </c>
      <c r="C47" s="72"/>
      <c r="D47" s="72"/>
      <c r="E47" s="15">
        <f>E46-E45</f>
        <v>2857142.5999999996</v>
      </c>
      <c r="F47" s="15">
        <f>F46-F45</f>
        <v>35794282.400000006</v>
      </c>
      <c r="G47" s="15">
        <f>G46-G45</f>
        <v>33795768.249999993</v>
      </c>
      <c r="H47" s="15">
        <f>SUM(E47:G47)</f>
        <v>72447193.25</v>
      </c>
      <c r="I47" s="73">
        <f>H47/$H$46</f>
        <v>0.37399815934906944</v>
      </c>
      <c r="J47" s="73"/>
      <c r="K47" s="73"/>
      <c r="L47" s="73"/>
    </row>
    <row r="48" spans="2:12" ht="15.75" customHeight="1" x14ac:dyDescent="0.25">
      <c r="B48" s="74" t="s">
        <v>197</v>
      </c>
      <c r="C48" s="74"/>
      <c r="D48" s="74"/>
      <c r="E48" s="32">
        <f>E45+E47</f>
        <v>7639456.29</v>
      </c>
      <c r="F48" s="32">
        <f>F45+F47</f>
        <v>95707108.400000006</v>
      </c>
      <c r="G48" s="32">
        <f>G45+G47</f>
        <v>90363461.519999996</v>
      </c>
      <c r="H48" s="34">
        <f>SUM(E48:G48)</f>
        <v>193710026.21000001</v>
      </c>
      <c r="I48" s="70"/>
      <c r="J48" s="70"/>
      <c r="K48" s="70"/>
      <c r="L48" s="70"/>
    </row>
    <row r="49" spans="2:12" ht="15.75" customHeight="1" x14ac:dyDescent="0.25">
      <c r="B49" s="59" t="s">
        <v>198</v>
      </c>
      <c r="C49" s="59"/>
      <c r="D49" s="59"/>
      <c r="E49" s="20">
        <f>E48-E46</f>
        <v>0</v>
      </c>
      <c r="F49" s="20">
        <f>F48-F46</f>
        <v>0</v>
      </c>
      <c r="G49" s="20">
        <f>G48-G46</f>
        <v>0</v>
      </c>
      <c r="H49" s="20">
        <f>H48-H46</f>
        <v>0</v>
      </c>
      <c r="I49" s="71"/>
      <c r="J49" s="71"/>
      <c r="K49" s="71"/>
      <c r="L49" s="71"/>
    </row>
  </sheetData>
  <mergeCells count="51">
    <mergeCell ref="B47:D47"/>
    <mergeCell ref="I47:L47"/>
    <mergeCell ref="B48:D48"/>
    <mergeCell ref="I48:L48"/>
    <mergeCell ref="B49:D49"/>
    <mergeCell ref="I49:L49"/>
    <mergeCell ref="B44:D44"/>
    <mergeCell ref="I44:L44"/>
    <mergeCell ref="B45:D45"/>
    <mergeCell ref="I45:L45"/>
    <mergeCell ref="B46:D46"/>
    <mergeCell ref="I46:L46"/>
    <mergeCell ref="B40:L40"/>
    <mergeCell ref="B41:L41"/>
    <mergeCell ref="B42:D42"/>
    <mergeCell ref="I42:L42"/>
    <mergeCell ref="B43:D43"/>
    <mergeCell ref="I43:L43"/>
    <mergeCell ref="B37:D37"/>
    <mergeCell ref="F37:G37"/>
    <mergeCell ref="I37:L37"/>
    <mergeCell ref="B38:D38"/>
    <mergeCell ref="F38:G38"/>
    <mergeCell ref="I38:L38"/>
    <mergeCell ref="B35:D35"/>
    <mergeCell ref="F35:G35"/>
    <mergeCell ref="I35:L35"/>
    <mergeCell ref="B36:D36"/>
    <mergeCell ref="F36:G36"/>
    <mergeCell ref="I36:L36"/>
    <mergeCell ref="I30:L30"/>
    <mergeCell ref="I31:L31"/>
    <mergeCell ref="B33:L33"/>
    <mergeCell ref="B34:D34"/>
    <mergeCell ref="F34:G34"/>
    <mergeCell ref="I34:L34"/>
    <mergeCell ref="I25:L25"/>
    <mergeCell ref="I26:L26"/>
    <mergeCell ref="I27:L27"/>
    <mergeCell ref="I28:L28"/>
    <mergeCell ref="I29:L29"/>
    <mergeCell ref="B20:L20"/>
    <mergeCell ref="I22:L22"/>
    <mergeCell ref="I23:L23"/>
    <mergeCell ref="I24:L24"/>
    <mergeCell ref="B2:L2"/>
    <mergeCell ref="B3:L3"/>
    <mergeCell ref="B5:L5"/>
    <mergeCell ref="E6:G6"/>
    <mergeCell ref="H6:I6"/>
    <mergeCell ref="J6:L6"/>
  </mergeCells>
  <printOptions horizontalCentered="1"/>
  <pageMargins left="0.35" right="0.35" top="1" bottom="1" header="0.511811023622047" footer="0.511811023622047"/>
  <pageSetup fitToHeight="0" orientation="landscape" horizontalDpi="300" verticalDpi="300"/>
  <rowBreaks count="1" manualBreakCount="1">
    <brk id="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R39"/>
  <sheetViews>
    <sheetView showGridLines="0" tabSelected="1" topLeftCell="C12" zoomScaleNormal="100" workbookViewId="0">
      <selection activeCell="M17" sqref="M17:R17"/>
    </sheetView>
  </sheetViews>
  <sheetFormatPr baseColWidth="10" defaultColWidth="8.7109375" defaultRowHeight="15" x14ac:dyDescent="0.25"/>
  <cols>
    <col min="1" max="1" width="2" customWidth="1"/>
    <col min="2" max="2" width="6" customWidth="1"/>
    <col min="3" max="3" width="34" customWidth="1"/>
    <col min="4" max="4" width="30" customWidth="1"/>
    <col min="5" max="5" width="11" customWidth="1"/>
    <col min="6" max="6" width="8" customWidth="1"/>
    <col min="7" max="7" width="14" customWidth="1"/>
    <col min="8" max="8" width="15" customWidth="1"/>
    <col min="9" max="9" width="16" customWidth="1"/>
    <col min="10" max="10" width="14.42578125" customWidth="1"/>
    <col min="11" max="11" width="14" customWidth="1"/>
    <col min="12" max="12" width="15" customWidth="1"/>
    <col min="13" max="13" width="16" customWidth="1"/>
    <col min="14" max="14" width="8" customWidth="1"/>
    <col min="15" max="15" width="14" customWidth="1"/>
    <col min="16" max="16" width="15" customWidth="1"/>
    <col min="17" max="17" width="16" customWidth="1"/>
    <col min="18" max="18" width="18" customWidth="1"/>
  </cols>
  <sheetData>
    <row r="2" spans="2:18" ht="21.75" customHeight="1" x14ac:dyDescent="0.25">
      <c r="B2" s="44" t="s">
        <v>199</v>
      </c>
      <c r="C2" s="44"/>
      <c r="D2" s="44"/>
      <c r="E2" s="44"/>
      <c r="F2" s="44"/>
      <c r="G2" s="44"/>
      <c r="H2" s="44"/>
      <c r="I2" s="44"/>
      <c r="J2" s="44"/>
      <c r="K2" s="44"/>
      <c r="L2" s="44"/>
      <c r="M2" s="44"/>
      <c r="N2" s="44"/>
      <c r="O2" s="44"/>
      <c r="P2" s="44"/>
      <c r="Q2" s="44"/>
      <c r="R2" s="44"/>
    </row>
    <row r="3" spans="2:18" ht="30" customHeight="1" x14ac:dyDescent="0.25">
      <c r="B3" s="45" t="s">
        <v>200</v>
      </c>
      <c r="C3" s="45"/>
      <c r="D3" s="45"/>
      <c r="E3" s="46" t="s">
        <v>6</v>
      </c>
      <c r="F3" s="46"/>
      <c r="G3" s="46"/>
      <c r="H3" s="46"/>
      <c r="I3" s="46"/>
      <c r="J3" s="46"/>
      <c r="K3" s="46"/>
      <c r="L3" s="46"/>
      <c r="M3" s="46"/>
      <c r="N3" s="46"/>
      <c r="O3" s="46"/>
      <c r="P3" s="46"/>
      <c r="Q3" s="46"/>
      <c r="R3" s="46"/>
    </row>
    <row r="5" spans="2:18" x14ac:dyDescent="0.25">
      <c r="B5" s="47" t="s">
        <v>201</v>
      </c>
      <c r="C5" s="47"/>
      <c r="D5" s="47"/>
      <c r="E5" s="47"/>
      <c r="F5" s="47"/>
      <c r="G5" s="47"/>
      <c r="H5" s="47"/>
      <c r="I5" s="47"/>
      <c r="J5" s="47"/>
      <c r="K5" s="47"/>
      <c r="L5" s="47"/>
      <c r="M5" s="47"/>
      <c r="N5" s="47"/>
      <c r="O5" s="47"/>
      <c r="P5" s="47"/>
      <c r="Q5" s="47"/>
      <c r="R5" s="47"/>
    </row>
    <row r="6" spans="2:18" x14ac:dyDescent="0.25">
      <c r="B6" s="16"/>
      <c r="C6" s="16"/>
      <c r="D6" s="16"/>
      <c r="E6" s="16"/>
      <c r="F6" s="45" t="s">
        <v>82</v>
      </c>
      <c r="G6" s="45"/>
      <c r="H6" s="45"/>
      <c r="I6" s="45"/>
      <c r="J6" s="45" t="s">
        <v>83</v>
      </c>
      <c r="K6" s="45"/>
      <c r="L6" s="45"/>
      <c r="M6" s="45"/>
      <c r="N6" s="45" t="s">
        <v>84</v>
      </c>
      <c r="O6" s="45"/>
      <c r="P6" s="45"/>
      <c r="Q6" s="45"/>
      <c r="R6" s="9" t="s">
        <v>85</v>
      </c>
    </row>
    <row r="7" spans="2:18" ht="31.5" customHeight="1" x14ac:dyDescent="0.25">
      <c r="B7" s="6" t="s">
        <v>86</v>
      </c>
      <c r="C7" s="6" t="s">
        <v>202</v>
      </c>
      <c r="D7" s="6" t="s">
        <v>203</v>
      </c>
      <c r="E7" s="6" t="s">
        <v>88</v>
      </c>
      <c r="F7" s="6" t="s">
        <v>89</v>
      </c>
      <c r="G7" s="6" t="s">
        <v>90</v>
      </c>
      <c r="H7" s="6" t="s">
        <v>204</v>
      </c>
      <c r="I7" s="6" t="s">
        <v>92</v>
      </c>
      <c r="J7" s="6" t="s">
        <v>89</v>
      </c>
      <c r="K7" s="6" t="s">
        <v>90</v>
      </c>
      <c r="L7" s="6" t="s">
        <v>204</v>
      </c>
      <c r="M7" s="6" t="s">
        <v>92</v>
      </c>
      <c r="N7" s="6" t="s">
        <v>89</v>
      </c>
      <c r="O7" s="6" t="s">
        <v>90</v>
      </c>
      <c r="P7" s="6" t="s">
        <v>204</v>
      </c>
      <c r="Q7" s="6" t="s">
        <v>92</v>
      </c>
      <c r="R7" s="6" t="s">
        <v>92</v>
      </c>
    </row>
    <row r="8" spans="2:18" ht="54" customHeight="1" x14ac:dyDescent="0.25">
      <c r="B8" s="17">
        <v>1</v>
      </c>
      <c r="C8" s="36" t="str">
        <f>'ANEXO 3 - CONSOLIDADO'!C8</f>
        <v>Prestación mensual del servicio de mantenimiento preventivo y correctivo técnico integral especializado — ascensor C1, cuatro (4) paradas</v>
      </c>
      <c r="D8" s="5" t="s">
        <v>205</v>
      </c>
      <c r="E8" s="37" t="str">
        <f>'ANEXO 3 - CONSOLIDADO'!D8</f>
        <v>MES</v>
      </c>
      <c r="F8" s="37">
        <f>'ANEXO 1 - COTIZACIONES'!E17</f>
        <v>1</v>
      </c>
      <c r="G8" s="14">
        <f>'ANEXO 3 - CONSOLIDADO'!J8</f>
        <v>766320</v>
      </c>
      <c r="H8" s="20">
        <f>ROUND(G8*(1+'ANEXO 2 - HISTÓRICO'!$D$4),2)</f>
        <v>911920.8</v>
      </c>
      <c r="I8" s="15">
        <f>H8*F8</f>
        <v>911920.8</v>
      </c>
      <c r="J8" s="37">
        <f>'ANEXO 1 - COTIZACIONES'!G17</f>
        <v>12</v>
      </c>
      <c r="K8" s="14">
        <f>'ANEXO 3 - CONSOLIDADO'!K8</f>
        <v>800038.08</v>
      </c>
      <c r="L8" s="20">
        <f>ROUND(K8*(1+'ANEXO 2 - HISTÓRICO'!$D$4),2)</f>
        <v>952045.32</v>
      </c>
      <c r="M8" s="15">
        <f>L8*J8</f>
        <v>11424543.84</v>
      </c>
      <c r="N8" s="37">
        <f>'ANEXO 1 - COTIZACIONES'!I17</f>
        <v>11</v>
      </c>
      <c r="O8" s="14">
        <f>'ANEXO 3 - CONSOLIDADO'!L8</f>
        <v>824039.22</v>
      </c>
      <c r="P8" s="20">
        <f>ROUND(O8*(1+'ANEXO 2 - HISTÓRICO'!$D$4),2)</f>
        <v>980606.67</v>
      </c>
      <c r="Q8" s="15">
        <f>P8*N8</f>
        <v>10786673.370000001</v>
      </c>
      <c r="R8" s="15">
        <f>I8+M8+Q8</f>
        <v>23123138.010000002</v>
      </c>
    </row>
    <row r="9" spans="2:18" ht="54" customHeight="1" x14ac:dyDescent="0.25">
      <c r="B9" s="17">
        <v>2</v>
      </c>
      <c r="C9" s="36" t="str">
        <f>'ANEXO 3 - CONSOLIDADO'!C9</f>
        <v>Prestación mensual del servicio de mantenimiento preventivo y correctivo técnico integral especializado — ascensor C2, cinco (5) paradas</v>
      </c>
      <c r="D9" s="5" t="s">
        <v>206</v>
      </c>
      <c r="E9" s="37" t="str">
        <f>'ANEXO 3 - CONSOLIDADO'!D9</f>
        <v>MES</v>
      </c>
      <c r="F9" s="37">
        <f>'ANEXO 1 - COTIZACIONES'!E18</f>
        <v>1</v>
      </c>
      <c r="G9" s="14">
        <f>'ANEXO 3 - CONSOLIDADO'!J9</f>
        <v>799589</v>
      </c>
      <c r="H9" s="20">
        <f>ROUND(G9*(1+'ANEXO 2 - HISTÓRICO'!$D$4),2)</f>
        <v>951510.91</v>
      </c>
      <c r="I9" s="15">
        <f>H9*F9</f>
        <v>951510.91</v>
      </c>
      <c r="J9" s="37">
        <f>'ANEXO 1 - COTIZACIONES'!G18</f>
        <v>12</v>
      </c>
      <c r="K9" s="14">
        <f>'ANEXO 3 - CONSOLIDADO'!K9</f>
        <v>834770.92</v>
      </c>
      <c r="L9" s="20">
        <f>ROUND(K9*(1+'ANEXO 2 - HISTÓRICO'!$D$4),2)</f>
        <v>993377.39</v>
      </c>
      <c r="M9" s="15">
        <f>L9*J9</f>
        <v>11920528.68</v>
      </c>
      <c r="N9" s="37">
        <f>'ANEXO 1 - COTIZACIONES'!I18</f>
        <v>11</v>
      </c>
      <c r="O9" s="14">
        <f>'ANEXO 3 - CONSOLIDADO'!L9</f>
        <v>859814.05</v>
      </c>
      <c r="P9" s="20">
        <f>ROUND(O9*(1+'ANEXO 2 - HISTÓRICO'!$D$4),2)</f>
        <v>1023178.72</v>
      </c>
      <c r="Q9" s="15">
        <f>P9*N9</f>
        <v>11254965.92</v>
      </c>
      <c r="R9" s="15">
        <f>I9+M9+Q9</f>
        <v>24127005.509999998</v>
      </c>
    </row>
    <row r="10" spans="2:18" ht="54" customHeight="1" x14ac:dyDescent="0.25">
      <c r="B10" s="17">
        <v>3</v>
      </c>
      <c r="C10" s="36" t="str">
        <f>'ANEXO 3 - CONSOLIDADO'!C10</f>
        <v>Prestación mensual del servicio de mantenimiento preventivo y correctivo técnico integral especializado — ascensor F1, seis (6) paradas</v>
      </c>
      <c r="D10" s="5" t="s">
        <v>207</v>
      </c>
      <c r="E10" s="37" t="str">
        <f>'ANEXO 3 - CONSOLIDADO'!D10</f>
        <v>MES</v>
      </c>
      <c r="F10" s="37">
        <f>'ANEXO 1 - COTIZACIONES'!E19</f>
        <v>1</v>
      </c>
      <c r="G10" s="14">
        <f>'ANEXO 3 - CONSOLIDADO'!J10</f>
        <v>817614</v>
      </c>
      <c r="H10" s="20">
        <f>ROUND(G10*(1+'ANEXO 2 - HISTÓRICO'!$D$4),2)</f>
        <v>972960.66</v>
      </c>
      <c r="I10" s="15">
        <f>H10*F10</f>
        <v>972960.66</v>
      </c>
      <c r="J10" s="37">
        <f>'ANEXO 1 - COTIZACIONES'!G19</f>
        <v>12</v>
      </c>
      <c r="K10" s="14">
        <f>'ANEXO 3 - CONSOLIDADO'!K10</f>
        <v>853589.02</v>
      </c>
      <c r="L10" s="20">
        <f>ROUND(K10*(1+'ANEXO 2 - HISTÓRICO'!$D$4),2)</f>
        <v>1015770.93</v>
      </c>
      <c r="M10" s="15">
        <f>L10*J10</f>
        <v>12189251.16</v>
      </c>
      <c r="N10" s="37">
        <f>'ANEXO 1 - COTIZACIONES'!I19</f>
        <v>11</v>
      </c>
      <c r="O10" s="14">
        <f>'ANEXO 3 - CONSOLIDADO'!L10</f>
        <v>879196.69</v>
      </c>
      <c r="P10" s="20">
        <f>ROUND(O10*(1+'ANEXO 2 - HISTÓRICO'!$D$4),2)</f>
        <v>1046244.06</v>
      </c>
      <c r="Q10" s="15">
        <f>P10*N10</f>
        <v>11508684.66</v>
      </c>
      <c r="R10" s="15">
        <f>I10+M10+Q10</f>
        <v>24670896.48</v>
      </c>
    </row>
    <row r="11" spans="2:18" ht="54" customHeight="1" x14ac:dyDescent="0.25">
      <c r="B11" s="17">
        <v>4</v>
      </c>
      <c r="C11" s="36" t="str">
        <f>'ANEXO 3 - CONSOLIDADO'!C11</f>
        <v>Prestación mensual del servicio de mantenimiento preventivo y correctivo técnico integral especializado — ascensor F2, seis (6) paradas</v>
      </c>
      <c r="D11" s="5" t="s">
        <v>208</v>
      </c>
      <c r="E11" s="37" t="str">
        <f>'ANEXO 3 - CONSOLIDADO'!D11</f>
        <v>MES</v>
      </c>
      <c r="F11" s="37">
        <f>'ANEXO 1 - COTIZACIONES'!E20</f>
        <v>1</v>
      </c>
      <c r="G11" s="14">
        <f>'ANEXO 3 - CONSOLIDADO'!J11</f>
        <v>817614</v>
      </c>
      <c r="H11" s="20">
        <f>ROUND(G11*(1+'ANEXO 2 - HISTÓRICO'!$D$4),2)</f>
        <v>972960.66</v>
      </c>
      <c r="I11" s="15">
        <f>H11*F11</f>
        <v>972960.66</v>
      </c>
      <c r="J11" s="37">
        <f>'ANEXO 1 - COTIZACIONES'!G20</f>
        <v>12</v>
      </c>
      <c r="K11" s="14">
        <f>'ANEXO 3 - CONSOLIDADO'!K11</f>
        <v>853589.02</v>
      </c>
      <c r="L11" s="20">
        <f>ROUND(K11*(1+'ANEXO 2 - HISTÓRICO'!$D$4),2)</f>
        <v>1015770.93</v>
      </c>
      <c r="M11" s="15">
        <f>L11*J11</f>
        <v>12189251.16</v>
      </c>
      <c r="N11" s="37">
        <f>'ANEXO 1 - COTIZACIONES'!I20</f>
        <v>11</v>
      </c>
      <c r="O11" s="14">
        <f>'ANEXO 3 - CONSOLIDADO'!L11</f>
        <v>879196.69</v>
      </c>
      <c r="P11" s="20">
        <f>ROUND(O11*(1+'ANEXO 2 - HISTÓRICO'!$D$4),2)</f>
        <v>1046244.06</v>
      </c>
      <c r="Q11" s="15">
        <f>P11*N11</f>
        <v>11508684.66</v>
      </c>
      <c r="R11" s="15">
        <f>I11+M11+Q11</f>
        <v>24670896.48</v>
      </c>
    </row>
    <row r="12" spans="2:18" ht="54" customHeight="1" x14ac:dyDescent="0.25">
      <c r="B12" s="17">
        <v>5</v>
      </c>
      <c r="C12" s="36" t="str">
        <f>'ANEXO 3 - CONSOLIDADO'!C12</f>
        <v>Prestación mensual del servicio de mantenimiento preventivo y correctivo técnico integral especializado — ascensor L1, seis (6) paradas</v>
      </c>
      <c r="D12" s="5" t="s">
        <v>209</v>
      </c>
      <c r="E12" s="37" t="str">
        <f>'ANEXO 3 - CONSOLIDADO'!D12</f>
        <v>MES</v>
      </c>
      <c r="F12" s="37">
        <f>'ANEXO 1 - COTIZACIONES'!E21</f>
        <v>1</v>
      </c>
      <c r="G12" s="14">
        <f>'ANEXO 3 - CONSOLIDADO'!J12</f>
        <v>817614</v>
      </c>
      <c r="H12" s="20">
        <f>ROUND(G12*(1+'ANEXO 2 - HISTÓRICO'!$D$4),2)</f>
        <v>972960.66</v>
      </c>
      <c r="I12" s="15">
        <f>H12*F12</f>
        <v>972960.66</v>
      </c>
      <c r="J12" s="37">
        <f>'ANEXO 1 - COTIZACIONES'!G21</f>
        <v>12</v>
      </c>
      <c r="K12" s="14">
        <f>'ANEXO 3 - CONSOLIDADO'!K12</f>
        <v>853589.02</v>
      </c>
      <c r="L12" s="20">
        <f>ROUND(K12*(1+'ANEXO 2 - HISTÓRICO'!$D$4),2)</f>
        <v>1015770.93</v>
      </c>
      <c r="M12" s="15">
        <f>L12*J12</f>
        <v>12189251.16</v>
      </c>
      <c r="N12" s="37">
        <f>'ANEXO 1 - COTIZACIONES'!I21</f>
        <v>11</v>
      </c>
      <c r="O12" s="14">
        <f>'ANEXO 3 - CONSOLIDADO'!L12</f>
        <v>879196.69</v>
      </c>
      <c r="P12" s="20">
        <f>ROUND(O12*(1+'ANEXO 2 - HISTÓRICO'!$D$4),2)</f>
        <v>1046244.06</v>
      </c>
      <c r="Q12" s="15">
        <f>P12*N12</f>
        <v>11508684.66</v>
      </c>
      <c r="R12" s="15">
        <f>I12+M12+Q12</f>
        <v>24670896.48</v>
      </c>
    </row>
    <row r="13" spans="2:18" x14ac:dyDescent="0.25">
      <c r="B13" s="48"/>
      <c r="C13" s="48"/>
      <c r="D13" s="48"/>
      <c r="E13" s="48"/>
      <c r="F13" s="48"/>
      <c r="G13" s="48"/>
      <c r="H13" s="48"/>
      <c r="I13" s="21">
        <f>SUM(I8:I12)</f>
        <v>4782313.6900000004</v>
      </c>
      <c r="J13" s="4"/>
      <c r="K13" s="4"/>
      <c r="L13" s="4"/>
      <c r="M13" s="21">
        <f>SUM(M8:M12)</f>
        <v>59912826</v>
      </c>
      <c r="N13" s="4"/>
      <c r="O13" s="4"/>
      <c r="P13" s="4"/>
      <c r="Q13" s="21">
        <f>SUM(Q8:Q12)</f>
        <v>56567693.269999996</v>
      </c>
      <c r="R13" s="21">
        <f>SUM(R8:R12)</f>
        <v>121262832.96000001</v>
      </c>
    </row>
    <row r="15" spans="2:18" x14ac:dyDescent="0.25">
      <c r="B15" s="47" t="s">
        <v>210</v>
      </c>
      <c r="C15" s="47"/>
      <c r="D15" s="47"/>
      <c r="E15" s="47"/>
      <c r="F15" s="47"/>
      <c r="G15" s="47"/>
      <c r="H15" s="47"/>
      <c r="I15" s="47"/>
      <c r="J15" s="47"/>
      <c r="K15" s="47"/>
      <c r="L15" s="47"/>
      <c r="M15" s="47"/>
      <c r="N15" s="47"/>
      <c r="O15" s="47"/>
      <c r="P15" s="47"/>
      <c r="Q15" s="47"/>
      <c r="R15" s="47"/>
    </row>
    <row r="16" spans="2:18" ht="45.75" customHeight="1" x14ac:dyDescent="0.25">
      <c r="B16" s="6" t="s">
        <v>86</v>
      </c>
      <c r="C16" s="6" t="s">
        <v>211</v>
      </c>
      <c r="D16" s="6" t="s">
        <v>203</v>
      </c>
      <c r="E16" s="6" t="s">
        <v>88</v>
      </c>
      <c r="F16" s="6" t="s">
        <v>101</v>
      </c>
      <c r="G16" s="6" t="s">
        <v>212</v>
      </c>
      <c r="H16" s="6" t="s">
        <v>213</v>
      </c>
      <c r="I16" s="6" t="s">
        <v>214</v>
      </c>
      <c r="J16" s="6" t="s">
        <v>215</v>
      </c>
      <c r="K16" s="6" t="s">
        <v>216</v>
      </c>
      <c r="L16" s="6" t="s">
        <v>217</v>
      </c>
      <c r="M16" s="49" t="s">
        <v>102</v>
      </c>
      <c r="N16" s="49"/>
      <c r="O16" s="49"/>
      <c r="P16" s="49"/>
      <c r="Q16" s="49"/>
      <c r="R16" s="49"/>
    </row>
    <row r="17" spans="2:18" ht="43.5" customHeight="1" x14ac:dyDescent="0.25">
      <c r="B17" s="17">
        <v>6</v>
      </c>
      <c r="C17" s="36" t="str">
        <f>'ANEXO 3 - CONSOLIDADO'!C13</f>
        <v>Fuente para citófono y luz de emergencia Ref. RKP</v>
      </c>
      <c r="D17" s="5" t="s">
        <v>218</v>
      </c>
      <c r="E17" s="37" t="str">
        <f>'ANEXO 3 - CONSOLIDADO'!D13</f>
        <v>UN</v>
      </c>
      <c r="F17" s="37">
        <f>'ANEXO 1 - COTIZACIONES'!E26</f>
        <v>1</v>
      </c>
      <c r="G17" s="14">
        <f>'ANEXO 3 - CONSOLIDADO'!J13</f>
        <v>96577.95</v>
      </c>
      <c r="H17" s="15">
        <f>ROUND(G17*(1+'ANEXO 2 - HISTÓRICO'!$D$4),2)</f>
        <v>114927.76</v>
      </c>
      <c r="I17" s="14">
        <f>'ANEXO 3 - CONSOLIDADO'!K13</f>
        <v>100827.38</v>
      </c>
      <c r="J17" s="15">
        <f>ROUND(I17*(1+'ANEXO 2 - HISTÓRICO'!$D$4),2)</f>
        <v>119984.58</v>
      </c>
      <c r="K17" s="14">
        <f>'ANEXO 3 - CONSOLIDADO'!L13</f>
        <v>103852.2</v>
      </c>
      <c r="L17" s="15">
        <f>ROUND(K17*(1+'ANEXO 2 - HISTÓRICO'!$D$4),2)</f>
        <v>123584.12</v>
      </c>
      <c r="M17" s="50" t="s">
        <v>219</v>
      </c>
      <c r="N17" s="50"/>
      <c r="O17" s="50"/>
      <c r="P17" s="50"/>
      <c r="Q17" s="50"/>
      <c r="R17" s="50"/>
    </row>
    <row r="18" spans="2:18" ht="43.5" customHeight="1" x14ac:dyDescent="0.25">
      <c r="B18" s="17">
        <v>7</v>
      </c>
      <c r="C18" s="36" t="str">
        <f>'ANEXO 3 - CONSOLIDADO'!C14</f>
        <v>Cortinas de luz infrarroja</v>
      </c>
      <c r="D18" s="5" t="s">
        <v>218</v>
      </c>
      <c r="E18" s="37" t="str">
        <f>'ANEXO 3 - CONSOLIDADO'!D14</f>
        <v>UN</v>
      </c>
      <c r="F18" s="37">
        <f>'ANEXO 1 - COTIZACIONES'!E27</f>
        <v>1</v>
      </c>
      <c r="G18" s="14">
        <f>'ANEXO 3 - CONSOLIDADO'!J14</f>
        <v>497273.7</v>
      </c>
      <c r="H18" s="15">
        <f>ROUND(G18*(1+'ANEXO 2 - HISTÓRICO'!$D$4),2)</f>
        <v>591755.69999999995</v>
      </c>
      <c r="I18" s="14">
        <f>'ANEXO 3 - CONSOLIDADO'!K14</f>
        <v>519153.74</v>
      </c>
      <c r="J18" s="15">
        <f>ROUND(I18*(1+'ANEXO 2 - HISTÓRICO'!$D$4),2)</f>
        <v>617792.94999999995</v>
      </c>
      <c r="K18" s="14">
        <f>'ANEXO 3 - CONSOLIDADO'!L14</f>
        <v>534728.35</v>
      </c>
      <c r="L18" s="15">
        <f>ROUND(K18*(1+'ANEXO 2 - HISTÓRICO'!$D$4),2)</f>
        <v>636326.74</v>
      </c>
      <c r="M18" s="50" t="s">
        <v>219</v>
      </c>
      <c r="N18" s="50"/>
      <c r="O18" s="50"/>
      <c r="P18" s="50"/>
      <c r="Q18" s="50"/>
      <c r="R18" s="50"/>
    </row>
    <row r="19" spans="2:18" ht="43.5" customHeight="1" x14ac:dyDescent="0.25">
      <c r="B19" s="17">
        <v>8</v>
      </c>
      <c r="C19" s="36" t="str">
        <f>'ANEXO 3 - CONSOLIDADO'!C15</f>
        <v>Cable de tracción 12 mm 8x19 W-FC F819</v>
      </c>
      <c r="D19" s="5" t="s">
        <v>218</v>
      </c>
      <c r="E19" s="37" t="str">
        <f>'ANEXO 3 - CONSOLIDADO'!D15</f>
        <v>ML</v>
      </c>
      <c r="F19" s="37">
        <f>'ANEXO 1 - COTIZACIONES'!E28</f>
        <v>1</v>
      </c>
      <c r="G19" s="14">
        <f>'ANEXO 3 - CONSOLIDADO'!J15</f>
        <v>17195.849999999999</v>
      </c>
      <c r="H19" s="15">
        <f>ROUND(G19*(1+'ANEXO 2 - HISTÓRICO'!$D$4),2)</f>
        <v>20463.060000000001</v>
      </c>
      <c r="I19" s="14">
        <f>'ANEXO 3 - CONSOLIDADO'!K15</f>
        <v>17952.47</v>
      </c>
      <c r="J19" s="15">
        <f>ROUND(I19*(1+'ANEXO 2 - HISTÓRICO'!$D$4),2)</f>
        <v>21363.439999999999</v>
      </c>
      <c r="K19" s="14">
        <f>'ANEXO 3 - CONSOLIDADO'!L15</f>
        <v>18491.04</v>
      </c>
      <c r="L19" s="15">
        <f>ROUND(K19*(1+'ANEXO 2 - HISTÓRICO'!$D$4),2)</f>
        <v>22004.34</v>
      </c>
      <c r="M19" s="50" t="s">
        <v>219</v>
      </c>
      <c r="N19" s="50"/>
      <c r="O19" s="50"/>
      <c r="P19" s="50"/>
      <c r="Q19" s="50"/>
      <c r="R19" s="50"/>
    </row>
    <row r="20" spans="2:18" ht="43.5" customHeight="1" x14ac:dyDescent="0.25">
      <c r="B20" s="17">
        <v>9</v>
      </c>
      <c r="C20" s="36" t="str">
        <f>'ANEXO 3 - CONSOLIDADO'!C16</f>
        <v>Límite normalmente cerrado Ref. S3-1370</v>
      </c>
      <c r="D20" s="5" t="s">
        <v>218</v>
      </c>
      <c r="E20" s="37" t="str">
        <f>'ANEXO 3 - CONSOLIDADO'!D16</f>
        <v>UN</v>
      </c>
      <c r="F20" s="37">
        <f>'ANEXO 1 - COTIZACIONES'!E29</f>
        <v>1</v>
      </c>
      <c r="G20" s="14">
        <f>'ANEXO 3 - CONSOLIDADO'!J16</f>
        <v>28459.672500000001</v>
      </c>
      <c r="H20" s="15">
        <f>ROUND(G20*(1+'ANEXO 2 - HISTÓRICO'!$D$4),2)</f>
        <v>33867.01</v>
      </c>
      <c r="I20" s="14">
        <f>'ANEXO 3 - CONSOLIDADO'!K16</f>
        <v>29711.9</v>
      </c>
      <c r="J20" s="15">
        <f>ROUND(I20*(1+'ANEXO 2 - HISTÓRICO'!$D$4),2)</f>
        <v>35357.160000000003</v>
      </c>
      <c r="K20" s="14">
        <f>'ANEXO 3 - CONSOLIDADO'!L16</f>
        <v>30603.26</v>
      </c>
      <c r="L20" s="15">
        <f>ROUND(K20*(1+'ANEXO 2 - HISTÓRICO'!$D$4),2)</f>
        <v>36417.879999999997</v>
      </c>
      <c r="M20" s="50" t="s">
        <v>219</v>
      </c>
      <c r="N20" s="50"/>
      <c r="O20" s="50"/>
      <c r="P20" s="50"/>
      <c r="Q20" s="50"/>
      <c r="R20" s="50"/>
    </row>
    <row r="21" spans="2:18" ht="43.5" customHeight="1" x14ac:dyDescent="0.25">
      <c r="B21" s="17">
        <v>10</v>
      </c>
      <c r="C21" s="36" t="str">
        <f>'ANEXO 3 - CONSOLIDADO'!C17</f>
        <v>Micro para operador + GATL/W contacto abierto coreano</v>
      </c>
      <c r="D21" s="5" t="s">
        <v>218</v>
      </c>
      <c r="E21" s="37" t="str">
        <f>'ANEXO 3 - CONSOLIDADO'!D17</f>
        <v>UN</v>
      </c>
      <c r="F21" s="37">
        <f>'ANEXO 1 - COTIZACIONES'!E30</f>
        <v>1</v>
      </c>
      <c r="G21" s="14">
        <f>'ANEXO 3 - CONSOLIDADO'!J17</f>
        <v>35240.677499999998</v>
      </c>
      <c r="H21" s="15">
        <f>ROUND(G21*(1+'ANEXO 2 - HISTÓRICO'!$D$4),2)</f>
        <v>41936.410000000003</v>
      </c>
      <c r="I21" s="14">
        <f>'ANEXO 3 - CONSOLIDADO'!K17</f>
        <v>36791.269999999997</v>
      </c>
      <c r="J21" s="15">
        <f>ROUND(I21*(1+'ANEXO 2 - HISTÓRICO'!$D$4),2)</f>
        <v>43781.61</v>
      </c>
      <c r="K21" s="14">
        <f>'ANEXO 3 - CONSOLIDADO'!L17</f>
        <v>37895.01</v>
      </c>
      <c r="L21" s="15">
        <f>ROUND(K21*(1+'ANEXO 2 - HISTÓRICO'!$D$4),2)</f>
        <v>45095.06</v>
      </c>
      <c r="M21" s="50" t="s">
        <v>219</v>
      </c>
      <c r="N21" s="50"/>
      <c r="O21" s="50"/>
      <c r="P21" s="50"/>
      <c r="Q21" s="50"/>
      <c r="R21" s="50"/>
    </row>
    <row r="22" spans="2:18" x14ac:dyDescent="0.25">
      <c r="B22" s="48"/>
      <c r="C22" s="48"/>
      <c r="D22" s="48"/>
      <c r="E22" s="48"/>
      <c r="F22" s="48"/>
      <c r="G22" s="21">
        <f t="shared" ref="G22:L22" si="0">SUM(G17:G21)</f>
        <v>674747.85</v>
      </c>
      <c r="H22" s="21">
        <f t="shared" si="0"/>
        <v>802949.94000000006</v>
      </c>
      <c r="I22" s="21">
        <f t="shared" si="0"/>
        <v>704436.76</v>
      </c>
      <c r="J22" s="21">
        <f t="shared" si="0"/>
        <v>838279.73999999987</v>
      </c>
      <c r="K22" s="21">
        <f t="shared" si="0"/>
        <v>725569.86</v>
      </c>
      <c r="L22" s="21">
        <f t="shared" si="0"/>
        <v>863428.1399999999</v>
      </c>
      <c r="M22" s="51"/>
      <c r="N22" s="51"/>
      <c r="O22" s="51"/>
      <c r="P22" s="51"/>
      <c r="Q22" s="51"/>
      <c r="R22" s="51"/>
    </row>
    <row r="24" spans="2:18" x14ac:dyDescent="0.25">
      <c r="B24" s="47" t="s">
        <v>220</v>
      </c>
      <c r="C24" s="47"/>
      <c r="D24" s="47"/>
      <c r="E24" s="47"/>
      <c r="F24" s="47"/>
      <c r="G24" s="47"/>
      <c r="H24" s="47"/>
      <c r="I24" s="47"/>
      <c r="J24" s="47"/>
      <c r="K24" s="47"/>
      <c r="L24" s="47"/>
      <c r="M24" s="47"/>
      <c r="N24" s="47"/>
      <c r="O24" s="47"/>
      <c r="P24" s="47"/>
      <c r="Q24" s="47"/>
      <c r="R24" s="47"/>
    </row>
    <row r="25" spans="2:18" ht="31.5" customHeight="1" x14ac:dyDescent="0.25">
      <c r="B25" s="49" t="s">
        <v>174</v>
      </c>
      <c r="C25" s="49"/>
      <c r="D25" s="49"/>
      <c r="E25" s="49"/>
      <c r="F25" s="49"/>
      <c r="G25" s="49"/>
      <c r="H25" s="49"/>
      <c r="I25" s="49" t="s">
        <v>82</v>
      </c>
      <c r="J25" s="49"/>
      <c r="K25" s="49"/>
      <c r="L25" s="49" t="s">
        <v>83</v>
      </c>
      <c r="M25" s="49"/>
      <c r="N25" s="49"/>
      <c r="O25" s="49" t="s">
        <v>84</v>
      </c>
      <c r="P25" s="49"/>
      <c r="Q25" s="49" t="s">
        <v>85</v>
      </c>
      <c r="R25" s="49"/>
    </row>
    <row r="26" spans="2:18" x14ac:dyDescent="0.25">
      <c r="B26" s="52" t="s">
        <v>221</v>
      </c>
      <c r="C26" s="52"/>
      <c r="D26" s="52"/>
      <c r="E26" s="52"/>
      <c r="F26" s="52"/>
      <c r="G26" s="52"/>
      <c r="H26" s="52"/>
      <c r="I26" s="53">
        <f>I13</f>
        <v>4782313.6900000004</v>
      </c>
      <c r="J26" s="53"/>
      <c r="K26" s="53"/>
      <c r="L26" s="53">
        <f>M13</f>
        <v>59912826</v>
      </c>
      <c r="M26" s="53"/>
      <c r="N26" s="53"/>
      <c r="O26" s="53">
        <f>Q13</f>
        <v>56567693.269999996</v>
      </c>
      <c r="P26" s="53"/>
      <c r="Q26" s="53">
        <f>R13</f>
        <v>121262832.96000001</v>
      </c>
      <c r="R26" s="53"/>
    </row>
    <row r="27" spans="2:18" x14ac:dyDescent="0.25">
      <c r="B27" s="52" t="s">
        <v>222</v>
      </c>
      <c r="C27" s="52"/>
      <c r="D27" s="52"/>
      <c r="E27" s="52"/>
      <c r="F27" s="52"/>
      <c r="G27" s="52"/>
      <c r="H27" s="52"/>
      <c r="I27" s="53">
        <f>'ANEXO 3 - CONSOLIDADO'!$E$47</f>
        <v>2857142.5999999996</v>
      </c>
      <c r="J27" s="53"/>
      <c r="K27" s="53"/>
      <c r="L27" s="53">
        <f>'ANEXO 3 - CONSOLIDADO'!$F$47</f>
        <v>35794282.400000006</v>
      </c>
      <c r="M27" s="53"/>
      <c r="N27" s="53"/>
      <c r="O27" s="53">
        <f>'ANEXO 3 - CONSOLIDADO'!$G$47</f>
        <v>33795768.249999993</v>
      </c>
      <c r="P27" s="53"/>
      <c r="Q27" s="53">
        <f>'ANEXO 3 - CONSOLIDADO'!$H$47</f>
        <v>72447193.25</v>
      </c>
      <c r="R27" s="53"/>
    </row>
    <row r="28" spans="2:18" x14ac:dyDescent="0.25">
      <c r="B28" s="54" t="s">
        <v>223</v>
      </c>
      <c r="C28" s="54"/>
      <c r="D28" s="54"/>
      <c r="E28" s="54"/>
      <c r="F28" s="54"/>
      <c r="G28" s="54"/>
      <c r="H28" s="54"/>
      <c r="I28" s="55">
        <f>I26+I27</f>
        <v>7639456.29</v>
      </c>
      <c r="J28" s="55"/>
      <c r="K28" s="55"/>
      <c r="L28" s="55">
        <f>L26+L27</f>
        <v>95707108.400000006</v>
      </c>
      <c r="M28" s="55"/>
      <c r="N28" s="55"/>
      <c r="O28" s="55">
        <f>O26+O27</f>
        <v>90363461.519999981</v>
      </c>
      <c r="P28" s="55"/>
      <c r="Q28" s="55">
        <f>Q26+Q27</f>
        <v>193710026.21000001</v>
      </c>
      <c r="R28" s="55"/>
    </row>
    <row r="30" spans="2:18" x14ac:dyDescent="0.25">
      <c r="B30" s="56" t="s">
        <v>224</v>
      </c>
      <c r="C30" s="56"/>
      <c r="D30" s="56"/>
      <c r="E30" s="56"/>
      <c r="F30" s="56"/>
      <c r="G30" s="56"/>
      <c r="H30" s="56"/>
      <c r="I30" s="56"/>
      <c r="J30" s="56"/>
      <c r="K30" s="56"/>
      <c r="L30" s="56"/>
      <c r="M30" s="56"/>
      <c r="N30" s="56"/>
      <c r="O30" s="57">
        <f>Q28</f>
        <v>193710026.21000001</v>
      </c>
      <c r="P30" s="57"/>
      <c r="Q30" s="57"/>
      <c r="R30" s="57"/>
    </row>
    <row r="31" spans="2:18" x14ac:dyDescent="0.25">
      <c r="B31" s="50" t="s">
        <v>225</v>
      </c>
      <c r="C31" s="50"/>
      <c r="D31" s="50"/>
      <c r="E31" s="50"/>
      <c r="F31" s="50"/>
      <c r="G31" s="50"/>
      <c r="H31" s="50"/>
      <c r="I31" s="50"/>
      <c r="J31" s="50"/>
      <c r="K31" s="50"/>
      <c r="L31" s="50"/>
      <c r="M31" s="50"/>
      <c r="N31" s="50"/>
      <c r="O31" s="58">
        <f>Q28-'ANEXO 3 - CONSOLIDADO'!$H$48</f>
        <v>0</v>
      </c>
      <c r="P31" s="58"/>
      <c r="Q31" s="58"/>
      <c r="R31" s="58"/>
    </row>
    <row r="33" spans="2:18" x14ac:dyDescent="0.25">
      <c r="B33" s="38" t="s">
        <v>226</v>
      </c>
    </row>
    <row r="34" spans="2:18" ht="42" customHeight="1" x14ac:dyDescent="0.25">
      <c r="B34" s="59" t="s">
        <v>227</v>
      </c>
      <c r="C34" s="59"/>
      <c r="D34" s="59"/>
      <c r="E34" s="59"/>
      <c r="F34" s="59"/>
      <c r="G34" s="59"/>
      <c r="H34" s="59"/>
      <c r="I34" s="59"/>
      <c r="J34" s="59"/>
      <c r="K34" s="59"/>
      <c r="L34" s="59"/>
      <c r="M34" s="59"/>
      <c r="N34" s="59"/>
      <c r="O34" s="59"/>
      <c r="P34" s="59"/>
      <c r="Q34" s="59"/>
      <c r="R34" s="59"/>
    </row>
    <row r="35" spans="2:18" ht="69.75" customHeight="1" x14ac:dyDescent="0.25">
      <c r="B35" s="59" t="s">
        <v>228</v>
      </c>
      <c r="C35" s="59"/>
      <c r="D35" s="59"/>
      <c r="E35" s="59"/>
      <c r="F35" s="59"/>
      <c r="G35" s="59"/>
      <c r="H35" s="59"/>
      <c r="I35" s="59"/>
      <c r="J35" s="59"/>
      <c r="K35" s="59"/>
      <c r="L35" s="59"/>
      <c r="M35" s="59"/>
      <c r="N35" s="59"/>
      <c r="O35" s="59"/>
      <c r="P35" s="59"/>
      <c r="Q35" s="59"/>
      <c r="R35" s="59"/>
    </row>
    <row r="36" spans="2:18" ht="42" customHeight="1" x14ac:dyDescent="0.25">
      <c r="B36" s="59" t="s">
        <v>229</v>
      </c>
      <c r="C36" s="59"/>
      <c r="D36" s="59"/>
      <c r="E36" s="59"/>
      <c r="F36" s="59"/>
      <c r="G36" s="59"/>
      <c r="H36" s="59"/>
      <c r="I36" s="59"/>
      <c r="J36" s="59"/>
      <c r="K36" s="59"/>
      <c r="L36" s="59"/>
      <c r="M36" s="59"/>
      <c r="N36" s="59"/>
      <c r="O36" s="59"/>
      <c r="P36" s="59"/>
      <c r="Q36" s="59"/>
      <c r="R36" s="59"/>
    </row>
    <row r="37" spans="2:18" ht="55.5" customHeight="1" x14ac:dyDescent="0.25">
      <c r="B37" s="59" t="s">
        <v>230</v>
      </c>
      <c r="C37" s="59"/>
      <c r="D37" s="59"/>
      <c r="E37" s="59"/>
      <c r="F37" s="59"/>
      <c r="G37" s="59"/>
      <c r="H37" s="59"/>
      <c r="I37" s="59"/>
      <c r="J37" s="59"/>
      <c r="K37" s="59"/>
      <c r="L37" s="59"/>
      <c r="M37" s="59"/>
      <c r="N37" s="59"/>
      <c r="O37" s="59"/>
      <c r="P37" s="59"/>
      <c r="Q37" s="59"/>
      <c r="R37" s="59"/>
    </row>
    <row r="38" spans="2:18" ht="42" customHeight="1" x14ac:dyDescent="0.25">
      <c r="B38" s="59" t="s">
        <v>231</v>
      </c>
      <c r="C38" s="59"/>
      <c r="D38" s="59"/>
      <c r="E38" s="59"/>
      <c r="F38" s="59"/>
      <c r="G38" s="59"/>
      <c r="H38" s="59"/>
      <c r="I38" s="59"/>
      <c r="J38" s="59"/>
      <c r="K38" s="59"/>
      <c r="L38" s="59"/>
      <c r="M38" s="59"/>
      <c r="N38" s="59"/>
      <c r="O38" s="59"/>
      <c r="P38" s="59"/>
      <c r="Q38" s="59"/>
      <c r="R38" s="59"/>
    </row>
    <row r="39" spans="2:18" ht="27.75" customHeight="1" x14ac:dyDescent="0.25">
      <c r="B39" s="59" t="s">
        <v>232</v>
      </c>
      <c r="C39" s="59"/>
      <c r="D39" s="59"/>
      <c r="E39" s="59"/>
      <c r="F39" s="59"/>
      <c r="G39" s="59"/>
      <c r="H39" s="59"/>
      <c r="I39" s="59"/>
      <c r="J39" s="59"/>
      <c r="K39" s="59"/>
      <c r="L39" s="59"/>
      <c r="M39" s="59"/>
      <c r="N39" s="59"/>
      <c r="O39" s="59"/>
      <c r="P39" s="59"/>
      <c r="Q39" s="59"/>
      <c r="R39" s="59"/>
    </row>
  </sheetData>
  <mergeCells count="48">
    <mergeCell ref="B35:R35"/>
    <mergeCell ref="B36:R36"/>
    <mergeCell ref="B37:R37"/>
    <mergeCell ref="B38:R38"/>
    <mergeCell ref="B39:R39"/>
    <mergeCell ref="B30:N30"/>
    <mergeCell ref="O30:R30"/>
    <mergeCell ref="B31:N31"/>
    <mergeCell ref="O31:R31"/>
    <mergeCell ref="B34:R34"/>
    <mergeCell ref="B28:H28"/>
    <mergeCell ref="I28:K28"/>
    <mergeCell ref="L28:N28"/>
    <mergeCell ref="O28:P28"/>
    <mergeCell ref="Q28:R28"/>
    <mergeCell ref="B27:H27"/>
    <mergeCell ref="I27:K27"/>
    <mergeCell ref="L27:N27"/>
    <mergeCell ref="O27:P27"/>
    <mergeCell ref="Q27:R27"/>
    <mergeCell ref="B26:H26"/>
    <mergeCell ref="I26:K26"/>
    <mergeCell ref="L26:N26"/>
    <mergeCell ref="O26:P26"/>
    <mergeCell ref="Q26:R26"/>
    <mergeCell ref="B24:R24"/>
    <mergeCell ref="B25:H25"/>
    <mergeCell ref="I25:K25"/>
    <mergeCell ref="L25:N25"/>
    <mergeCell ref="O25:P25"/>
    <mergeCell ref="Q25:R25"/>
    <mergeCell ref="M19:R19"/>
    <mergeCell ref="M20:R20"/>
    <mergeCell ref="M21:R21"/>
    <mergeCell ref="B22:F22"/>
    <mergeCell ref="M22:R22"/>
    <mergeCell ref="B13:H13"/>
    <mergeCell ref="B15:R15"/>
    <mergeCell ref="M16:R16"/>
    <mergeCell ref="M17:R17"/>
    <mergeCell ref="M18:R18"/>
    <mergeCell ref="B2:R2"/>
    <mergeCell ref="B3:D3"/>
    <mergeCell ref="E3:R3"/>
    <mergeCell ref="B5:R5"/>
    <mergeCell ref="F6:I6"/>
    <mergeCell ref="J6:M6"/>
    <mergeCell ref="N6:Q6"/>
  </mergeCells>
  <printOptions horizontalCentered="1"/>
  <pageMargins left="0.35" right="0.35" top="1" bottom="1" header="0.511811023622047" footer="0.511811023622047"/>
  <pageSetup fitToHeight="0" orientation="landscape"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F28"/>
  <sheetViews>
    <sheetView showGridLines="0" zoomScaleNormal="100" workbookViewId="0"/>
  </sheetViews>
  <sheetFormatPr baseColWidth="10" defaultColWidth="8.7109375" defaultRowHeight="15" x14ac:dyDescent="0.25"/>
  <cols>
    <col min="1" max="1" width="2" customWidth="1"/>
    <col min="2" max="2" width="22" customWidth="1"/>
    <col min="3" max="5" width="16" customWidth="1"/>
    <col min="6" max="6" width="70" customWidth="1"/>
  </cols>
  <sheetData>
    <row r="2" spans="2:6" ht="21.75" customHeight="1" x14ac:dyDescent="0.25">
      <c r="B2" s="44" t="s">
        <v>233</v>
      </c>
      <c r="C2" s="44"/>
      <c r="D2" s="44"/>
      <c r="E2" s="44"/>
      <c r="F2" s="44"/>
    </row>
    <row r="3" spans="2:6" x14ac:dyDescent="0.25">
      <c r="B3" s="60" t="s">
        <v>234</v>
      </c>
      <c r="C3" s="60"/>
      <c r="D3" s="60"/>
      <c r="E3" s="60"/>
      <c r="F3" s="60"/>
    </row>
    <row r="5" spans="2:6" ht="31.5" customHeight="1" x14ac:dyDescent="0.25">
      <c r="B5" s="6" t="s">
        <v>94</v>
      </c>
      <c r="C5" s="6" t="s">
        <v>235</v>
      </c>
      <c r="D5" s="6" t="s">
        <v>236</v>
      </c>
      <c r="E5" s="6" t="s">
        <v>237</v>
      </c>
      <c r="F5" s="6" t="s">
        <v>102</v>
      </c>
    </row>
    <row r="6" spans="2:6" x14ac:dyDescent="0.25">
      <c r="B6" s="1" t="s">
        <v>238</v>
      </c>
      <c r="C6" s="39">
        <v>138.97999999999999</v>
      </c>
      <c r="D6" s="39">
        <v>146.24</v>
      </c>
      <c r="E6" s="40">
        <v>154.07</v>
      </c>
      <c r="F6" s="5" t="s">
        <v>239</v>
      </c>
    </row>
    <row r="7" spans="2:6" x14ac:dyDescent="0.25">
      <c r="B7" s="1" t="s">
        <v>240</v>
      </c>
      <c r="C7" s="39">
        <v>140.49</v>
      </c>
      <c r="D7" s="39">
        <v>147.9</v>
      </c>
      <c r="E7" s="39">
        <v>155.72999999999999</v>
      </c>
      <c r="F7" s="5"/>
    </row>
    <row r="8" spans="2:6" x14ac:dyDescent="0.25">
      <c r="B8" s="1" t="s">
        <v>241</v>
      </c>
      <c r="C8" s="39">
        <v>141.47999999999999</v>
      </c>
      <c r="D8" s="39">
        <v>148.68</v>
      </c>
      <c r="E8" s="39">
        <v>156.94</v>
      </c>
      <c r="F8" s="5"/>
    </row>
    <row r="9" spans="2:6" x14ac:dyDescent="0.25">
      <c r="B9" s="1" t="s">
        <v>242</v>
      </c>
      <c r="C9" s="39">
        <v>142.32</v>
      </c>
      <c r="D9" s="39">
        <v>149.66</v>
      </c>
      <c r="E9" s="39">
        <v>158.16999999999999</v>
      </c>
      <c r="F9" s="5"/>
    </row>
    <row r="10" spans="2:6" x14ac:dyDescent="0.25">
      <c r="B10" s="1" t="s">
        <v>243</v>
      </c>
      <c r="C10" s="39">
        <v>142.91999999999999</v>
      </c>
      <c r="D10" s="39">
        <v>150.13999999999999</v>
      </c>
      <c r="E10" s="39">
        <v>158.91</v>
      </c>
      <c r="F10" s="5"/>
    </row>
    <row r="11" spans="2:6" x14ac:dyDescent="0.25">
      <c r="B11" s="1" t="s">
        <v>244</v>
      </c>
      <c r="C11" s="39">
        <v>143.38</v>
      </c>
      <c r="D11" s="39">
        <v>150.30000000000001</v>
      </c>
      <c r="E11" s="39">
        <v>159.53</v>
      </c>
      <c r="F11" s="5"/>
    </row>
    <row r="12" spans="2:6" x14ac:dyDescent="0.25">
      <c r="B12" s="1" t="s">
        <v>245</v>
      </c>
      <c r="C12" s="39">
        <v>143.66999999999999</v>
      </c>
      <c r="D12" s="39">
        <v>150.71</v>
      </c>
      <c r="E12" s="40">
        <v>159.79</v>
      </c>
      <c r="F12" s="5" t="s">
        <v>246</v>
      </c>
    </row>
    <row r="13" spans="2:6" x14ac:dyDescent="0.25">
      <c r="B13" s="1" t="s">
        <v>247</v>
      </c>
      <c r="C13" s="39">
        <v>143.66999999999999</v>
      </c>
      <c r="D13" s="39">
        <v>150.99</v>
      </c>
      <c r="E13" s="41" t="s">
        <v>248</v>
      </c>
      <c r="F13" s="5"/>
    </row>
    <row r="14" spans="2:6" x14ac:dyDescent="0.25">
      <c r="B14" s="1" t="s">
        <v>249</v>
      </c>
      <c r="C14" s="39">
        <v>144.02000000000001</v>
      </c>
      <c r="D14" s="39">
        <v>151.47999999999999</v>
      </c>
      <c r="E14" s="41" t="s">
        <v>248</v>
      </c>
      <c r="F14" s="5"/>
    </row>
    <row r="15" spans="2:6" x14ac:dyDescent="0.25">
      <c r="B15" s="1" t="s">
        <v>250</v>
      </c>
      <c r="C15" s="39">
        <v>143.83000000000001</v>
      </c>
      <c r="D15" s="39">
        <v>151.76</v>
      </c>
      <c r="E15" s="41" t="s">
        <v>248</v>
      </c>
      <c r="F15" s="5"/>
    </row>
    <row r="16" spans="2:6" x14ac:dyDescent="0.25">
      <c r="B16" s="1" t="s">
        <v>251</v>
      </c>
      <c r="C16" s="39">
        <v>144.22</v>
      </c>
      <c r="D16" s="39">
        <v>151.87</v>
      </c>
      <c r="E16" s="41" t="s">
        <v>248</v>
      </c>
      <c r="F16" s="5"/>
    </row>
    <row r="17" spans="2:6" x14ac:dyDescent="0.25">
      <c r="B17" s="1" t="s">
        <v>252</v>
      </c>
      <c r="C17" s="39">
        <v>144.88</v>
      </c>
      <c r="D17" s="40">
        <v>152.27000000000001</v>
      </c>
      <c r="E17" s="41" t="s">
        <v>248</v>
      </c>
      <c r="F17" s="5" t="s">
        <v>253</v>
      </c>
    </row>
    <row r="19" spans="2:6" x14ac:dyDescent="0.25">
      <c r="B19" s="47" t="s">
        <v>254</v>
      </c>
      <c r="C19" s="47"/>
      <c r="D19" s="47"/>
      <c r="E19" s="47"/>
      <c r="F19" s="47"/>
    </row>
    <row r="20" spans="2:6" ht="31.5" customHeight="1" x14ac:dyDescent="0.25">
      <c r="B20" s="6" t="s">
        <v>174</v>
      </c>
      <c r="C20" s="6" t="s">
        <v>255</v>
      </c>
      <c r="D20" s="6" t="s">
        <v>256</v>
      </c>
      <c r="E20" s="6" t="s">
        <v>56</v>
      </c>
      <c r="F20" s="6" t="s">
        <v>102</v>
      </c>
    </row>
    <row r="21" spans="2:6" ht="36" x14ac:dyDescent="0.25">
      <c r="B21" s="35" t="s">
        <v>257</v>
      </c>
      <c r="C21" s="18" t="s">
        <v>258</v>
      </c>
      <c r="D21" s="18" t="s">
        <v>259</v>
      </c>
      <c r="E21" s="42">
        <f>'ÍNDICES IPC'!$E$12/'ÍNDICES IPC'!$D$17</f>
        <v>1.0493859591515071</v>
      </c>
      <c r="F21" s="5" t="s">
        <v>260</v>
      </c>
    </row>
    <row r="22" spans="2:6" ht="36" x14ac:dyDescent="0.25">
      <c r="B22" s="35" t="s">
        <v>261</v>
      </c>
      <c r="C22" s="18" t="s">
        <v>262</v>
      </c>
      <c r="D22" s="18" t="s">
        <v>259</v>
      </c>
      <c r="E22" s="42">
        <f>'ÍNDICES IPC'!$E$12/'ÍNDICES IPC'!$E$6</f>
        <v>1.0371259816966314</v>
      </c>
      <c r="F22" s="5" t="s">
        <v>263</v>
      </c>
    </row>
    <row r="23" spans="2:6" ht="24" x14ac:dyDescent="0.25">
      <c r="B23" s="35" t="s">
        <v>264</v>
      </c>
      <c r="C23" s="18" t="s">
        <v>258</v>
      </c>
      <c r="D23" s="18" t="s">
        <v>259</v>
      </c>
      <c r="E23" s="43">
        <f>'ÍNDICES IPC'!$E$12/'ÍNDICES IPC'!$D$17-1</f>
        <v>4.9385959151507119E-2</v>
      </c>
      <c r="F23" s="5" t="s">
        <v>265</v>
      </c>
    </row>
    <row r="24" spans="2:6" ht="24" x14ac:dyDescent="0.25">
      <c r="B24" s="35" t="s">
        <v>266</v>
      </c>
      <c r="C24" s="18" t="s">
        <v>262</v>
      </c>
      <c r="D24" s="18" t="s">
        <v>259</v>
      </c>
      <c r="E24" s="43">
        <f>'ÍNDICES IPC'!$E$12/'ÍNDICES IPC'!$E$6-1</f>
        <v>3.7125981696631394E-2</v>
      </c>
      <c r="F24" s="5" t="s">
        <v>265</v>
      </c>
    </row>
    <row r="25" spans="2:6" ht="24" x14ac:dyDescent="0.25">
      <c r="B25" s="35" t="s">
        <v>267</v>
      </c>
      <c r="C25" s="18" t="s">
        <v>268</v>
      </c>
      <c r="D25" s="18" t="s">
        <v>258</v>
      </c>
      <c r="E25" s="43">
        <f>'ÍNDICES IPC'!$D$17/'ÍNDICES IPC'!$C$17-1</f>
        <v>5.1007730535615803E-2</v>
      </c>
      <c r="F25" s="5" t="s">
        <v>269</v>
      </c>
    </row>
    <row r="26" spans="2:6" x14ac:dyDescent="0.25">
      <c r="B26" s="35" t="s">
        <v>270</v>
      </c>
      <c r="C26" s="18" t="s">
        <v>271</v>
      </c>
      <c r="D26" s="18" t="s">
        <v>259</v>
      </c>
      <c r="E26" s="43">
        <f>'ÍNDICES IPC'!$E$12/'ÍNDICES IPC'!$D$12-1</f>
        <v>6.0248158715413558E-2</v>
      </c>
      <c r="F26" s="5" t="s">
        <v>272</v>
      </c>
    </row>
    <row r="28" spans="2:6" x14ac:dyDescent="0.25">
      <c r="B28" s="60" t="s">
        <v>273</v>
      </c>
      <c r="C28" s="60"/>
      <c r="D28" s="60"/>
      <c r="E28" s="60"/>
      <c r="F28" s="60"/>
    </row>
  </sheetData>
  <mergeCells count="4">
    <mergeCell ref="B2:F2"/>
    <mergeCell ref="B3:F3"/>
    <mergeCell ref="B19:F19"/>
    <mergeCell ref="B28:F28"/>
  </mergeCells>
  <printOptions horizontalCentered="1"/>
  <pageMargins left="0.35" right="0.35" top="1" bottom="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PORTADA</vt:lpstr>
      <vt:lpstr>ANEXO 1 - COTIZACIONES</vt:lpstr>
      <vt:lpstr>ANEXO 2 - HISTÓRICO</vt:lpstr>
      <vt:lpstr>ANEXO 3 - CONSOLIDADO</vt:lpstr>
      <vt:lpstr>ANEXO 4 - MERCADO DEFINITIVO</vt:lpstr>
      <vt:lpstr>ÍNDICES IPC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Ivan Felipe Uribe Ospina</cp:lastModifiedBy>
  <cp:revision>0</cp:revision>
  <dcterms:created xsi:type="dcterms:W3CDTF">2026-09-03T19:19:15Z</dcterms:created>
  <dcterms:modified xsi:type="dcterms:W3CDTF">2026-09-24T20:18:32Z</dcterms:modified>
  <dc:language>en-US</dc:language>
</cp:coreProperties>
</file>