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3.69.23\respaldo o copia\2026\3.CONTRATACION 2026\Ecónomica Elizabeth Cortes\DUPLA MARCELA Y ELIZABETH\PROCESOS ESTRUCTURADOS\065 - MC MATERIALES DE CONSTRUCCIÓN\"/>
    </mc:Choice>
  </mc:AlternateContent>
  <xr:revisionPtr revIDLastSave="0" documentId="13_ncr:1_{340F95E5-B979-44FB-B381-2F96D2470986}" xr6:coauthVersionLast="36" xr6:coauthVersionMax="36" xr10:uidLastSave="{00000000-0000-0000-0000-000000000000}"/>
  <bookViews>
    <workbookView xWindow="0" yWindow="0" windowWidth="28800" windowHeight="11505" activeTab="3" xr2:uid="{98D08161-9E63-42A5-A4E2-720D9A3E809B}"/>
  </bookViews>
  <sheets>
    <sheet name="COTIZACIONES" sheetId="1" r:id="rId1"/>
    <sheet name="METRICA" sheetId="2" r:id="rId2"/>
    <sheet name="PRECIO DE REFERENCIA" sheetId="3" r:id="rId3"/>
    <sheet name="CUBRIMIENTO DE LA NECESIDAD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4" l="1"/>
  <c r="M25" i="4" s="1"/>
  <c r="F25" i="4"/>
  <c r="I24" i="4"/>
  <c r="M24" i="4" s="1"/>
  <c r="F24" i="4"/>
  <c r="I23" i="4"/>
  <c r="I16" i="4"/>
  <c r="M16" i="4" s="1"/>
  <c r="F16" i="4"/>
  <c r="I15" i="4"/>
  <c r="N6" i="4"/>
  <c r="O6" i="4" s="1"/>
  <c r="N7" i="4"/>
  <c r="O7" i="4" s="1"/>
  <c r="N8" i="4"/>
  <c r="O8" i="4" s="1"/>
  <c r="N5" i="4"/>
  <c r="O5" i="4" s="1"/>
  <c r="I6" i="4"/>
  <c r="M6" i="4" s="1"/>
  <c r="I7" i="4"/>
  <c r="M7" i="4" s="1"/>
  <c r="I8" i="4"/>
  <c r="K8" i="4" s="1"/>
  <c r="I5" i="4"/>
  <c r="M5" i="4" s="1"/>
  <c r="F6" i="4"/>
  <c r="F7" i="4"/>
  <c r="F8" i="4"/>
  <c r="F5" i="4"/>
  <c r="I4" i="4"/>
  <c r="K24" i="4" l="1"/>
  <c r="L8" i="4"/>
  <c r="O9" i="4"/>
  <c r="O10" i="4" s="1"/>
  <c r="K25" i="4"/>
  <c r="K5" i="4"/>
  <c r="L5" i="4" s="1"/>
  <c r="M8" i="4"/>
  <c r="K7" i="4"/>
  <c r="L7" i="4" s="1"/>
  <c r="K6" i="4"/>
  <c r="L6" i="4" s="1"/>
  <c r="K16" i="4"/>
  <c r="O13" i="3" l="1"/>
  <c r="P13" i="3" s="1"/>
  <c r="O12" i="3"/>
  <c r="P12" i="3" s="1"/>
  <c r="O10" i="3"/>
  <c r="P10" i="3" s="1"/>
  <c r="O7" i="3"/>
  <c r="P7" i="3" s="1"/>
  <c r="O6" i="3"/>
  <c r="P6" i="3" s="1"/>
  <c r="O5" i="3"/>
  <c r="P5" i="3" s="1"/>
  <c r="O4" i="3"/>
  <c r="P4" i="3" s="1"/>
  <c r="X4" i="2"/>
  <c r="Y5" i="2"/>
  <c r="Y6" i="2"/>
  <c r="Y7" i="2"/>
  <c r="Y9" i="2"/>
  <c r="Y11" i="2"/>
  <c r="Y12" i="2"/>
  <c r="Y4" i="2"/>
  <c r="X5" i="2"/>
  <c r="X6" i="2"/>
  <c r="X7" i="2"/>
  <c r="X9" i="2"/>
  <c r="X11" i="2"/>
  <c r="X12" i="2"/>
  <c r="W5" i="2"/>
  <c r="W6" i="2"/>
  <c r="W7" i="2"/>
  <c r="W9" i="2"/>
  <c r="W11" i="2"/>
  <c r="W12" i="2"/>
  <c r="W4" i="2"/>
  <c r="V5" i="2"/>
  <c r="V6" i="2"/>
  <c r="V7" i="2"/>
  <c r="V9" i="2"/>
  <c r="V11" i="2"/>
  <c r="V12" i="2"/>
  <c r="V4" i="2"/>
  <c r="R5" i="2"/>
  <c r="S5" i="2"/>
  <c r="T5" i="2"/>
  <c r="U5" i="2"/>
  <c r="R6" i="2"/>
  <c r="S6" i="2"/>
  <c r="T6" i="2"/>
  <c r="U6" i="2"/>
  <c r="R7" i="2"/>
  <c r="S7" i="2"/>
  <c r="T7" i="2"/>
  <c r="U7" i="2"/>
  <c r="R9" i="2"/>
  <c r="S9" i="2"/>
  <c r="T9" i="2"/>
  <c r="U9" i="2"/>
  <c r="R11" i="2"/>
  <c r="S11" i="2"/>
  <c r="T11" i="2"/>
  <c r="U11" i="2"/>
  <c r="R12" i="2"/>
  <c r="S12" i="2"/>
  <c r="T12" i="2"/>
  <c r="U12" i="2"/>
  <c r="U4" i="2"/>
  <c r="T4" i="2"/>
  <c r="S4" i="2"/>
  <c r="R4" i="2"/>
  <c r="S4" i="3" l="1"/>
  <c r="R4" i="3"/>
  <c r="Q4" i="3"/>
  <c r="V4" i="3"/>
  <c r="U4" i="3"/>
  <c r="T4" i="3"/>
  <c r="S5" i="3"/>
  <c r="V5" i="3"/>
  <c r="R5" i="3"/>
  <c r="Q5" i="3"/>
  <c r="U5" i="3"/>
  <c r="T5" i="3"/>
  <c r="V6" i="3"/>
  <c r="U6" i="3"/>
  <c r="S6" i="3"/>
  <c r="T6" i="3"/>
  <c r="R6" i="3"/>
  <c r="Q6" i="3"/>
  <c r="Q7" i="3"/>
  <c r="V7" i="3"/>
  <c r="U7" i="3"/>
  <c r="T7" i="3"/>
  <c r="S7" i="3"/>
  <c r="R7" i="3"/>
  <c r="R10" i="3"/>
  <c r="Q10" i="3"/>
  <c r="T10" i="3"/>
  <c r="V10" i="3"/>
  <c r="U10" i="3"/>
  <c r="S10" i="3"/>
  <c r="R12" i="3"/>
  <c r="W12" i="3" s="1"/>
  <c r="V12" i="3"/>
  <c r="U12" i="3"/>
  <c r="T12" i="3"/>
  <c r="S12" i="3"/>
  <c r="Q12" i="3"/>
  <c r="V13" i="3"/>
  <c r="U13" i="3"/>
  <c r="R13" i="3"/>
  <c r="T13" i="3"/>
  <c r="S13" i="3"/>
  <c r="Q13" i="3"/>
  <c r="W5" i="3" l="1"/>
  <c r="Z5" i="3" s="1"/>
  <c r="X12" i="3"/>
  <c r="Z12" i="3"/>
  <c r="W10" i="3"/>
  <c r="W7" i="3"/>
  <c r="W13" i="3"/>
  <c r="W4" i="3"/>
  <c r="X4" i="3" s="1"/>
  <c r="Y4" i="3" s="1"/>
  <c r="W6" i="3"/>
  <c r="Y12" i="3" l="1"/>
  <c r="G24" i="4"/>
  <c r="N24" i="4" s="1"/>
  <c r="X5" i="3"/>
  <c r="Y5" i="3" s="1"/>
  <c r="X6" i="3"/>
  <c r="Y6" i="3" s="1"/>
  <c r="Z6" i="3"/>
  <c r="Z4" i="3"/>
  <c r="Z13" i="3"/>
  <c r="X13" i="3"/>
  <c r="X7" i="3"/>
  <c r="Y7" i="3" s="1"/>
  <c r="Z7" i="3"/>
  <c r="Z10" i="3"/>
  <c r="X10" i="3"/>
  <c r="Y13" i="3" l="1"/>
  <c r="G25" i="4"/>
  <c r="N25" i="4" s="1"/>
  <c r="Y10" i="3"/>
  <c r="G16" i="4"/>
  <c r="N16" i="4" s="1"/>
  <c r="O24" i="4"/>
  <c r="L24" i="4"/>
  <c r="Y14" i="3"/>
  <c r="O16" i="4" l="1"/>
  <c r="O17" i="4" s="1"/>
  <c r="O18" i="4" s="1"/>
  <c r="L16" i="4"/>
  <c r="O25" i="4"/>
  <c r="O26" i="4" s="1"/>
  <c r="O27" i="4" s="1"/>
  <c r="L25" i="4"/>
  <c r="M13" i="2"/>
  <c r="I13" i="2"/>
  <c r="O12" i="2"/>
  <c r="P12" i="2" s="1"/>
  <c r="Q12" i="2" s="1"/>
  <c r="P11" i="2"/>
  <c r="Q11" i="2" s="1"/>
  <c r="O11" i="2"/>
  <c r="O9" i="2"/>
  <c r="P9" i="2" s="1"/>
  <c r="Q9" i="2" s="1"/>
  <c r="O7" i="2"/>
  <c r="P7" i="2" s="1"/>
  <c r="Q7" i="2" s="1"/>
  <c r="Q6" i="2"/>
  <c r="P6" i="2"/>
  <c r="O6" i="2"/>
  <c r="O5" i="2"/>
  <c r="P5" i="2" s="1"/>
  <c r="Q5" i="2" s="1"/>
  <c r="P4" i="2"/>
  <c r="Q4" i="2" s="1"/>
  <c r="Q13" i="2" s="1"/>
  <c r="O4" i="2"/>
  <c r="I13" i="1"/>
  <c r="M13" i="1"/>
  <c r="O7" i="1"/>
  <c r="O6" i="1"/>
  <c r="P6" i="1" s="1"/>
  <c r="Q6" i="1" s="1"/>
  <c r="O5" i="1"/>
  <c r="O4" i="1"/>
  <c r="P4" i="1" s="1"/>
  <c r="Q4" i="1" s="1"/>
  <c r="P5" i="1"/>
  <c r="Q5" i="1" s="1"/>
  <c r="P7" i="1"/>
  <c r="Q7" i="1" s="1"/>
  <c r="O9" i="1"/>
  <c r="P9" i="1"/>
  <c r="Q9" i="1" s="1"/>
  <c r="O11" i="1"/>
  <c r="P11" i="1" s="1"/>
  <c r="Q11" i="1" s="1"/>
  <c r="O12" i="1"/>
  <c r="P12" i="1" s="1"/>
  <c r="Q12" i="1" s="1"/>
  <c r="Q13" i="1" l="1"/>
</calcChain>
</file>

<file path=xl/sharedStrings.xml><?xml version="1.0" encoding="utf-8"?>
<sst xmlns="http://schemas.openxmlformats.org/spreadsheetml/2006/main" count="199" uniqueCount="52">
  <si>
    <t>CODIGOS UNSPC</t>
  </si>
  <si>
    <t>DESCRIPCIÓN</t>
  </si>
  <si>
    <t>UNIDAD DE MEDIDA</t>
  </si>
  <si>
    <t>CANTIDAD</t>
  </si>
  <si>
    <t xml:space="preserve">Tabla burra o tablon de 25 CM x 2.5 CM n x 3 metros de largo  </t>
  </si>
  <si>
    <t>UND</t>
  </si>
  <si>
    <t>Madero cuadrado de 15x15 CM de 3 metros de largo</t>
  </si>
  <si>
    <t xml:space="preserve">Madero cuadrado 20x20 cm de 3 mt de largo </t>
  </si>
  <si>
    <t>Madero rollizo de 9 CM de diámetro x 110 CM de largo</t>
  </si>
  <si>
    <t>ROLLO PLÁSTICO NEGRO 2M ANCHOXCAL6X100M</t>
  </si>
  <si>
    <t>RLL</t>
  </si>
  <si>
    <t>SACOS TERREROS</t>
  </si>
  <si>
    <t>ROLLOS POLISOMBRAS 35%X4MTSX40MTS</t>
  </si>
  <si>
    <t>PROVEEDOR: FERREPLÁSTICOS CALI SAS</t>
  </si>
  <si>
    <t>VALOR SIN IVA</t>
  </si>
  <si>
    <t>VALOR IVA SI APLICA</t>
  </si>
  <si>
    <t>VALOR UNITARIO TOTAL</t>
  </si>
  <si>
    <t>TOTAL</t>
  </si>
  <si>
    <t xml:space="preserve">PROVEEDOR: FERROPLAS VALLE SAS </t>
  </si>
  <si>
    <t xml:space="preserve">PROVEEDOR: BEKIMET SOLUCIONES SAS </t>
  </si>
  <si>
    <t xml:space="preserve">VALOR TOTAL </t>
  </si>
  <si>
    <t>ITEM</t>
  </si>
  <si>
    <t xml:space="preserve">A-02-01-01-003-001 PRODUCTOS DE MADERA, CORHCHO, CESTERIA Y ESPARTERÍA </t>
  </si>
  <si>
    <t xml:space="preserve">A-02-02-01-003-006 PRODUCTOS DE CAUCHO Y PLÁSTICO </t>
  </si>
  <si>
    <t>A-02-02-01-003-005 OTROS PRODUTOS QUIMICOS; FIBRAS ARTIFICIALES (O FIBRAS INDUSTRIALES HECHAS POR EL HOMBRE)</t>
  </si>
  <si>
    <t xml:space="preserve">TOTAL INCLUIDO IVA </t>
  </si>
  <si>
    <t>MENOR VALOR COTIZADO</t>
  </si>
  <si>
    <t>PROMEDIO</t>
  </si>
  <si>
    <t>MEDIA ARMONICA COTIZACIONES</t>
  </si>
  <si>
    <t>MEDIA GEOMETRICA</t>
  </si>
  <si>
    <t>DESVIACION</t>
  </si>
  <si>
    <t>DISPERSION %</t>
  </si>
  <si>
    <t xml:space="preserve">
PRECIO DE REFERENCIA 
VALOR UNITARIO INCLUIDO IVA</t>
  </si>
  <si>
    <t>METRICA UTILIZADA</t>
  </si>
  <si>
    <t xml:space="preserve">VALOR UNITARIO  INCLUIDO IVA </t>
  </si>
  <si>
    <t xml:space="preserve">TOTAL </t>
  </si>
  <si>
    <t>VALOR UNITARIO INCLUIDO IVA</t>
  </si>
  <si>
    <t>FUDRA</t>
  </si>
  <si>
    <t xml:space="preserve">CANTIDAD TOTAL </t>
  </si>
  <si>
    <t xml:space="preserve">CANTIDADES MINIMAS A ADQUIRIR </t>
  </si>
  <si>
    <t xml:space="preserve">CANTIDADES 
ADQUIRIR MINIMAS </t>
  </si>
  <si>
    <t xml:space="preserve">% DE COBERTURA </t>
  </si>
  <si>
    <t xml:space="preserve">VALOR TOTAL  IVA INCLUIDO </t>
  </si>
  <si>
    <t>item</t>
  </si>
  <si>
    <t>codigo unspsc</t>
  </si>
  <si>
    <t xml:space="preserve">desripción </t>
  </si>
  <si>
    <t>unidad de medida</t>
  </si>
  <si>
    <t>PRECIO DE REFERENCIA INCLUIDO IVA</t>
  </si>
  <si>
    <t>PRESUPUESTO AUTORIZADO</t>
  </si>
  <si>
    <t xml:space="preserve">LIMITACIÓN </t>
  </si>
  <si>
    <t xml:space="preserve">VALOR DE LA LIMITACIÓN </t>
  </si>
  <si>
    <t xml:space="preserve">SOBRANTE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</si>
</sst>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7" formatCode="0.0%"/>
    <numFmt numFmtId="168" formatCode="_-* #,##0_-;\-* #,##0_-;_-* &quot;-&quot;??_-;_-@_-"/>
    <numFmt numFmtId="169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Arial Narrow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9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2" borderId="1" xfId="2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0" fillId="0" borderId="0" xfId="2" applyFont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4" fontId="0" fillId="0" borderId="1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0" xfId="0" applyNumberForma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3" fillId="2" borderId="9" xfId="2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4" fontId="0" fillId="0" borderId="9" xfId="2" applyFont="1" applyBorder="1" applyAlignment="1">
      <alignment vertical="center"/>
    </xf>
    <xf numFmtId="44" fontId="0" fillId="0" borderId="10" xfId="2" applyFont="1" applyBorder="1" applyAlignment="1">
      <alignment vertical="center"/>
    </xf>
    <xf numFmtId="44" fontId="0" fillId="0" borderId="11" xfId="2" applyFont="1" applyBorder="1" applyAlignment="1">
      <alignment vertical="center"/>
    </xf>
    <xf numFmtId="44" fontId="0" fillId="0" borderId="12" xfId="2" applyFont="1" applyBorder="1" applyAlignment="1">
      <alignment vertical="center"/>
    </xf>
    <xf numFmtId="44" fontId="0" fillId="0" borderId="13" xfId="2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44" fontId="4" fillId="0" borderId="9" xfId="2" applyFont="1" applyBorder="1" applyAlignment="1">
      <alignment horizontal="center" vertical="center" wrapText="1"/>
    </xf>
    <xf numFmtId="44" fontId="4" fillId="0" borderId="10" xfId="2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164" fontId="3" fillId="2" borderId="5" xfId="2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4" fontId="0" fillId="0" borderId="0" xfId="2" applyNumberFormat="1" applyFont="1" applyAlignment="1">
      <alignment vertical="center"/>
    </xf>
    <xf numFmtId="9" fontId="0" fillId="0" borderId="0" xfId="3" applyFont="1" applyAlignment="1">
      <alignment vertical="center"/>
    </xf>
    <xf numFmtId="167" fontId="0" fillId="0" borderId="0" xfId="3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4" fontId="3" fillId="2" borderId="1" xfId="2" applyFont="1" applyFill="1" applyBorder="1" applyAlignment="1">
      <alignment horizontal="center" vertical="center" wrapText="1"/>
    </xf>
    <xf numFmtId="44" fontId="3" fillId="2" borderId="1" xfId="2" applyNumberFormat="1" applyFont="1" applyFill="1" applyBorder="1" applyAlignment="1">
      <alignment horizontal="center" vertical="center" wrapText="1"/>
    </xf>
    <xf numFmtId="167" fontId="3" fillId="2" borderId="1" xfId="3" applyNumberFormat="1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44" fontId="0" fillId="0" borderId="1" xfId="2" applyNumberFormat="1" applyFont="1" applyBorder="1" applyAlignment="1">
      <alignment vertical="center"/>
    </xf>
    <xf numFmtId="167" fontId="0" fillId="0" borderId="1" xfId="3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8" fontId="6" fillId="4" borderId="1" xfId="1" applyNumberFormat="1" applyFont="1" applyFill="1" applyBorder="1" applyAlignment="1">
      <alignment horizontal="center" vertical="center" wrapText="1"/>
    </xf>
    <xf numFmtId="9" fontId="6" fillId="4" borderId="1" xfId="3" applyFont="1" applyFill="1" applyBorder="1" applyAlignment="1">
      <alignment horizontal="center" vertical="center" wrapText="1"/>
    </xf>
    <xf numFmtId="164" fontId="6" fillId="4" borderId="1" xfId="4" applyNumberFormat="1" applyFont="1" applyFill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2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9" fontId="0" fillId="0" borderId="1" xfId="3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4" fontId="2" fillId="5" borderId="1" xfId="0" applyNumberFormat="1" applyFont="1" applyFill="1" applyBorder="1" applyAlignment="1">
      <alignment vertical="center"/>
    </xf>
    <xf numFmtId="8" fontId="0" fillId="0" borderId="0" xfId="0" applyNumberFormat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44" fontId="6" fillId="4" borderId="2" xfId="0" applyNumberFormat="1" applyFont="1" applyFill="1" applyBorder="1" applyAlignment="1">
      <alignment horizontal="center" vertical="center" wrapText="1"/>
    </xf>
    <xf numFmtId="44" fontId="6" fillId="4" borderId="4" xfId="0" applyNumberFormat="1" applyFont="1" applyFill="1" applyBorder="1" applyAlignment="1">
      <alignment horizontal="center" vertical="center" wrapText="1"/>
    </xf>
    <xf numFmtId="44" fontId="6" fillId="4" borderId="5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</cellXfs>
  <cellStyles count="5">
    <cellStyle name="Millares" xfId="1" builtinId="3"/>
    <cellStyle name="Moneda" xfId="2" builtinId="4"/>
    <cellStyle name="Moneda 2" xfId="4" xr:uid="{E71CE769-FACA-413A-BA85-59FF3DC8292C}"/>
    <cellStyle name="Normal" xfId="0" builtinId="0"/>
    <cellStyle name="Porcentaje" xfId="3" builtinId="5"/>
  </cellStyles>
  <dxfs count="4"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2815D-B7C8-4D14-9A38-B2BC9375D237}">
  <dimension ref="A1:Q13"/>
  <sheetViews>
    <sheetView workbookViewId="0">
      <selection activeCell="G2" sqref="G1:G1048576"/>
    </sheetView>
  </sheetViews>
  <sheetFormatPr baseColWidth="10" defaultRowHeight="15" x14ac:dyDescent="0.25"/>
  <cols>
    <col min="1" max="1" width="11.42578125" style="6" customWidth="1"/>
    <col min="2" max="2" width="11.42578125" style="6"/>
    <col min="3" max="3" width="14.5703125" style="6" customWidth="1"/>
    <col min="4" max="5" width="11.42578125" style="6" customWidth="1"/>
    <col min="6" max="6" width="15.42578125" style="6" bestFit="1" customWidth="1"/>
    <col min="7" max="7" width="12" style="6" bestFit="1" customWidth="1"/>
    <col min="8" max="8" width="13" style="6" bestFit="1" customWidth="1"/>
    <col min="9" max="9" width="16.7109375" style="6" bestFit="1" customWidth="1"/>
    <col min="10" max="10" width="13" style="6" bestFit="1" customWidth="1"/>
    <col min="11" max="11" width="12" style="6" bestFit="1" customWidth="1"/>
    <col min="12" max="12" width="13" style="6" bestFit="1" customWidth="1"/>
    <col min="13" max="13" width="16.7109375" style="6" bestFit="1" customWidth="1"/>
    <col min="14" max="16" width="13" style="6" bestFit="1" customWidth="1"/>
    <col min="17" max="17" width="16.7109375" style="6" customWidth="1"/>
    <col min="18" max="16384" width="11.42578125" style="6"/>
  </cols>
  <sheetData>
    <row r="1" spans="1:17" x14ac:dyDescent="0.25">
      <c r="A1" s="34" t="s">
        <v>21</v>
      </c>
      <c r="B1" s="35" t="s">
        <v>0</v>
      </c>
      <c r="C1" s="35" t="s">
        <v>1</v>
      </c>
      <c r="D1" s="35" t="s">
        <v>2</v>
      </c>
      <c r="E1" s="36" t="s">
        <v>3</v>
      </c>
      <c r="F1" s="32" t="s">
        <v>13</v>
      </c>
      <c r="G1" s="14"/>
      <c r="H1" s="14"/>
      <c r="I1" s="15"/>
      <c r="J1" s="13" t="s">
        <v>18</v>
      </c>
      <c r="K1" s="14"/>
      <c r="L1" s="14"/>
      <c r="M1" s="15"/>
      <c r="N1" s="13" t="s">
        <v>19</v>
      </c>
      <c r="O1" s="14"/>
      <c r="P1" s="14"/>
      <c r="Q1" s="15"/>
    </row>
    <row r="2" spans="1:17" ht="39" thickBot="1" x14ac:dyDescent="0.3">
      <c r="A2" s="37"/>
      <c r="B2" s="38"/>
      <c r="C2" s="38"/>
      <c r="D2" s="38"/>
      <c r="E2" s="39"/>
      <c r="F2" s="33" t="s">
        <v>14</v>
      </c>
      <c r="G2" s="4" t="s">
        <v>15</v>
      </c>
      <c r="H2" s="1" t="s">
        <v>16</v>
      </c>
      <c r="I2" s="17" t="s">
        <v>17</v>
      </c>
      <c r="J2" s="16" t="s">
        <v>14</v>
      </c>
      <c r="K2" s="4" t="s">
        <v>15</v>
      </c>
      <c r="L2" s="1" t="s">
        <v>16</v>
      </c>
      <c r="M2" s="17" t="s">
        <v>17</v>
      </c>
      <c r="N2" s="16" t="s">
        <v>14</v>
      </c>
      <c r="O2" s="4" t="s">
        <v>15</v>
      </c>
      <c r="P2" s="1" t="s">
        <v>16</v>
      </c>
      <c r="Q2" s="17" t="s">
        <v>17</v>
      </c>
    </row>
    <row r="3" spans="1:17" x14ac:dyDescent="0.25">
      <c r="A3" s="29" t="s">
        <v>22</v>
      </c>
      <c r="B3" s="29"/>
      <c r="C3" s="29"/>
      <c r="D3" s="29"/>
      <c r="E3" s="2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</row>
    <row r="4" spans="1:17" ht="51" x14ac:dyDescent="0.25">
      <c r="A4" s="2">
        <v>1</v>
      </c>
      <c r="B4" s="2">
        <v>30102904</v>
      </c>
      <c r="C4" s="9" t="s">
        <v>4</v>
      </c>
      <c r="D4" s="2" t="s">
        <v>5</v>
      </c>
      <c r="E4" s="23">
        <v>109</v>
      </c>
      <c r="F4" s="24">
        <v>56190</v>
      </c>
      <c r="G4" s="5">
        <v>2809.5</v>
      </c>
      <c r="H4" s="5">
        <v>58999.5</v>
      </c>
      <c r="I4" s="25">
        <v>6430945.5</v>
      </c>
      <c r="J4" s="18">
        <v>60123</v>
      </c>
      <c r="K4" s="10">
        <v>3006.15</v>
      </c>
      <c r="L4" s="10">
        <v>63129.15</v>
      </c>
      <c r="M4" s="19">
        <v>6881077.3500000006</v>
      </c>
      <c r="N4" s="18">
        <v>59300</v>
      </c>
      <c r="O4" s="10">
        <f>+N4*5/100</f>
        <v>2965</v>
      </c>
      <c r="P4" s="10">
        <f>+N4+O4</f>
        <v>62265</v>
      </c>
      <c r="Q4" s="19">
        <f>+P4*E4</f>
        <v>6786885</v>
      </c>
    </row>
    <row r="5" spans="1:17" ht="51" x14ac:dyDescent="0.25">
      <c r="A5" s="2">
        <v>2</v>
      </c>
      <c r="B5" s="2">
        <v>3010600</v>
      </c>
      <c r="C5" s="9" t="s">
        <v>6</v>
      </c>
      <c r="D5" s="2" t="s">
        <v>5</v>
      </c>
      <c r="E5" s="23">
        <v>72</v>
      </c>
      <c r="F5" s="24">
        <v>314286</v>
      </c>
      <c r="G5" s="5">
        <v>15714.300000000001</v>
      </c>
      <c r="H5" s="5">
        <v>330000.3</v>
      </c>
      <c r="I5" s="25">
        <v>23760021.599999998</v>
      </c>
      <c r="J5" s="18">
        <v>336286</v>
      </c>
      <c r="K5" s="10">
        <v>16814.3</v>
      </c>
      <c r="L5" s="10">
        <v>353100.3</v>
      </c>
      <c r="M5" s="19">
        <v>25423221.599999998</v>
      </c>
      <c r="N5" s="18">
        <v>324000</v>
      </c>
      <c r="O5" s="10">
        <f>+N5*5/100</f>
        <v>16200</v>
      </c>
      <c r="P5" s="10">
        <f t="shared" ref="P5:P12" si="0">+N5+O5</f>
        <v>340200</v>
      </c>
      <c r="Q5" s="19">
        <f t="shared" ref="Q5:Q12" si="1">+P5*E5</f>
        <v>24494400</v>
      </c>
    </row>
    <row r="6" spans="1:17" ht="51" x14ac:dyDescent="0.25">
      <c r="A6" s="2">
        <v>3</v>
      </c>
      <c r="B6" s="2">
        <v>3010600</v>
      </c>
      <c r="C6" s="9" t="s">
        <v>7</v>
      </c>
      <c r="D6" s="2" t="s">
        <v>5</v>
      </c>
      <c r="E6" s="23">
        <v>80</v>
      </c>
      <c r="F6" s="24">
        <v>548571</v>
      </c>
      <c r="G6" s="5">
        <v>27428.550000000003</v>
      </c>
      <c r="H6" s="5">
        <v>575999.55000000005</v>
      </c>
      <c r="I6" s="25">
        <v>46079964</v>
      </c>
      <c r="J6" s="18">
        <v>586970</v>
      </c>
      <c r="K6" s="10">
        <v>29348.5</v>
      </c>
      <c r="L6" s="10">
        <v>616318.5</v>
      </c>
      <c r="M6" s="19">
        <v>49305480</v>
      </c>
      <c r="N6" s="18">
        <v>567000</v>
      </c>
      <c r="O6" s="10">
        <f>+N6*5/100</f>
        <v>28350</v>
      </c>
      <c r="P6" s="10">
        <f t="shared" si="0"/>
        <v>595350</v>
      </c>
      <c r="Q6" s="19">
        <f t="shared" si="1"/>
        <v>47628000</v>
      </c>
    </row>
    <row r="7" spans="1:17" ht="51" x14ac:dyDescent="0.25">
      <c r="A7" s="2">
        <v>4</v>
      </c>
      <c r="B7" s="2">
        <v>3010600</v>
      </c>
      <c r="C7" s="9" t="s">
        <v>8</v>
      </c>
      <c r="D7" s="2" t="s">
        <v>5</v>
      </c>
      <c r="E7" s="23">
        <v>10</v>
      </c>
      <c r="F7" s="24">
        <v>85714</v>
      </c>
      <c r="G7" s="5">
        <v>4285.7</v>
      </c>
      <c r="H7" s="5">
        <v>89999.7</v>
      </c>
      <c r="I7" s="25">
        <v>899997</v>
      </c>
      <c r="J7" s="18">
        <v>91713</v>
      </c>
      <c r="K7" s="10">
        <v>4585.6500000000005</v>
      </c>
      <c r="L7" s="10">
        <v>96298.65</v>
      </c>
      <c r="M7" s="19">
        <v>962986.5</v>
      </c>
      <c r="N7" s="18">
        <v>89000</v>
      </c>
      <c r="O7" s="10">
        <f>+N7*5/100</f>
        <v>4450</v>
      </c>
      <c r="P7" s="10">
        <f t="shared" si="0"/>
        <v>93450</v>
      </c>
      <c r="Q7" s="19">
        <f t="shared" si="1"/>
        <v>934500</v>
      </c>
    </row>
    <row r="8" spans="1:17" x14ac:dyDescent="0.25">
      <c r="A8" s="30" t="s">
        <v>23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</row>
    <row r="9" spans="1:17" ht="63.75" x14ac:dyDescent="0.25">
      <c r="A9" s="2">
        <v>5</v>
      </c>
      <c r="B9" s="2">
        <v>31211504</v>
      </c>
      <c r="C9" s="9" t="s">
        <v>9</v>
      </c>
      <c r="D9" s="2" t="s">
        <v>10</v>
      </c>
      <c r="E9" s="23">
        <v>20</v>
      </c>
      <c r="F9" s="24">
        <v>441176</v>
      </c>
      <c r="G9" s="5">
        <v>83823.44</v>
      </c>
      <c r="H9" s="5">
        <v>524999.43999999994</v>
      </c>
      <c r="I9" s="25">
        <v>10499988.799999999</v>
      </c>
      <c r="J9" s="18">
        <v>472058</v>
      </c>
      <c r="K9" s="10">
        <v>89691.02</v>
      </c>
      <c r="L9" s="10">
        <v>561749.02</v>
      </c>
      <c r="M9" s="19">
        <v>11234980.4</v>
      </c>
      <c r="N9" s="18">
        <v>466000</v>
      </c>
      <c r="O9" s="10">
        <f t="shared" ref="O9:O12" si="2">+N9*19/100</f>
        <v>88540</v>
      </c>
      <c r="P9" s="10">
        <f t="shared" si="0"/>
        <v>554540</v>
      </c>
      <c r="Q9" s="19">
        <f t="shared" si="1"/>
        <v>11090800</v>
      </c>
    </row>
    <row r="10" spans="1:17" x14ac:dyDescent="0.25">
      <c r="A10" s="30" t="s">
        <v>24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1"/>
    </row>
    <row r="11" spans="1:17" ht="25.5" x14ac:dyDescent="0.25">
      <c r="A11" s="2">
        <v>6</v>
      </c>
      <c r="B11" s="2">
        <v>24121500</v>
      </c>
      <c r="C11" s="9" t="s">
        <v>11</v>
      </c>
      <c r="D11" s="2" t="s">
        <v>5</v>
      </c>
      <c r="E11" s="23">
        <v>45000</v>
      </c>
      <c r="F11" s="24">
        <v>1345</v>
      </c>
      <c r="G11" s="5">
        <v>255.55</v>
      </c>
      <c r="H11" s="5">
        <v>1600.55</v>
      </c>
      <c r="I11" s="25">
        <v>72024750</v>
      </c>
      <c r="J11" s="18">
        <v>1439</v>
      </c>
      <c r="K11" s="10">
        <v>273.41000000000003</v>
      </c>
      <c r="L11" s="10">
        <v>1712.41</v>
      </c>
      <c r="M11" s="19">
        <v>77058450</v>
      </c>
      <c r="N11" s="18">
        <v>1386</v>
      </c>
      <c r="O11" s="10">
        <f t="shared" si="2"/>
        <v>263.33999999999997</v>
      </c>
      <c r="P11" s="10">
        <f t="shared" si="0"/>
        <v>1649.34</v>
      </c>
      <c r="Q11" s="19">
        <f t="shared" si="1"/>
        <v>74220300</v>
      </c>
    </row>
    <row r="12" spans="1:17" ht="51.75" thickBot="1" x14ac:dyDescent="0.3">
      <c r="A12" s="2">
        <v>7</v>
      </c>
      <c r="B12" s="2">
        <v>1162111</v>
      </c>
      <c r="C12" s="9" t="s">
        <v>12</v>
      </c>
      <c r="D12" s="2" t="s">
        <v>10</v>
      </c>
      <c r="E12" s="23">
        <v>72</v>
      </c>
      <c r="F12" s="20">
        <v>245378</v>
      </c>
      <c r="G12" s="21">
        <v>46621.82</v>
      </c>
      <c r="H12" s="21">
        <v>291999.82</v>
      </c>
      <c r="I12" s="22">
        <v>21023987.039999999</v>
      </c>
      <c r="J12" s="20">
        <v>262554</v>
      </c>
      <c r="K12" s="21">
        <v>49885.26</v>
      </c>
      <c r="L12" s="21">
        <v>312439.26</v>
      </c>
      <c r="M12" s="22">
        <v>22495626.719999999</v>
      </c>
      <c r="N12" s="20">
        <v>243000</v>
      </c>
      <c r="O12" s="21">
        <f t="shared" si="2"/>
        <v>46170</v>
      </c>
      <c r="P12" s="21">
        <f t="shared" si="0"/>
        <v>289170</v>
      </c>
      <c r="Q12" s="22">
        <f t="shared" si="1"/>
        <v>20820240</v>
      </c>
    </row>
    <row r="13" spans="1:17" x14ac:dyDescent="0.25">
      <c r="A13" s="26" t="s">
        <v>20</v>
      </c>
      <c r="B13" s="26"/>
      <c r="C13" s="26"/>
      <c r="D13" s="26"/>
      <c r="E13" s="26"/>
      <c r="I13" s="12">
        <f>SUM(I4:I12)</f>
        <v>180719653.93999997</v>
      </c>
      <c r="M13" s="12">
        <f>SUM(M4:M12)</f>
        <v>193361822.57000002</v>
      </c>
      <c r="Q13" s="12">
        <f>SUM(Q4:Q12)</f>
        <v>185975125</v>
      </c>
    </row>
  </sheetData>
  <mergeCells count="12">
    <mergeCell ref="A3:Q3"/>
    <mergeCell ref="A8:Q8"/>
    <mergeCell ref="A10:Q10"/>
    <mergeCell ref="F1:I1"/>
    <mergeCell ref="J1:M1"/>
    <mergeCell ref="N1:Q1"/>
    <mergeCell ref="A13:E13"/>
    <mergeCell ref="E1:E2"/>
    <mergeCell ref="D1:D2"/>
    <mergeCell ref="C1:C2"/>
    <mergeCell ref="B1:B2"/>
    <mergeCell ref="A1:A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78FDE-3E19-405C-B622-5D690433F595}">
  <dimension ref="A1:Y13"/>
  <sheetViews>
    <sheetView workbookViewId="0">
      <selection activeCell="T1" activeCellId="3" sqref="X1:X1048576 V1:V1048576 U1:U1048576 H1:T1048576"/>
    </sheetView>
  </sheetViews>
  <sheetFormatPr baseColWidth="10" defaultRowHeight="15" x14ac:dyDescent="0.25"/>
  <cols>
    <col min="1" max="2" width="11.42578125" style="6"/>
    <col min="3" max="3" width="21.28515625" style="6" customWidth="1"/>
    <col min="4" max="5" width="11.42578125" style="6"/>
    <col min="6" max="6" width="15.42578125" style="6" hidden="1" customWidth="1"/>
    <col min="7" max="7" width="12" style="6" hidden="1" customWidth="1"/>
    <col min="8" max="8" width="15" style="6" customWidth="1"/>
    <col min="9" max="9" width="16.7109375" style="6" hidden="1" customWidth="1"/>
    <col min="10" max="10" width="13" style="6" hidden="1" customWidth="1"/>
    <col min="11" max="11" width="12" style="6" hidden="1" customWidth="1"/>
    <col min="12" max="12" width="14.140625" style="6" customWidth="1"/>
    <col min="13" max="13" width="16.7109375" style="6" hidden="1" customWidth="1"/>
    <col min="14" max="14" width="12.7109375" style="6" hidden="1" customWidth="1"/>
    <col min="15" max="15" width="2.85546875" style="6" hidden="1" customWidth="1"/>
    <col min="16" max="16" width="15.42578125" style="6" customWidth="1"/>
    <col min="17" max="17" width="16.7109375" style="6" hidden="1" customWidth="1"/>
    <col min="18" max="19" width="15.5703125" style="6" bestFit="1" customWidth="1"/>
    <col min="20" max="20" width="15.28515625" style="7" customWidth="1"/>
    <col min="21" max="21" width="13" style="40" customWidth="1"/>
    <col min="22" max="22" width="13" style="7" customWidth="1"/>
    <col min="23" max="23" width="13" style="42" customWidth="1"/>
    <col min="24" max="24" width="13" style="7" customWidth="1"/>
    <col min="25" max="25" width="13" style="6" customWidth="1"/>
    <col min="26" max="16384" width="11.42578125" style="6"/>
  </cols>
  <sheetData>
    <row r="1" spans="1:25" ht="57.75" customHeight="1" x14ac:dyDescent="0.25">
      <c r="A1" s="28" t="s">
        <v>21</v>
      </c>
      <c r="B1" s="28" t="s">
        <v>0</v>
      </c>
      <c r="C1" s="28" t="s">
        <v>1</v>
      </c>
      <c r="D1" s="28" t="s">
        <v>2</v>
      </c>
      <c r="E1" s="28" t="s">
        <v>3</v>
      </c>
      <c r="F1" s="43" t="s">
        <v>13</v>
      </c>
      <c r="G1" s="43"/>
      <c r="H1" s="43"/>
      <c r="I1" s="43"/>
      <c r="J1" s="43" t="s">
        <v>18</v>
      </c>
      <c r="K1" s="43"/>
      <c r="L1" s="43"/>
      <c r="M1" s="43"/>
      <c r="N1" s="43" t="s">
        <v>19</v>
      </c>
      <c r="O1" s="43"/>
      <c r="P1" s="43"/>
      <c r="Q1" s="43"/>
      <c r="R1" s="28" t="s">
        <v>26</v>
      </c>
      <c r="S1" s="28" t="s">
        <v>27</v>
      </c>
      <c r="T1" s="44" t="s">
        <v>28</v>
      </c>
      <c r="U1" s="45" t="s">
        <v>29</v>
      </c>
      <c r="V1" s="44" t="s">
        <v>30</v>
      </c>
      <c r="W1" s="46" t="s">
        <v>31</v>
      </c>
      <c r="X1" s="44" t="s">
        <v>32</v>
      </c>
      <c r="Y1" s="28" t="s">
        <v>33</v>
      </c>
    </row>
    <row r="2" spans="1:25" ht="165.75" x14ac:dyDescent="0.25">
      <c r="A2" s="28"/>
      <c r="B2" s="28"/>
      <c r="C2" s="28"/>
      <c r="D2" s="28"/>
      <c r="E2" s="28"/>
      <c r="F2" s="3" t="s">
        <v>14</v>
      </c>
      <c r="G2" s="4" t="s">
        <v>15</v>
      </c>
      <c r="H2" s="1" t="s">
        <v>34</v>
      </c>
      <c r="I2" s="1" t="s">
        <v>25</v>
      </c>
      <c r="J2" s="3" t="s">
        <v>14</v>
      </c>
      <c r="K2" s="4" t="s">
        <v>15</v>
      </c>
      <c r="L2" s="1" t="s">
        <v>34</v>
      </c>
      <c r="M2" s="1" t="s">
        <v>25</v>
      </c>
      <c r="N2" s="3" t="s">
        <v>14</v>
      </c>
      <c r="O2" s="4" t="s">
        <v>15</v>
      </c>
      <c r="P2" s="1" t="s">
        <v>34</v>
      </c>
      <c r="Q2" s="1" t="s">
        <v>25</v>
      </c>
      <c r="R2" s="28"/>
      <c r="S2" s="28"/>
      <c r="T2" s="44"/>
      <c r="U2" s="45"/>
      <c r="V2" s="44"/>
      <c r="W2" s="46"/>
      <c r="X2" s="44"/>
      <c r="Y2" s="28"/>
    </row>
    <row r="3" spans="1:25" ht="15" customHeight="1" x14ac:dyDescent="0.25">
      <c r="A3" s="28" t="s">
        <v>22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38.25" x14ac:dyDescent="0.25">
      <c r="A4" s="2">
        <v>1</v>
      </c>
      <c r="B4" s="2">
        <v>30102904</v>
      </c>
      <c r="C4" s="9" t="s">
        <v>4</v>
      </c>
      <c r="D4" s="2" t="s">
        <v>5</v>
      </c>
      <c r="E4" s="2">
        <v>109</v>
      </c>
      <c r="F4" s="5">
        <v>56190</v>
      </c>
      <c r="G4" s="5">
        <v>2809.5</v>
      </c>
      <c r="H4" s="5">
        <v>58999.5</v>
      </c>
      <c r="I4" s="5">
        <v>6430945.5</v>
      </c>
      <c r="J4" s="10">
        <v>60123</v>
      </c>
      <c r="K4" s="10">
        <v>3006.15</v>
      </c>
      <c r="L4" s="10">
        <v>63129.15</v>
      </c>
      <c r="M4" s="10">
        <v>6881077.3500000006</v>
      </c>
      <c r="N4" s="10">
        <v>59300</v>
      </c>
      <c r="O4" s="10">
        <f>+N4*5/100</f>
        <v>2965</v>
      </c>
      <c r="P4" s="10">
        <f>+N4+O4</f>
        <v>62265</v>
      </c>
      <c r="Q4" s="10">
        <f>+P4*E4</f>
        <v>6786885</v>
      </c>
      <c r="R4" s="47">
        <f>MIN(H4,L4,P4)</f>
        <v>58999.5</v>
      </c>
      <c r="S4" s="47">
        <f>AVERAGE(H4,L4,P4)</f>
        <v>61464.549999999996</v>
      </c>
      <c r="T4" s="10">
        <f>HARMEAN(H4,L4,P4)</f>
        <v>61412.203092688746</v>
      </c>
      <c r="U4" s="48">
        <f>GEOMEAN(H4,L4,P4)</f>
        <v>61438.521381396691</v>
      </c>
      <c r="V4" s="10">
        <f>_xlfn.STDEV.S(H4,L4,P4)</f>
        <v>2178.0822832253152</v>
      </c>
      <c r="W4" s="49">
        <f>1-(R4/U4)</f>
        <v>3.9698569017567742E-2</v>
      </c>
      <c r="X4" s="10">
        <f>ROUND(+IF(W4&lt;=20%,R4,IF(V4&lt;=60%,U4,IF(O34&lt;=90%,N34,IF(O34&lt;=100%,L34)))),0)</f>
        <v>59000</v>
      </c>
      <c r="Y4" s="51" t="str">
        <f>+IF(W4&lt;=20%,"MENOR VALOR",IF(W4&lt;=60%,"MEDIA ARMONICA",IF(W4&lt;=90%,"MEDIA GEOMETRICA","MENOR VALOR")))</f>
        <v>MENOR VALOR</v>
      </c>
    </row>
    <row r="5" spans="1:25" ht="38.25" x14ac:dyDescent="0.25">
      <c r="A5" s="2">
        <v>2</v>
      </c>
      <c r="B5" s="2">
        <v>3010600</v>
      </c>
      <c r="C5" s="9" t="s">
        <v>6</v>
      </c>
      <c r="D5" s="2" t="s">
        <v>5</v>
      </c>
      <c r="E5" s="2">
        <v>72</v>
      </c>
      <c r="F5" s="5">
        <v>314286</v>
      </c>
      <c r="G5" s="5">
        <v>15714.300000000001</v>
      </c>
      <c r="H5" s="5">
        <v>330000.3</v>
      </c>
      <c r="I5" s="5">
        <v>23760021.599999998</v>
      </c>
      <c r="J5" s="10">
        <v>336286</v>
      </c>
      <c r="K5" s="10">
        <v>16814.3</v>
      </c>
      <c r="L5" s="10">
        <v>353100.3</v>
      </c>
      <c r="M5" s="10">
        <v>25423221.599999998</v>
      </c>
      <c r="N5" s="10">
        <v>324000</v>
      </c>
      <c r="O5" s="10">
        <f>+N5*5/100</f>
        <v>16200</v>
      </c>
      <c r="P5" s="10">
        <f t="shared" ref="P5:P12" si="0">+N5+O5</f>
        <v>340200</v>
      </c>
      <c r="Q5" s="10">
        <f t="shared" ref="Q5:Q12" si="1">+P5*E5</f>
        <v>24494400</v>
      </c>
      <c r="R5" s="47">
        <f t="shared" ref="R5:R12" si="2">MIN(H5,L5,P5)</f>
        <v>330000.3</v>
      </c>
      <c r="S5" s="47">
        <f t="shared" ref="S5:S12" si="3">AVERAGE(H5,L5,P5)</f>
        <v>341100.2</v>
      </c>
      <c r="T5" s="10">
        <f t="shared" ref="T5:T12" si="4">HARMEAN(H5,L5,P5)</f>
        <v>340839.21267200529</v>
      </c>
      <c r="U5" s="48">
        <f t="shared" ref="U5:U12" si="5">GEOMEAN(H5,L5,P5)</f>
        <v>340969.53462663351</v>
      </c>
      <c r="V5" s="10">
        <f t="shared" ref="V5:V12" si="6">_xlfn.STDEV.S(H5,L5,P5)</f>
        <v>11576.280492023334</v>
      </c>
      <c r="W5" s="49">
        <f t="shared" ref="W5:W12" si="7">1-(R5/U5)</f>
        <v>3.217071765266355E-2</v>
      </c>
      <c r="X5" s="10">
        <f t="shared" ref="X5:X12" si="8">ROUND(+IF(W5&lt;=20%,R5,IF(V5&lt;=60%,U5,IF(O35&lt;=90%,N35,IF(O35&lt;=100%,L35)))),0)</f>
        <v>330000</v>
      </c>
      <c r="Y5" s="51" t="str">
        <f t="shared" ref="Y5:Y12" si="9">+IF(W5&lt;=20%,"MENOR VALOR",IF(W5&lt;=60%,"MEDIA ARMONICA",IF(W5&lt;=90%,"MEDIA GEOMETRICA","MENOR VALOR")))</f>
        <v>MENOR VALOR</v>
      </c>
    </row>
    <row r="6" spans="1:25" ht="25.5" x14ac:dyDescent="0.25">
      <c r="A6" s="2">
        <v>3</v>
      </c>
      <c r="B6" s="2">
        <v>3010600</v>
      </c>
      <c r="C6" s="9" t="s">
        <v>7</v>
      </c>
      <c r="D6" s="2" t="s">
        <v>5</v>
      </c>
      <c r="E6" s="2">
        <v>80</v>
      </c>
      <c r="F6" s="5">
        <v>548571</v>
      </c>
      <c r="G6" s="5">
        <v>27428.550000000003</v>
      </c>
      <c r="H6" s="5">
        <v>575999.55000000005</v>
      </c>
      <c r="I6" s="5">
        <v>46079964</v>
      </c>
      <c r="J6" s="10">
        <v>586970</v>
      </c>
      <c r="K6" s="10">
        <v>29348.5</v>
      </c>
      <c r="L6" s="10">
        <v>616318.5</v>
      </c>
      <c r="M6" s="10">
        <v>49305480</v>
      </c>
      <c r="N6" s="10">
        <v>567000</v>
      </c>
      <c r="O6" s="10">
        <f>+N6*5/100</f>
        <v>28350</v>
      </c>
      <c r="P6" s="10">
        <f t="shared" si="0"/>
        <v>595350</v>
      </c>
      <c r="Q6" s="10">
        <f t="shared" si="1"/>
        <v>47628000</v>
      </c>
      <c r="R6" s="47">
        <f t="shared" si="2"/>
        <v>575999.55000000005</v>
      </c>
      <c r="S6" s="47">
        <f t="shared" si="3"/>
        <v>595889.35</v>
      </c>
      <c r="T6" s="10">
        <f t="shared" si="4"/>
        <v>595434.87412396364</v>
      </c>
      <c r="U6" s="48">
        <f t="shared" si="5"/>
        <v>595662.00921385607</v>
      </c>
      <c r="V6" s="10">
        <f t="shared" si="6"/>
        <v>20164.885471841862</v>
      </c>
      <c r="W6" s="49">
        <f t="shared" si="7"/>
        <v>3.3009422977648306E-2</v>
      </c>
      <c r="X6" s="10">
        <f t="shared" si="8"/>
        <v>576000</v>
      </c>
      <c r="Y6" s="51" t="str">
        <f t="shared" si="9"/>
        <v>MENOR VALOR</v>
      </c>
    </row>
    <row r="7" spans="1:25" ht="38.25" x14ac:dyDescent="0.25">
      <c r="A7" s="2">
        <v>4</v>
      </c>
      <c r="B7" s="2">
        <v>3010600</v>
      </c>
      <c r="C7" s="9" t="s">
        <v>8</v>
      </c>
      <c r="D7" s="2" t="s">
        <v>5</v>
      </c>
      <c r="E7" s="2">
        <v>10</v>
      </c>
      <c r="F7" s="5">
        <v>85714</v>
      </c>
      <c r="G7" s="5">
        <v>4285.7</v>
      </c>
      <c r="H7" s="5">
        <v>89999.7</v>
      </c>
      <c r="I7" s="5">
        <v>899997</v>
      </c>
      <c r="J7" s="10">
        <v>91713</v>
      </c>
      <c r="K7" s="10">
        <v>4585.6500000000005</v>
      </c>
      <c r="L7" s="10">
        <v>96298.65</v>
      </c>
      <c r="M7" s="10">
        <v>962986.5</v>
      </c>
      <c r="N7" s="10">
        <v>89000</v>
      </c>
      <c r="O7" s="10">
        <f>+N7*5/100</f>
        <v>4450</v>
      </c>
      <c r="P7" s="10">
        <f t="shared" si="0"/>
        <v>93450</v>
      </c>
      <c r="Q7" s="10">
        <f t="shared" si="1"/>
        <v>934500</v>
      </c>
      <c r="R7" s="47">
        <f t="shared" si="2"/>
        <v>89999.7</v>
      </c>
      <c r="S7" s="47">
        <f t="shared" si="3"/>
        <v>93249.45</v>
      </c>
      <c r="T7" s="10">
        <f t="shared" si="4"/>
        <v>93178.063459509722</v>
      </c>
      <c r="U7" s="48">
        <f t="shared" si="5"/>
        <v>93213.794802001139</v>
      </c>
      <c r="V7" s="10">
        <f t="shared" si="6"/>
        <v>3154.2602940309148</v>
      </c>
      <c r="W7" s="49">
        <f t="shared" si="7"/>
        <v>3.4480892112892958E-2</v>
      </c>
      <c r="X7" s="10">
        <f t="shared" si="8"/>
        <v>90000</v>
      </c>
      <c r="Y7" s="51" t="str">
        <f t="shared" si="9"/>
        <v>MENOR VALOR</v>
      </c>
    </row>
    <row r="8" spans="1:25" x14ac:dyDescent="0.25">
      <c r="A8" s="28" t="s">
        <v>23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ht="38.25" x14ac:dyDescent="0.25">
      <c r="A9" s="2">
        <v>5</v>
      </c>
      <c r="B9" s="2">
        <v>31211504</v>
      </c>
      <c r="C9" s="9" t="s">
        <v>9</v>
      </c>
      <c r="D9" s="2" t="s">
        <v>10</v>
      </c>
      <c r="E9" s="2">
        <v>20</v>
      </c>
      <c r="F9" s="5">
        <v>441176</v>
      </c>
      <c r="G9" s="5">
        <v>83823.44</v>
      </c>
      <c r="H9" s="5">
        <v>524999.43999999994</v>
      </c>
      <c r="I9" s="5">
        <v>10499988.799999999</v>
      </c>
      <c r="J9" s="10">
        <v>472058</v>
      </c>
      <c r="K9" s="10">
        <v>89691.02</v>
      </c>
      <c r="L9" s="10">
        <v>561749.02</v>
      </c>
      <c r="M9" s="10">
        <v>11234980.4</v>
      </c>
      <c r="N9" s="10">
        <v>466000</v>
      </c>
      <c r="O9" s="10">
        <f t="shared" ref="O9:O12" si="10">+N9*19/100</f>
        <v>88540</v>
      </c>
      <c r="P9" s="10">
        <f t="shared" si="0"/>
        <v>554540</v>
      </c>
      <c r="Q9" s="10">
        <f t="shared" si="1"/>
        <v>11090800</v>
      </c>
      <c r="R9" s="47">
        <f t="shared" si="2"/>
        <v>524999.43999999994</v>
      </c>
      <c r="S9" s="47">
        <f t="shared" si="3"/>
        <v>547096.15333333332</v>
      </c>
      <c r="T9" s="10">
        <f t="shared" si="4"/>
        <v>546625.83732934273</v>
      </c>
      <c r="U9" s="48">
        <f t="shared" si="5"/>
        <v>546862.33677354851</v>
      </c>
      <c r="V9" s="10">
        <f t="shared" si="6"/>
        <v>19472.828439693469</v>
      </c>
      <c r="W9" s="49">
        <f t="shared" si="7"/>
        <v>3.9978794119445493E-2</v>
      </c>
      <c r="X9" s="10">
        <f t="shared" si="8"/>
        <v>524999</v>
      </c>
      <c r="Y9" s="51" t="str">
        <f t="shared" si="9"/>
        <v>MENOR VALOR</v>
      </c>
    </row>
    <row r="10" spans="1:25" x14ac:dyDescent="0.25">
      <c r="A10" s="28" t="s">
        <v>24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x14ac:dyDescent="0.25">
      <c r="A11" s="2">
        <v>6</v>
      </c>
      <c r="B11" s="2">
        <v>24121500</v>
      </c>
      <c r="C11" s="9" t="s">
        <v>11</v>
      </c>
      <c r="D11" s="2" t="s">
        <v>5</v>
      </c>
      <c r="E11" s="2">
        <v>45000</v>
      </c>
      <c r="F11" s="5">
        <v>1345</v>
      </c>
      <c r="G11" s="5">
        <v>255.55</v>
      </c>
      <c r="H11" s="5">
        <v>1600.55</v>
      </c>
      <c r="I11" s="5">
        <v>72024750</v>
      </c>
      <c r="J11" s="10">
        <v>1439</v>
      </c>
      <c r="K11" s="10">
        <v>273.41000000000003</v>
      </c>
      <c r="L11" s="10">
        <v>1712.41</v>
      </c>
      <c r="M11" s="10">
        <v>77058450</v>
      </c>
      <c r="N11" s="10">
        <v>1386</v>
      </c>
      <c r="O11" s="10">
        <f t="shared" si="10"/>
        <v>263.33999999999997</v>
      </c>
      <c r="P11" s="10">
        <f t="shared" si="0"/>
        <v>1649.34</v>
      </c>
      <c r="Q11" s="10">
        <f t="shared" si="1"/>
        <v>74220300</v>
      </c>
      <c r="R11" s="47">
        <f t="shared" si="2"/>
        <v>1600.55</v>
      </c>
      <c r="S11" s="47">
        <f t="shared" si="3"/>
        <v>1654.1000000000001</v>
      </c>
      <c r="T11" s="10">
        <f t="shared" si="4"/>
        <v>1652.8373273992295</v>
      </c>
      <c r="U11" s="48">
        <f t="shared" si="5"/>
        <v>1653.4677585954407</v>
      </c>
      <c r="V11" s="10">
        <f t="shared" si="6"/>
        <v>56.0817091394334</v>
      </c>
      <c r="W11" s="49">
        <f t="shared" si="7"/>
        <v>3.2004106714722091E-2</v>
      </c>
      <c r="X11" s="10">
        <f t="shared" si="8"/>
        <v>1601</v>
      </c>
      <c r="Y11" s="51" t="str">
        <f t="shared" si="9"/>
        <v>MENOR VALOR</v>
      </c>
    </row>
    <row r="12" spans="1:25" ht="38.25" x14ac:dyDescent="0.25">
      <c r="A12" s="2">
        <v>7</v>
      </c>
      <c r="B12" s="2">
        <v>1162111</v>
      </c>
      <c r="C12" s="9" t="s">
        <v>12</v>
      </c>
      <c r="D12" s="2" t="s">
        <v>10</v>
      </c>
      <c r="E12" s="2">
        <v>72</v>
      </c>
      <c r="F12" s="10">
        <v>245378</v>
      </c>
      <c r="G12" s="10">
        <v>46621.82</v>
      </c>
      <c r="H12" s="10">
        <v>291999.82</v>
      </c>
      <c r="I12" s="10">
        <v>21023987.039999999</v>
      </c>
      <c r="J12" s="10">
        <v>262554</v>
      </c>
      <c r="K12" s="10">
        <v>49885.26</v>
      </c>
      <c r="L12" s="10">
        <v>312439.26</v>
      </c>
      <c r="M12" s="10">
        <v>22495626.719999999</v>
      </c>
      <c r="N12" s="10">
        <v>243000</v>
      </c>
      <c r="O12" s="10">
        <f t="shared" si="10"/>
        <v>46170</v>
      </c>
      <c r="P12" s="10">
        <f t="shared" si="0"/>
        <v>289170</v>
      </c>
      <c r="Q12" s="10">
        <f t="shared" si="1"/>
        <v>20820240</v>
      </c>
      <c r="R12" s="47">
        <f t="shared" si="2"/>
        <v>289170</v>
      </c>
      <c r="S12" s="47">
        <f t="shared" si="3"/>
        <v>297869.69333333336</v>
      </c>
      <c r="T12" s="10">
        <f t="shared" si="4"/>
        <v>297517.06724916294</v>
      </c>
      <c r="U12" s="48">
        <f t="shared" si="5"/>
        <v>297691.98349478451</v>
      </c>
      <c r="V12" s="10">
        <f t="shared" si="6"/>
        <v>12696.699372235818</v>
      </c>
      <c r="W12" s="49">
        <f t="shared" si="7"/>
        <v>2.8626849116794584E-2</v>
      </c>
      <c r="X12" s="10">
        <f t="shared" si="8"/>
        <v>289170</v>
      </c>
      <c r="Y12" s="51" t="str">
        <f t="shared" si="9"/>
        <v>MENOR VALOR</v>
      </c>
    </row>
    <row r="13" spans="1:25" x14ac:dyDescent="0.25">
      <c r="A13" s="50"/>
      <c r="B13" s="50"/>
      <c r="C13" s="50"/>
      <c r="D13" s="50"/>
      <c r="E13" s="50"/>
      <c r="I13" s="12">
        <f>SUM(I4:I12)</f>
        <v>180719653.93999997</v>
      </c>
      <c r="M13" s="12">
        <f>SUM(M4:M12)</f>
        <v>193361822.57000002</v>
      </c>
      <c r="Q13" s="12">
        <f>SUM(Q4:Q12)</f>
        <v>185975125</v>
      </c>
    </row>
  </sheetData>
  <mergeCells count="19">
    <mergeCell ref="X1:X2"/>
    <mergeCell ref="Y1:Y2"/>
    <mergeCell ref="R1:R2"/>
    <mergeCell ref="S1:S2"/>
    <mergeCell ref="T1:T2"/>
    <mergeCell ref="U1:U2"/>
    <mergeCell ref="V1:V2"/>
    <mergeCell ref="W1:W2"/>
    <mergeCell ref="J1:M1"/>
    <mergeCell ref="N1:Q1"/>
    <mergeCell ref="A3:Y3"/>
    <mergeCell ref="A8:Y8"/>
    <mergeCell ref="A10:Y10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F7208-0083-4322-84BC-D072B22657FD}">
  <dimension ref="A1:Z14"/>
  <sheetViews>
    <sheetView workbookViewId="0">
      <selection activeCell="Y1" sqref="Y1:Y1048576"/>
    </sheetView>
  </sheetViews>
  <sheetFormatPr baseColWidth="10" defaultRowHeight="15" x14ac:dyDescent="0.25"/>
  <cols>
    <col min="1" max="2" width="11.42578125" style="6"/>
    <col min="3" max="3" width="34.28515625" style="6" customWidth="1"/>
    <col min="4" max="5" width="11.42578125" style="6"/>
    <col min="6" max="6" width="15.42578125" style="6" hidden="1" customWidth="1"/>
    <col min="7" max="7" width="12" style="6" hidden="1" customWidth="1"/>
    <col min="8" max="8" width="15" style="6" hidden="1" customWidth="1"/>
    <col min="9" max="9" width="16.7109375" style="6" hidden="1" customWidth="1"/>
    <col min="10" max="10" width="13" style="6" hidden="1" customWidth="1"/>
    <col min="11" max="11" width="12" style="6" hidden="1" customWidth="1"/>
    <col min="12" max="12" width="14.140625" style="6" hidden="1" customWidth="1"/>
    <col min="13" max="13" width="16.7109375" style="6" hidden="1" customWidth="1"/>
    <col min="14" max="14" width="12.7109375" style="6" hidden="1" customWidth="1"/>
    <col min="15" max="15" width="2.85546875" style="6" hidden="1" customWidth="1"/>
    <col min="16" max="16" width="15.42578125" style="6" hidden="1" customWidth="1"/>
    <col min="17" max="17" width="16.7109375" style="6" hidden="1" customWidth="1"/>
    <col min="18" max="19" width="15.5703125" style="6" hidden="1" customWidth="1"/>
    <col min="20" max="20" width="15.28515625" style="7" hidden="1" customWidth="1"/>
    <col min="21" max="21" width="13" style="40" hidden="1" customWidth="1"/>
    <col min="22" max="22" width="13" style="7" hidden="1" customWidth="1"/>
    <col min="23" max="23" width="13" style="42" hidden="1" customWidth="1"/>
    <col min="24" max="24" width="15.85546875" style="7" customWidth="1"/>
    <col min="25" max="25" width="16.7109375" style="7" bestFit="1" customWidth="1"/>
    <col min="26" max="26" width="13" style="6" hidden="1" customWidth="1"/>
    <col min="27" max="16384" width="11.42578125" style="6"/>
  </cols>
  <sheetData>
    <row r="1" spans="1:26" x14ac:dyDescent="0.25">
      <c r="A1" s="28" t="s">
        <v>21</v>
      </c>
      <c r="B1" s="28" t="s">
        <v>0</v>
      </c>
      <c r="C1" s="28" t="s">
        <v>1</v>
      </c>
      <c r="D1" s="28" t="s">
        <v>2</v>
      </c>
      <c r="E1" s="28" t="s">
        <v>3</v>
      </c>
      <c r="F1" s="43" t="s">
        <v>13</v>
      </c>
      <c r="G1" s="43"/>
      <c r="H1" s="43"/>
      <c r="I1" s="43"/>
      <c r="J1" s="43" t="s">
        <v>18</v>
      </c>
      <c r="K1" s="43"/>
      <c r="L1" s="43"/>
      <c r="M1" s="43"/>
      <c r="N1" s="43" t="s">
        <v>19</v>
      </c>
      <c r="O1" s="43"/>
      <c r="P1" s="43"/>
      <c r="Q1" s="43"/>
      <c r="R1" s="28" t="s">
        <v>26</v>
      </c>
      <c r="S1" s="28" t="s">
        <v>27</v>
      </c>
      <c r="T1" s="44" t="s">
        <v>28</v>
      </c>
      <c r="U1" s="45" t="s">
        <v>29</v>
      </c>
      <c r="V1" s="44" t="s">
        <v>30</v>
      </c>
      <c r="W1" s="46" t="s">
        <v>31</v>
      </c>
      <c r="X1" s="44" t="s">
        <v>32</v>
      </c>
      <c r="Y1" s="44" t="s">
        <v>35</v>
      </c>
      <c r="Z1" s="28" t="s">
        <v>33</v>
      </c>
    </row>
    <row r="2" spans="1:26" ht="85.5" customHeight="1" x14ac:dyDescent="0.25">
      <c r="A2" s="28"/>
      <c r="B2" s="28"/>
      <c r="C2" s="28"/>
      <c r="D2" s="28"/>
      <c r="E2" s="28"/>
      <c r="F2" s="3" t="s">
        <v>14</v>
      </c>
      <c r="G2" s="4" t="s">
        <v>15</v>
      </c>
      <c r="H2" s="1" t="s">
        <v>34</v>
      </c>
      <c r="I2" s="1" t="s">
        <v>25</v>
      </c>
      <c r="J2" s="3" t="s">
        <v>14</v>
      </c>
      <c r="K2" s="4" t="s">
        <v>15</v>
      </c>
      <c r="L2" s="1" t="s">
        <v>34</v>
      </c>
      <c r="M2" s="1" t="s">
        <v>25</v>
      </c>
      <c r="N2" s="3" t="s">
        <v>14</v>
      </c>
      <c r="O2" s="4" t="s">
        <v>15</v>
      </c>
      <c r="P2" s="1" t="s">
        <v>34</v>
      </c>
      <c r="Q2" s="1" t="s">
        <v>25</v>
      </c>
      <c r="R2" s="28"/>
      <c r="S2" s="28"/>
      <c r="T2" s="44"/>
      <c r="U2" s="45"/>
      <c r="V2" s="44"/>
      <c r="W2" s="46"/>
      <c r="X2" s="44"/>
      <c r="Y2" s="44"/>
      <c r="Z2" s="28"/>
    </row>
    <row r="3" spans="1:26" ht="15" customHeight="1" x14ac:dyDescent="0.25">
      <c r="A3" s="27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76"/>
    </row>
    <row r="4" spans="1:26" ht="25.5" x14ac:dyDescent="0.25">
      <c r="A4" s="2">
        <v>1</v>
      </c>
      <c r="B4" s="2">
        <v>30102904</v>
      </c>
      <c r="C4" s="9" t="s">
        <v>4</v>
      </c>
      <c r="D4" s="2" t="s">
        <v>5</v>
      </c>
      <c r="E4" s="2">
        <v>109</v>
      </c>
      <c r="F4" s="5">
        <v>56190</v>
      </c>
      <c r="G4" s="5">
        <v>2809.5</v>
      </c>
      <c r="H4" s="5">
        <v>58999.5</v>
      </c>
      <c r="I4" s="5">
        <v>6430945.5</v>
      </c>
      <c r="J4" s="10">
        <v>60123</v>
      </c>
      <c r="K4" s="10">
        <v>3006.15</v>
      </c>
      <c r="L4" s="10">
        <v>63129.15</v>
      </c>
      <c r="M4" s="10">
        <v>6881077.3500000006</v>
      </c>
      <c r="N4" s="10">
        <v>59300</v>
      </c>
      <c r="O4" s="10">
        <f>+N4*5/100</f>
        <v>2965</v>
      </c>
      <c r="P4" s="10">
        <f>+N4+O4</f>
        <v>62265</v>
      </c>
      <c r="Q4" s="10">
        <f>+P4*E4</f>
        <v>6786885</v>
      </c>
      <c r="R4" s="47">
        <f>MIN(H4,L4,P4)</f>
        <v>58999.5</v>
      </c>
      <c r="S4" s="47">
        <f>AVERAGE(H4,L4,P4)</f>
        <v>61464.549999999996</v>
      </c>
      <c r="T4" s="10">
        <f>HARMEAN(H4,L4,P4)</f>
        <v>61412.203092688746</v>
      </c>
      <c r="U4" s="48">
        <f>GEOMEAN(H4,L4,P4)</f>
        <v>61438.521381396691</v>
      </c>
      <c r="V4" s="10">
        <f>_xlfn.STDEV.S(H4,L4,P4)</f>
        <v>2178.0822832253152</v>
      </c>
      <c r="W4" s="49">
        <f>1-(R4/U4)</f>
        <v>3.9698569017567742E-2</v>
      </c>
      <c r="X4" s="10">
        <f>ROUND(+IF(W4&lt;=20%,R4,IF(V4&lt;=60%,U4,IF(O35&lt;=90%,N35,IF(O35&lt;=100%,L35)))),0)</f>
        <v>59000</v>
      </c>
      <c r="Y4" s="10">
        <f>+X4*E4</f>
        <v>6431000</v>
      </c>
      <c r="Z4" s="51" t="str">
        <f>+IF(W4&lt;=20%,"MENOR VALOR",IF(W4&lt;=60%,"MEDIA ARMONICA",IF(W4&lt;=90%,"MEDIA GEOMETRICA","MENOR VALOR")))</f>
        <v>MENOR VALOR</v>
      </c>
    </row>
    <row r="5" spans="1:26" ht="25.5" x14ac:dyDescent="0.25">
      <c r="A5" s="2">
        <v>2</v>
      </c>
      <c r="B5" s="2">
        <v>3010600</v>
      </c>
      <c r="C5" s="9" t="s">
        <v>6</v>
      </c>
      <c r="D5" s="2" t="s">
        <v>5</v>
      </c>
      <c r="E5" s="2">
        <v>72</v>
      </c>
      <c r="F5" s="5">
        <v>314286</v>
      </c>
      <c r="G5" s="5">
        <v>15714.300000000001</v>
      </c>
      <c r="H5" s="5">
        <v>330000.3</v>
      </c>
      <c r="I5" s="5">
        <v>23760021.599999998</v>
      </c>
      <c r="J5" s="10">
        <v>336286</v>
      </c>
      <c r="K5" s="10">
        <v>16814.3</v>
      </c>
      <c r="L5" s="10">
        <v>353100.3</v>
      </c>
      <c r="M5" s="10">
        <v>25423221.599999998</v>
      </c>
      <c r="N5" s="10">
        <v>324000</v>
      </c>
      <c r="O5" s="10">
        <f>+N5*5/100</f>
        <v>16200</v>
      </c>
      <c r="P5" s="10">
        <f t="shared" ref="P5:P13" si="0">+N5+O5</f>
        <v>340200</v>
      </c>
      <c r="Q5" s="10">
        <f t="shared" ref="Q5:Q13" si="1">+P5*E5</f>
        <v>24494400</v>
      </c>
      <c r="R5" s="47">
        <f t="shared" ref="R5:R13" si="2">MIN(H5,L5,P5)</f>
        <v>330000.3</v>
      </c>
      <c r="S5" s="47">
        <f t="shared" ref="S5:S13" si="3">AVERAGE(H5,L5,P5)</f>
        <v>341100.2</v>
      </c>
      <c r="T5" s="10">
        <f t="shared" ref="T5:T13" si="4">HARMEAN(H5,L5,P5)</f>
        <v>340839.21267200529</v>
      </c>
      <c r="U5" s="48">
        <f t="shared" ref="U5:U13" si="5">GEOMEAN(H5,L5,P5)</f>
        <v>340969.53462663351</v>
      </c>
      <c r="V5" s="10">
        <f t="shared" ref="V5:V13" si="6">_xlfn.STDEV.S(H5,L5,P5)</f>
        <v>11576.280492023334</v>
      </c>
      <c r="W5" s="49">
        <f t="shared" ref="W5:W13" si="7">1-(R5/U5)</f>
        <v>3.217071765266355E-2</v>
      </c>
      <c r="X5" s="10">
        <f>ROUND(+IF(W5&lt;=20%,R5,IF(V5&lt;=60%,U5,IF(O36&lt;=90%,N36,IF(O36&lt;=100%,L36)))),0)</f>
        <v>330000</v>
      </c>
      <c r="Y5" s="10">
        <f t="shared" ref="Y5:Y7" si="8">+X5*E5</f>
        <v>23760000</v>
      </c>
      <c r="Z5" s="51" t="str">
        <f t="shared" ref="Z5:Z13" si="9">+IF(W5&lt;=20%,"MENOR VALOR",IF(W5&lt;=60%,"MEDIA ARMONICA",IF(W5&lt;=90%,"MEDIA GEOMETRICA","MENOR VALOR")))</f>
        <v>MENOR VALOR</v>
      </c>
    </row>
    <row r="6" spans="1:26" ht="25.5" x14ac:dyDescent="0.25">
      <c r="A6" s="2">
        <v>3</v>
      </c>
      <c r="B6" s="2">
        <v>3010600</v>
      </c>
      <c r="C6" s="9" t="s">
        <v>7</v>
      </c>
      <c r="D6" s="2" t="s">
        <v>5</v>
      </c>
      <c r="E6" s="2">
        <v>80</v>
      </c>
      <c r="F6" s="5">
        <v>548571</v>
      </c>
      <c r="G6" s="5">
        <v>27428.550000000003</v>
      </c>
      <c r="H6" s="5">
        <v>575999.55000000005</v>
      </c>
      <c r="I6" s="5">
        <v>46079964</v>
      </c>
      <c r="J6" s="10">
        <v>586970</v>
      </c>
      <c r="K6" s="10">
        <v>29348.5</v>
      </c>
      <c r="L6" s="10">
        <v>616318.5</v>
      </c>
      <c r="M6" s="10">
        <v>49305480</v>
      </c>
      <c r="N6" s="10">
        <v>567000</v>
      </c>
      <c r="O6" s="10">
        <f>+N6*5/100</f>
        <v>28350</v>
      </c>
      <c r="P6" s="10">
        <f t="shared" si="0"/>
        <v>595350</v>
      </c>
      <c r="Q6" s="10">
        <f t="shared" si="1"/>
        <v>47628000</v>
      </c>
      <c r="R6" s="47">
        <f t="shared" si="2"/>
        <v>575999.55000000005</v>
      </c>
      <c r="S6" s="47">
        <f t="shared" si="3"/>
        <v>595889.35</v>
      </c>
      <c r="T6" s="10">
        <f t="shared" si="4"/>
        <v>595434.87412396364</v>
      </c>
      <c r="U6" s="48">
        <f t="shared" si="5"/>
        <v>595662.00921385607</v>
      </c>
      <c r="V6" s="10">
        <f t="shared" si="6"/>
        <v>20164.885471841862</v>
      </c>
      <c r="W6" s="49">
        <f t="shared" si="7"/>
        <v>3.3009422977648306E-2</v>
      </c>
      <c r="X6" s="10">
        <f>ROUND(+IF(W6&lt;=20%,R6,IF(V6&lt;=60%,U6,IF(O37&lt;=90%,N37,IF(O37&lt;=100%,L37)))),0)</f>
        <v>576000</v>
      </c>
      <c r="Y6" s="10">
        <f t="shared" si="8"/>
        <v>46080000</v>
      </c>
      <c r="Z6" s="51" t="str">
        <f t="shared" si="9"/>
        <v>MENOR VALOR</v>
      </c>
    </row>
    <row r="7" spans="1:26" ht="25.5" x14ac:dyDescent="0.25">
      <c r="A7" s="2">
        <v>4</v>
      </c>
      <c r="B7" s="2">
        <v>3010600</v>
      </c>
      <c r="C7" s="9" t="s">
        <v>8</v>
      </c>
      <c r="D7" s="2" t="s">
        <v>5</v>
      </c>
      <c r="E7" s="2">
        <v>10</v>
      </c>
      <c r="F7" s="5">
        <v>85714</v>
      </c>
      <c r="G7" s="5">
        <v>4285.7</v>
      </c>
      <c r="H7" s="5">
        <v>89999.7</v>
      </c>
      <c r="I7" s="5">
        <v>899997</v>
      </c>
      <c r="J7" s="10">
        <v>91713</v>
      </c>
      <c r="K7" s="10">
        <v>4585.6500000000005</v>
      </c>
      <c r="L7" s="10">
        <v>96298.65</v>
      </c>
      <c r="M7" s="10">
        <v>962986.5</v>
      </c>
      <c r="N7" s="10">
        <v>89000</v>
      </c>
      <c r="O7" s="10">
        <f>+N7*5/100</f>
        <v>4450</v>
      </c>
      <c r="P7" s="10">
        <f t="shared" si="0"/>
        <v>93450</v>
      </c>
      <c r="Q7" s="10">
        <f t="shared" si="1"/>
        <v>934500</v>
      </c>
      <c r="R7" s="47">
        <f t="shared" si="2"/>
        <v>89999.7</v>
      </c>
      <c r="S7" s="47">
        <f t="shared" si="3"/>
        <v>93249.45</v>
      </c>
      <c r="T7" s="10">
        <f t="shared" si="4"/>
        <v>93178.063459509722</v>
      </c>
      <c r="U7" s="48">
        <f t="shared" si="5"/>
        <v>93213.794802001139</v>
      </c>
      <c r="V7" s="10">
        <f t="shared" si="6"/>
        <v>3154.2602940309148</v>
      </c>
      <c r="W7" s="49">
        <f t="shared" si="7"/>
        <v>3.4480892112892958E-2</v>
      </c>
      <c r="X7" s="10">
        <f>ROUND(+IF(W7&lt;=20%,R7,IF(V7&lt;=60%,U7,IF(O38&lt;=90%,N38,IF(O38&lt;=100%,L38)))),0)</f>
        <v>90000</v>
      </c>
      <c r="Y7" s="10">
        <f t="shared" si="8"/>
        <v>900000</v>
      </c>
      <c r="Z7" s="51" t="str">
        <f t="shared" si="9"/>
        <v>MENOR VALOR</v>
      </c>
    </row>
    <row r="8" spans="1:26" x14ac:dyDescent="0.25">
      <c r="A8" s="52" t="s">
        <v>17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4"/>
      <c r="Y8" s="10"/>
      <c r="Z8" s="51"/>
    </row>
    <row r="9" spans="1:26" ht="15" customHeight="1" x14ac:dyDescent="0.25">
      <c r="A9" s="27" t="s">
        <v>23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76"/>
    </row>
    <row r="10" spans="1:26" ht="25.5" x14ac:dyDescent="0.25">
      <c r="A10" s="2">
        <v>5</v>
      </c>
      <c r="B10" s="2">
        <v>31211504</v>
      </c>
      <c r="C10" s="9" t="s">
        <v>9</v>
      </c>
      <c r="D10" s="2" t="s">
        <v>10</v>
      </c>
      <c r="E10" s="2">
        <v>20</v>
      </c>
      <c r="F10" s="5">
        <v>441176</v>
      </c>
      <c r="G10" s="5">
        <v>83823.44</v>
      </c>
      <c r="H10" s="5">
        <v>524999.43999999994</v>
      </c>
      <c r="I10" s="5">
        <v>10499988.799999999</v>
      </c>
      <c r="J10" s="10">
        <v>472058</v>
      </c>
      <c r="K10" s="10">
        <v>89691.02</v>
      </c>
      <c r="L10" s="10">
        <v>561749.02</v>
      </c>
      <c r="M10" s="10">
        <v>11234980.4</v>
      </c>
      <c r="N10" s="10">
        <v>466000</v>
      </c>
      <c r="O10" s="10">
        <f t="shared" ref="O10:O13" si="10">+N10*19/100</f>
        <v>88540</v>
      </c>
      <c r="P10" s="10">
        <f t="shared" si="0"/>
        <v>554540</v>
      </c>
      <c r="Q10" s="10">
        <f t="shared" si="1"/>
        <v>11090800</v>
      </c>
      <c r="R10" s="47">
        <f t="shared" si="2"/>
        <v>524999.43999999994</v>
      </c>
      <c r="S10" s="47">
        <f t="shared" si="3"/>
        <v>547096.15333333332</v>
      </c>
      <c r="T10" s="10">
        <f t="shared" si="4"/>
        <v>546625.83732934273</v>
      </c>
      <c r="U10" s="48">
        <f t="shared" si="5"/>
        <v>546862.33677354851</v>
      </c>
      <c r="V10" s="10">
        <f t="shared" si="6"/>
        <v>19472.828439693469</v>
      </c>
      <c r="W10" s="49">
        <f t="shared" si="7"/>
        <v>3.9978794119445493E-2</v>
      </c>
      <c r="X10" s="10">
        <f t="shared" ref="X10:X13" si="11">ROUND(+IF(W10&lt;=20%,R10,IF(V10&lt;=60%,U10,IF(O40&lt;=90%,N40,IF(O40&lt;=100%,L40)))),0)</f>
        <v>524999</v>
      </c>
      <c r="Y10" s="10">
        <f>+X10*E10</f>
        <v>10499980</v>
      </c>
      <c r="Z10" s="51" t="str">
        <f t="shared" si="9"/>
        <v>MENOR VALOR</v>
      </c>
    </row>
    <row r="11" spans="1:26" ht="27" customHeight="1" x14ac:dyDescent="0.25">
      <c r="A11" s="27" t="s">
        <v>24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76"/>
    </row>
    <row r="12" spans="1:26" x14ac:dyDescent="0.25">
      <c r="A12" s="2">
        <v>6</v>
      </c>
      <c r="B12" s="2">
        <v>24121500</v>
      </c>
      <c r="C12" s="9" t="s">
        <v>11</v>
      </c>
      <c r="D12" s="2" t="s">
        <v>5</v>
      </c>
      <c r="E12" s="2">
        <v>45000</v>
      </c>
      <c r="F12" s="5">
        <v>1345</v>
      </c>
      <c r="G12" s="5">
        <v>255.55</v>
      </c>
      <c r="H12" s="5">
        <v>1600.55</v>
      </c>
      <c r="I12" s="5">
        <v>72024750</v>
      </c>
      <c r="J12" s="10">
        <v>1439</v>
      </c>
      <c r="K12" s="10">
        <v>273.41000000000003</v>
      </c>
      <c r="L12" s="10">
        <v>1712.41</v>
      </c>
      <c r="M12" s="10">
        <v>77058450</v>
      </c>
      <c r="N12" s="10">
        <v>1386</v>
      </c>
      <c r="O12" s="10">
        <f t="shared" si="10"/>
        <v>263.33999999999997</v>
      </c>
      <c r="P12" s="10">
        <f t="shared" si="0"/>
        <v>1649.34</v>
      </c>
      <c r="Q12" s="10">
        <f t="shared" si="1"/>
        <v>74220300</v>
      </c>
      <c r="R12" s="47">
        <f t="shared" si="2"/>
        <v>1600.55</v>
      </c>
      <c r="S12" s="47">
        <f t="shared" si="3"/>
        <v>1654.1000000000001</v>
      </c>
      <c r="T12" s="10">
        <f t="shared" si="4"/>
        <v>1652.8373273992295</v>
      </c>
      <c r="U12" s="48">
        <f t="shared" si="5"/>
        <v>1653.4677585954407</v>
      </c>
      <c r="V12" s="10">
        <f t="shared" si="6"/>
        <v>56.0817091394334</v>
      </c>
      <c r="W12" s="49">
        <f t="shared" si="7"/>
        <v>3.2004106714722091E-2</v>
      </c>
      <c r="X12" s="10">
        <f t="shared" si="11"/>
        <v>1601</v>
      </c>
      <c r="Y12" s="10">
        <f>+X12*E12</f>
        <v>72045000</v>
      </c>
      <c r="Z12" s="51" t="str">
        <f t="shared" si="9"/>
        <v>MENOR VALOR</v>
      </c>
    </row>
    <row r="13" spans="1:26" ht="25.5" x14ac:dyDescent="0.25">
      <c r="A13" s="2">
        <v>7</v>
      </c>
      <c r="B13" s="2">
        <v>1162111</v>
      </c>
      <c r="C13" s="9" t="s">
        <v>12</v>
      </c>
      <c r="D13" s="2" t="s">
        <v>10</v>
      </c>
      <c r="E13" s="2">
        <v>72</v>
      </c>
      <c r="F13" s="10">
        <v>245378</v>
      </c>
      <c r="G13" s="10">
        <v>46621.82</v>
      </c>
      <c r="H13" s="10">
        <v>291999.82</v>
      </c>
      <c r="I13" s="10">
        <v>21023987.039999999</v>
      </c>
      <c r="J13" s="10">
        <v>262554</v>
      </c>
      <c r="K13" s="10">
        <v>49885.26</v>
      </c>
      <c r="L13" s="10">
        <v>312439.26</v>
      </c>
      <c r="M13" s="10">
        <v>22495626.719999999</v>
      </c>
      <c r="N13" s="10">
        <v>243000</v>
      </c>
      <c r="O13" s="10">
        <f t="shared" si="10"/>
        <v>46170</v>
      </c>
      <c r="P13" s="10">
        <f t="shared" si="0"/>
        <v>289170</v>
      </c>
      <c r="Q13" s="10">
        <f t="shared" si="1"/>
        <v>20820240</v>
      </c>
      <c r="R13" s="47">
        <f t="shared" si="2"/>
        <v>289170</v>
      </c>
      <c r="S13" s="47">
        <f t="shared" si="3"/>
        <v>297869.69333333336</v>
      </c>
      <c r="T13" s="10">
        <f t="shared" si="4"/>
        <v>297517.06724916294</v>
      </c>
      <c r="U13" s="48">
        <f t="shared" si="5"/>
        <v>297691.98349478451</v>
      </c>
      <c r="V13" s="10">
        <f t="shared" si="6"/>
        <v>12696.699372235818</v>
      </c>
      <c r="W13" s="49">
        <f t="shared" si="7"/>
        <v>2.8626849116794584E-2</v>
      </c>
      <c r="X13" s="10">
        <f t="shared" si="11"/>
        <v>289170</v>
      </c>
      <c r="Y13" s="10">
        <f>+E13*X13</f>
        <v>20820240</v>
      </c>
      <c r="Z13" s="51" t="str">
        <f t="shared" si="9"/>
        <v>MENOR VALOR</v>
      </c>
    </row>
    <row r="14" spans="1:26" x14ac:dyDescent="0.25">
      <c r="A14" s="50"/>
      <c r="B14" s="50"/>
      <c r="C14" s="50"/>
      <c r="D14" s="66" t="s">
        <v>35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7">
        <f>+Y13+Y12+Y10+Y7+Y6+Y5+Y4</f>
        <v>180536220</v>
      </c>
    </row>
  </sheetData>
  <mergeCells count="22">
    <mergeCell ref="A11:Z11"/>
    <mergeCell ref="Y1:Y2"/>
    <mergeCell ref="D14:X14"/>
    <mergeCell ref="A8:X8"/>
    <mergeCell ref="V1:V2"/>
    <mergeCell ref="W1:W2"/>
    <mergeCell ref="X1:X2"/>
    <mergeCell ref="Z1:Z2"/>
    <mergeCell ref="A3:Z3"/>
    <mergeCell ref="A9:Z9"/>
    <mergeCell ref="J1:M1"/>
    <mergeCell ref="N1:Q1"/>
    <mergeCell ref="R1:R2"/>
    <mergeCell ref="S1:S2"/>
    <mergeCell ref="T1:T2"/>
    <mergeCell ref="U1:U2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816D-DC8D-4552-85C6-062E4C732880}">
  <dimension ref="A1:P35"/>
  <sheetViews>
    <sheetView tabSelected="1" topLeftCell="A9" zoomScaleNormal="100" workbookViewId="0">
      <selection activeCell="I27" sqref="I27:N27"/>
    </sheetView>
  </sheetViews>
  <sheetFormatPr baseColWidth="10" defaultRowHeight="15" x14ac:dyDescent="0.25"/>
  <cols>
    <col min="1" max="2" width="11.42578125" style="6"/>
    <col min="3" max="3" width="15.5703125" style="6" customWidth="1"/>
    <col min="4" max="6" width="11.42578125" style="6"/>
    <col min="7" max="7" width="13" style="6" bestFit="1" customWidth="1"/>
    <col min="8" max="8" width="2.5703125" style="6" customWidth="1"/>
    <col min="9" max="11" width="11.42578125" style="6"/>
    <col min="12" max="12" width="16.42578125" style="6" customWidth="1"/>
    <col min="13" max="13" width="11.42578125" style="41"/>
    <col min="14" max="14" width="13" style="6" bestFit="1" customWidth="1"/>
    <col min="15" max="15" width="18.28515625" style="6" bestFit="1" customWidth="1"/>
    <col min="16" max="16" width="13" style="6" bestFit="1" customWidth="1"/>
    <col min="17" max="16384" width="11.42578125" style="6"/>
  </cols>
  <sheetData>
    <row r="1" spans="1:15" x14ac:dyDescent="0.25">
      <c r="A1" s="55" t="s">
        <v>22</v>
      </c>
      <c r="B1" s="55"/>
      <c r="C1" s="55"/>
      <c r="D1" s="55"/>
      <c r="E1" s="55"/>
      <c r="F1" s="55"/>
      <c r="G1" s="69" t="s">
        <v>47</v>
      </c>
      <c r="I1" s="68" t="s">
        <v>39</v>
      </c>
      <c r="J1" s="68"/>
      <c r="K1" s="68"/>
      <c r="L1" s="68"/>
      <c r="M1" s="68"/>
      <c r="N1" s="68"/>
      <c r="O1" s="68"/>
    </row>
    <row r="2" spans="1:15" ht="15" customHeight="1" x14ac:dyDescent="0.25">
      <c r="A2" s="69" t="s">
        <v>43</v>
      </c>
      <c r="B2" s="69" t="s">
        <v>44</v>
      </c>
      <c r="C2" s="69" t="s">
        <v>45</v>
      </c>
      <c r="D2" s="69" t="s">
        <v>46</v>
      </c>
      <c r="E2" s="69" t="s">
        <v>37</v>
      </c>
      <c r="F2" s="69" t="s">
        <v>38</v>
      </c>
      <c r="G2" s="69"/>
      <c r="I2" s="68"/>
      <c r="J2" s="68"/>
      <c r="K2" s="68"/>
      <c r="L2" s="68"/>
      <c r="M2" s="68"/>
      <c r="N2" s="68"/>
      <c r="O2" s="68"/>
    </row>
    <row r="3" spans="1:15" ht="15" customHeight="1" x14ac:dyDescent="0.25">
      <c r="A3" s="69"/>
      <c r="B3" s="69"/>
      <c r="C3" s="69"/>
      <c r="D3" s="69"/>
      <c r="E3" s="69"/>
      <c r="F3" s="69"/>
      <c r="G3" s="69"/>
      <c r="I3" s="56" t="s">
        <v>48</v>
      </c>
      <c r="J3" s="56"/>
      <c r="K3" s="56"/>
      <c r="L3" s="56"/>
      <c r="M3" s="57">
        <v>99194000</v>
      </c>
      <c r="N3" s="57"/>
      <c r="O3" s="57"/>
    </row>
    <row r="4" spans="1:15" ht="33.75" x14ac:dyDescent="0.25">
      <c r="A4" s="69"/>
      <c r="B4" s="69"/>
      <c r="C4" s="69"/>
      <c r="D4" s="69"/>
      <c r="E4" s="69"/>
      <c r="F4" s="69"/>
      <c r="G4" s="69"/>
      <c r="I4" s="58" t="str">
        <f>+E2</f>
        <v>FUDRA</v>
      </c>
      <c r="J4" s="59" t="s">
        <v>40</v>
      </c>
      <c r="K4" s="59" t="s">
        <v>49</v>
      </c>
      <c r="L4" s="59" t="s">
        <v>50</v>
      </c>
      <c r="M4" s="60" t="s">
        <v>41</v>
      </c>
      <c r="N4" s="61" t="s">
        <v>36</v>
      </c>
      <c r="O4" s="62" t="s">
        <v>42</v>
      </c>
    </row>
    <row r="5" spans="1:15" ht="51" x14ac:dyDescent="0.25">
      <c r="A5" s="2">
        <v>1</v>
      </c>
      <c r="B5" s="2">
        <v>30102904</v>
      </c>
      <c r="C5" s="9" t="s">
        <v>4</v>
      </c>
      <c r="D5" s="2" t="s">
        <v>5</v>
      </c>
      <c r="E5" s="2">
        <v>109</v>
      </c>
      <c r="F5" s="11">
        <f>+E5</f>
        <v>109</v>
      </c>
      <c r="G5" s="10">
        <v>59000</v>
      </c>
      <c r="I5" s="8">
        <f>+E5</f>
        <v>109</v>
      </c>
      <c r="J5" s="8">
        <v>109</v>
      </c>
      <c r="K5" s="8">
        <f>+I5-J5</f>
        <v>0</v>
      </c>
      <c r="L5" s="47">
        <f>+K5*N5</f>
        <v>0</v>
      </c>
      <c r="M5" s="70">
        <f>+J5/I5</f>
        <v>1</v>
      </c>
      <c r="N5" s="47">
        <f>+G5</f>
        <v>59000</v>
      </c>
      <c r="O5" s="47">
        <f>+N5*J5</f>
        <v>6431000</v>
      </c>
    </row>
    <row r="6" spans="1:15" ht="38.25" x14ac:dyDescent="0.25">
      <c r="A6" s="2">
        <v>2</v>
      </c>
      <c r="B6" s="2">
        <v>3010600</v>
      </c>
      <c r="C6" s="9" t="s">
        <v>6</v>
      </c>
      <c r="D6" s="2" t="s">
        <v>5</v>
      </c>
      <c r="E6" s="2">
        <v>72</v>
      </c>
      <c r="F6" s="11">
        <f t="shared" ref="F6:F8" si="0">+E6</f>
        <v>72</v>
      </c>
      <c r="G6" s="10">
        <v>330000</v>
      </c>
      <c r="I6" s="8">
        <f t="shared" ref="I6:I8" si="1">+E6</f>
        <v>72</v>
      </c>
      <c r="J6" s="8">
        <v>72</v>
      </c>
      <c r="K6" s="8">
        <f t="shared" ref="K6:K8" si="2">+I6-J6</f>
        <v>0</v>
      </c>
      <c r="L6" s="47">
        <f>+K6*N6</f>
        <v>0</v>
      </c>
      <c r="M6" s="70">
        <f>+J6/I6</f>
        <v>1</v>
      </c>
      <c r="N6" s="47">
        <f t="shared" ref="N6:N8" si="3">+G6</f>
        <v>330000</v>
      </c>
      <c r="O6" s="47">
        <f>+N6*J6</f>
        <v>23760000</v>
      </c>
    </row>
    <row r="7" spans="1:15" ht="38.25" x14ac:dyDescent="0.25">
      <c r="A7" s="2">
        <v>3</v>
      </c>
      <c r="B7" s="2">
        <v>3010600</v>
      </c>
      <c r="C7" s="9" t="s">
        <v>7</v>
      </c>
      <c r="D7" s="2" t="s">
        <v>5</v>
      </c>
      <c r="E7" s="2">
        <v>80</v>
      </c>
      <c r="F7" s="11">
        <f t="shared" si="0"/>
        <v>80</v>
      </c>
      <c r="G7" s="10">
        <v>576000</v>
      </c>
      <c r="I7" s="8">
        <f t="shared" si="1"/>
        <v>80</v>
      </c>
      <c r="J7" s="8">
        <v>80</v>
      </c>
      <c r="K7" s="8">
        <f t="shared" si="2"/>
        <v>0</v>
      </c>
      <c r="L7" s="47">
        <f>+K7*N7</f>
        <v>0</v>
      </c>
      <c r="M7" s="70">
        <f>+J7/I7</f>
        <v>1</v>
      </c>
      <c r="N7" s="47">
        <f t="shared" si="3"/>
        <v>576000</v>
      </c>
      <c r="O7" s="47">
        <f>+N7*J7</f>
        <v>46080000</v>
      </c>
    </row>
    <row r="8" spans="1:15" ht="51" x14ac:dyDescent="0.25">
      <c r="A8" s="2">
        <v>4</v>
      </c>
      <c r="B8" s="2">
        <v>3010600</v>
      </c>
      <c r="C8" s="9" t="s">
        <v>8</v>
      </c>
      <c r="D8" s="2" t="s">
        <v>5</v>
      </c>
      <c r="E8" s="2">
        <v>10</v>
      </c>
      <c r="F8" s="11">
        <f t="shared" si="0"/>
        <v>10</v>
      </c>
      <c r="G8" s="10">
        <v>90000</v>
      </c>
      <c r="I8" s="8">
        <f t="shared" si="1"/>
        <v>10</v>
      </c>
      <c r="J8" s="8">
        <v>10</v>
      </c>
      <c r="K8" s="8">
        <f t="shared" si="2"/>
        <v>0</v>
      </c>
      <c r="L8" s="47">
        <f>+K8*N8</f>
        <v>0</v>
      </c>
      <c r="M8" s="70">
        <f>+J8/I8</f>
        <v>1</v>
      </c>
      <c r="N8" s="47">
        <f t="shared" si="3"/>
        <v>90000</v>
      </c>
      <c r="O8" s="47">
        <f>+N8*J8</f>
        <v>900000</v>
      </c>
    </row>
    <row r="9" spans="1:15" x14ac:dyDescent="0.25">
      <c r="I9" s="71" t="s">
        <v>20</v>
      </c>
      <c r="J9" s="71"/>
      <c r="K9" s="71"/>
      <c r="L9" s="71"/>
      <c r="M9" s="71"/>
      <c r="N9" s="71"/>
      <c r="O9" s="72">
        <f>SUM(O5:O8)</f>
        <v>77171000</v>
      </c>
    </row>
    <row r="10" spans="1:15" x14ac:dyDescent="0.25">
      <c r="I10" s="73" t="s">
        <v>51</v>
      </c>
      <c r="J10" s="73"/>
      <c r="K10" s="73"/>
      <c r="L10" s="73"/>
      <c r="M10" s="73"/>
      <c r="N10" s="73"/>
      <c r="O10" s="74">
        <f>+M3-O9</f>
        <v>22023000</v>
      </c>
    </row>
    <row r="12" spans="1:15" ht="15" customHeight="1" x14ac:dyDescent="0.25">
      <c r="A12" s="89" t="s">
        <v>23</v>
      </c>
      <c r="B12" s="90"/>
      <c r="C12" s="90"/>
      <c r="D12" s="90"/>
      <c r="E12" s="90"/>
      <c r="F12" s="91"/>
      <c r="G12" s="86" t="s">
        <v>47</v>
      </c>
      <c r="I12" s="77" t="s">
        <v>39</v>
      </c>
      <c r="J12" s="78"/>
      <c r="K12" s="78"/>
      <c r="L12" s="78"/>
      <c r="M12" s="78"/>
      <c r="N12" s="78"/>
      <c r="O12" s="79"/>
    </row>
    <row r="13" spans="1:15" ht="15" customHeight="1" x14ac:dyDescent="0.25">
      <c r="A13" s="86" t="s">
        <v>43</v>
      </c>
      <c r="B13" s="86" t="s">
        <v>44</v>
      </c>
      <c r="C13" s="86" t="s">
        <v>45</v>
      </c>
      <c r="D13" s="86" t="s">
        <v>46</v>
      </c>
      <c r="E13" s="86" t="s">
        <v>37</v>
      </c>
      <c r="F13" s="86" t="s">
        <v>38</v>
      </c>
      <c r="G13" s="87"/>
      <c r="I13" s="80"/>
      <c r="J13" s="81"/>
      <c r="K13" s="81"/>
      <c r="L13" s="81"/>
      <c r="M13" s="81"/>
      <c r="N13" s="81"/>
      <c r="O13" s="82"/>
    </row>
    <row r="14" spans="1:15" ht="15" customHeight="1" x14ac:dyDescent="0.25">
      <c r="A14" s="87"/>
      <c r="B14" s="87"/>
      <c r="C14" s="87"/>
      <c r="D14" s="87"/>
      <c r="E14" s="87"/>
      <c r="F14" s="87"/>
      <c r="G14" s="87"/>
      <c r="I14" s="63" t="s">
        <v>48</v>
      </c>
      <c r="J14" s="64"/>
      <c r="K14" s="64"/>
      <c r="L14" s="65"/>
      <c r="M14" s="83">
        <v>9686750</v>
      </c>
      <c r="N14" s="84"/>
      <c r="O14" s="85"/>
    </row>
    <row r="15" spans="1:15" ht="33.75" x14ac:dyDescent="0.25">
      <c r="A15" s="88"/>
      <c r="B15" s="88"/>
      <c r="C15" s="88"/>
      <c r="D15" s="88"/>
      <c r="E15" s="88"/>
      <c r="F15" s="88"/>
      <c r="G15" s="88"/>
      <c r="I15" s="58" t="str">
        <f>+E13</f>
        <v>FUDRA</v>
      </c>
      <c r="J15" s="59" t="s">
        <v>40</v>
      </c>
      <c r="K15" s="59" t="s">
        <v>49</v>
      </c>
      <c r="L15" s="59" t="s">
        <v>50</v>
      </c>
      <c r="M15" s="60" t="s">
        <v>41</v>
      </c>
      <c r="N15" s="61" t="s">
        <v>36</v>
      </c>
      <c r="O15" s="62" t="s">
        <v>42</v>
      </c>
    </row>
    <row r="16" spans="1:15" ht="66" customHeight="1" x14ac:dyDescent="0.25">
      <c r="A16" s="2">
        <v>5</v>
      </c>
      <c r="B16" s="2">
        <v>31211504</v>
      </c>
      <c r="C16" s="9" t="s">
        <v>9</v>
      </c>
      <c r="D16" s="2" t="s">
        <v>5</v>
      </c>
      <c r="E16" s="2">
        <v>20</v>
      </c>
      <c r="F16" s="11">
        <f>+E16</f>
        <v>20</v>
      </c>
      <c r="G16" s="10">
        <f>+'PRECIO DE REFERENCIA'!X10</f>
        <v>524999</v>
      </c>
      <c r="I16" s="8">
        <f>+E16</f>
        <v>20</v>
      </c>
      <c r="J16" s="8">
        <v>18</v>
      </c>
      <c r="K16" s="8">
        <f>+I16-J16</f>
        <v>2</v>
      </c>
      <c r="L16" s="47">
        <f>+K16*N16</f>
        <v>1049998</v>
      </c>
      <c r="M16" s="70">
        <f>+J16/I16</f>
        <v>0.9</v>
      </c>
      <c r="N16" s="47">
        <f>+G16</f>
        <v>524999</v>
      </c>
      <c r="O16" s="47">
        <f>+N16*J16</f>
        <v>9449982</v>
      </c>
    </row>
    <row r="17" spans="1:16" x14ac:dyDescent="0.25">
      <c r="I17" s="71" t="s">
        <v>20</v>
      </c>
      <c r="J17" s="71"/>
      <c r="K17" s="71"/>
      <c r="L17" s="71"/>
      <c r="M17" s="71"/>
      <c r="N17" s="71"/>
      <c r="O17" s="72">
        <f>+O16</f>
        <v>9449982</v>
      </c>
    </row>
    <row r="18" spans="1:16" x14ac:dyDescent="0.25">
      <c r="I18" s="73" t="s">
        <v>49</v>
      </c>
      <c r="J18" s="73"/>
      <c r="K18" s="73"/>
      <c r="L18" s="73"/>
      <c r="M18" s="73"/>
      <c r="N18" s="73"/>
      <c r="O18" s="74">
        <f>+M14-O17</f>
        <v>236768</v>
      </c>
      <c r="P18" s="12"/>
    </row>
    <row r="20" spans="1:16" ht="27" customHeight="1" x14ac:dyDescent="0.25">
      <c r="A20" s="89" t="s">
        <v>24</v>
      </c>
      <c r="B20" s="90"/>
      <c r="C20" s="90"/>
      <c r="D20" s="90"/>
      <c r="E20" s="90"/>
      <c r="F20" s="91"/>
      <c r="G20" s="86" t="s">
        <v>47</v>
      </c>
      <c r="I20" s="77" t="s">
        <v>39</v>
      </c>
      <c r="J20" s="78"/>
      <c r="K20" s="78"/>
      <c r="L20" s="78"/>
      <c r="M20" s="78"/>
      <c r="N20" s="78"/>
      <c r="O20" s="79"/>
    </row>
    <row r="21" spans="1:16" ht="15" customHeight="1" x14ac:dyDescent="0.25">
      <c r="A21" s="86" t="s">
        <v>43</v>
      </c>
      <c r="B21" s="86" t="s">
        <v>44</v>
      </c>
      <c r="C21" s="86" t="s">
        <v>45</v>
      </c>
      <c r="D21" s="86" t="s">
        <v>46</v>
      </c>
      <c r="E21" s="86" t="s">
        <v>37</v>
      </c>
      <c r="F21" s="86" t="s">
        <v>38</v>
      </c>
      <c r="G21" s="87"/>
      <c r="I21" s="80"/>
      <c r="J21" s="81"/>
      <c r="K21" s="81"/>
      <c r="L21" s="81"/>
      <c r="M21" s="81"/>
      <c r="N21" s="81"/>
      <c r="O21" s="82"/>
    </row>
    <row r="22" spans="1:16" ht="15" customHeight="1" x14ac:dyDescent="0.25">
      <c r="A22" s="87"/>
      <c r="B22" s="87"/>
      <c r="C22" s="87"/>
      <c r="D22" s="87"/>
      <c r="E22" s="87"/>
      <c r="F22" s="87"/>
      <c r="G22" s="87"/>
      <c r="I22" s="56" t="s">
        <v>48</v>
      </c>
      <c r="J22" s="56"/>
      <c r="K22" s="56"/>
      <c r="L22" s="56"/>
      <c r="M22" s="83">
        <v>66110325</v>
      </c>
      <c r="N22" s="84"/>
      <c r="O22" s="85"/>
    </row>
    <row r="23" spans="1:16" ht="33.75" x14ac:dyDescent="0.25">
      <c r="A23" s="88"/>
      <c r="B23" s="88"/>
      <c r="C23" s="88"/>
      <c r="D23" s="88"/>
      <c r="E23" s="88"/>
      <c r="F23" s="88"/>
      <c r="G23" s="88"/>
      <c r="I23" s="58" t="str">
        <f>+E21</f>
        <v>FUDRA</v>
      </c>
      <c r="J23" s="59" t="s">
        <v>40</v>
      </c>
      <c r="K23" s="59" t="s">
        <v>49</v>
      </c>
      <c r="L23" s="59" t="s">
        <v>50</v>
      </c>
      <c r="M23" s="60" t="s">
        <v>41</v>
      </c>
      <c r="N23" s="61" t="s">
        <v>36</v>
      </c>
      <c r="O23" s="62" t="s">
        <v>42</v>
      </c>
    </row>
    <row r="24" spans="1:16" ht="25.5" x14ac:dyDescent="0.25">
      <c r="A24" s="2">
        <v>6</v>
      </c>
      <c r="B24" s="2">
        <v>24121500</v>
      </c>
      <c r="C24" s="9" t="s">
        <v>11</v>
      </c>
      <c r="D24" s="2" t="s">
        <v>5</v>
      </c>
      <c r="E24" s="2">
        <v>45000</v>
      </c>
      <c r="F24" s="11">
        <f>+E24</f>
        <v>45000</v>
      </c>
      <c r="G24" s="10">
        <f>+'PRECIO DE REFERENCIA'!X12</f>
        <v>1601</v>
      </c>
      <c r="I24" s="8">
        <f>+E24</f>
        <v>45000</v>
      </c>
      <c r="J24" s="8">
        <v>41112</v>
      </c>
      <c r="K24" s="8">
        <f>+I24-J24</f>
        <v>3888</v>
      </c>
      <c r="L24" s="47">
        <f>+K24*N24</f>
        <v>6224688</v>
      </c>
      <c r="M24" s="70">
        <f>+J24/I24</f>
        <v>0.91359999999999997</v>
      </c>
      <c r="N24" s="47">
        <f>+G24</f>
        <v>1601</v>
      </c>
      <c r="O24" s="47">
        <f>+N24*J24</f>
        <v>65820312</v>
      </c>
    </row>
    <row r="25" spans="1:16" ht="51" x14ac:dyDescent="0.25">
      <c r="A25" s="2">
        <v>7</v>
      </c>
      <c r="B25" s="2">
        <v>1162111</v>
      </c>
      <c r="C25" s="9" t="s">
        <v>12</v>
      </c>
      <c r="D25" s="2" t="s">
        <v>10</v>
      </c>
      <c r="E25" s="2">
        <v>72</v>
      </c>
      <c r="F25" s="11">
        <f t="shared" ref="F25" si="4">+E25</f>
        <v>72</v>
      </c>
      <c r="G25" s="10">
        <f>+'PRECIO DE REFERENCIA'!X13</f>
        <v>289170</v>
      </c>
      <c r="I25" s="8">
        <f t="shared" ref="I25" si="5">+E25</f>
        <v>72</v>
      </c>
      <c r="J25" s="8">
        <v>1</v>
      </c>
      <c r="K25" s="8">
        <f>+I25-J25</f>
        <v>71</v>
      </c>
      <c r="L25" s="47">
        <f>+K25*N25</f>
        <v>20531070</v>
      </c>
      <c r="M25" s="70">
        <f>+J25/I25</f>
        <v>1.3888888888888888E-2</v>
      </c>
      <c r="N25" s="47">
        <f>+G25</f>
        <v>289170</v>
      </c>
      <c r="O25" s="47">
        <f>+N25*J25</f>
        <v>289170</v>
      </c>
    </row>
    <row r="26" spans="1:16" x14ac:dyDescent="0.25">
      <c r="I26" s="71" t="s">
        <v>20</v>
      </c>
      <c r="J26" s="71"/>
      <c r="K26" s="71"/>
      <c r="L26" s="71"/>
      <c r="M26" s="71"/>
      <c r="N26" s="71"/>
      <c r="O26" s="72">
        <f>+O24+O25</f>
        <v>66109482</v>
      </c>
    </row>
    <row r="27" spans="1:16" x14ac:dyDescent="0.25">
      <c r="I27" s="71" t="s">
        <v>49</v>
      </c>
      <c r="J27" s="71"/>
      <c r="K27" s="71"/>
      <c r="L27" s="71"/>
      <c r="M27" s="71"/>
      <c r="N27" s="71"/>
      <c r="O27" s="72">
        <f>+M22-O26</f>
        <v>843</v>
      </c>
    </row>
    <row r="28" spans="1:16" x14ac:dyDescent="0.25">
      <c r="O28" s="12"/>
    </row>
    <row r="29" spans="1:16" x14ac:dyDescent="0.25">
      <c r="O29" s="12"/>
    </row>
    <row r="32" spans="1:16" x14ac:dyDescent="0.25">
      <c r="O32" s="12"/>
    </row>
    <row r="33" spans="15:15" x14ac:dyDescent="0.25">
      <c r="O33" s="75"/>
    </row>
    <row r="34" spans="15:15" x14ac:dyDescent="0.25">
      <c r="O34" s="12"/>
    </row>
    <row r="35" spans="15:15" x14ac:dyDescent="0.25">
      <c r="O35" s="12"/>
    </row>
  </sheetData>
  <mergeCells count="39">
    <mergeCell ref="G12:G15"/>
    <mergeCell ref="A12:F12"/>
    <mergeCell ref="F13:F15"/>
    <mergeCell ref="E13:E15"/>
    <mergeCell ref="D13:D15"/>
    <mergeCell ref="C13:C15"/>
    <mergeCell ref="B13:B15"/>
    <mergeCell ref="A13:A15"/>
    <mergeCell ref="M22:O22"/>
    <mergeCell ref="I26:N26"/>
    <mergeCell ref="I27:N27"/>
    <mergeCell ref="I3:L3"/>
    <mergeCell ref="I14:L14"/>
    <mergeCell ref="I22:L22"/>
    <mergeCell ref="A20:F20"/>
    <mergeCell ref="G20:G23"/>
    <mergeCell ref="I20:O21"/>
    <mergeCell ref="A21:A23"/>
    <mergeCell ref="B21:B23"/>
    <mergeCell ref="C21:C23"/>
    <mergeCell ref="D21:D23"/>
    <mergeCell ref="E21:E23"/>
    <mergeCell ref="F21:F23"/>
    <mergeCell ref="M14:O14"/>
    <mergeCell ref="I17:N17"/>
    <mergeCell ref="I10:N10"/>
    <mergeCell ref="I18:N18"/>
    <mergeCell ref="I9:N9"/>
    <mergeCell ref="I12:O13"/>
    <mergeCell ref="B2:B4"/>
    <mergeCell ref="M3:O3"/>
    <mergeCell ref="G1:G4"/>
    <mergeCell ref="I1:O2"/>
    <mergeCell ref="F2:F4"/>
    <mergeCell ref="A2:A4"/>
    <mergeCell ref="C2:C4"/>
    <mergeCell ref="D2:D4"/>
    <mergeCell ref="E2:E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COTIZACIONES</vt:lpstr>
      <vt:lpstr>METRICA</vt:lpstr>
      <vt:lpstr>PRECIO DE REFERENCIA</vt:lpstr>
      <vt:lpstr>CUBRIMIENTO DE LA NECESIDAD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ELIZABETH CORTES ZORRILLA</dc:creator>
  <cp:lastModifiedBy>PS. ELIZABETH CORTES ZORRILLA</cp:lastModifiedBy>
  <dcterms:created xsi:type="dcterms:W3CDTF">2026-09-21T13:49:06Z</dcterms:created>
  <dcterms:modified xsi:type="dcterms:W3CDTF">2026-09-21T18:14:27Z</dcterms:modified>
</cp:coreProperties>
</file>